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14.xml" ContentType="application/vnd.openxmlformats-officedocument.drawingml.chart+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harts/chart15.xml" ContentType="application/vnd.openxmlformats-officedocument.drawingml.chart+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20115" windowHeight="8520" tabRatio="753" firstSheet="8" activeTab="24"/>
  </bookViews>
  <sheets>
    <sheet name="Estadística Descriptiva 1 Soluc" sheetId="15" r:id="rId1"/>
    <sheet name="Gini - Lorenz Soluc." sheetId="14" r:id="rId2"/>
    <sheet name="Capacidad de un Proceso Soluc" sheetId="31" r:id="rId3"/>
    <sheet name="Contingencia y Marginales Soluc" sheetId="32" r:id="rId4"/>
    <sheet name="Correlaciones y Covarianzas Sol" sheetId="3" r:id="rId5"/>
    <sheet name="Mod Regresión Lineal Simp Sol " sheetId="4" r:id="rId6"/>
    <sheet name="Regresión Logarítmica Soluc." sheetId="7" r:id="rId7"/>
    <sheet name="Regresión Cuadrática Soluc." sheetId="35" r:id="rId8"/>
    <sheet name="Modelo Regresión Múltiple Soluc" sheetId="11" r:id="rId9"/>
    <sheet name="Intervalos de confianza 1 Soluc" sheetId="54" r:id="rId10"/>
    <sheet name="Intervalos de Confianza 2 Soluc" sheetId="13" r:id="rId11"/>
    <sheet name="Intervalos de Confianza 3 Soluc" sheetId="17" r:id="rId12"/>
    <sheet name="Intervalos de Confianza 4 Soluc" sheetId="23" r:id="rId13"/>
    <sheet name="Intervalos de Confianza 5 Soluc" sheetId="26" r:id="rId14"/>
    <sheet name="Contraste de Hipótesis 1 Soluc." sheetId="38" r:id="rId15"/>
    <sheet name="Contraste de Hipótesis 2 Soluc." sheetId="39" r:id="rId16"/>
    <sheet name="Contraste de Hipótesis 3 Soluc." sheetId="42" r:id="rId17"/>
    <sheet name="Contraste de Hipótesis 4 Soluc." sheetId="44" r:id="rId18"/>
    <sheet name="Contraste de Hipótesis 5 Soluc." sheetId="53" r:id="rId19"/>
    <sheet name="Contraste Chi-Cuadrado 1 Soluc" sheetId="21" r:id="rId20"/>
    <sheet name="Contraste Chi-Cuadrado 2 Soluc" sheetId="55" r:id="rId21"/>
    <sheet name="Análisis de Varianza 1 Soluc." sheetId="18" r:id="rId22"/>
    <sheet name="Análisis de Varianza 2 Soluc." sheetId="45" r:id="rId23"/>
    <sheet name="Análisis de Varianza 3 Soluc." sheetId="48" r:id="rId24"/>
    <sheet name="REGRESIÓN LOGÍSTICA MÚLTIPLE" sheetId="62" r:id="rId25"/>
    <sheet name="VECINOS CERCANOS" sheetId="56" r:id="rId26"/>
    <sheet name="DENDOGRAMAS" sheetId="57" r:id="rId27"/>
    <sheet name="SEGMENTACIONES" sheetId="58" r:id="rId28"/>
    <sheet name="ANÁLISIS DISCRIMINANTE LINEAL" sheetId="59" r:id="rId29"/>
    <sheet name="GRÁFICOS DE DENSIDAD" sheetId="60" r:id="rId30"/>
    <sheet name="ANCHO MEDIO DE SILUETA" sheetId="61" r:id="rId31"/>
  </sheets>
  <calcPr calcId="145621"/>
  <pivotCaches>
    <pivotCache cacheId="0" r:id="rId32"/>
  </pivotCaches>
</workbook>
</file>

<file path=xl/calcChain.xml><?xml version="1.0" encoding="utf-8"?>
<calcChain xmlns="http://schemas.openxmlformats.org/spreadsheetml/2006/main">
  <c r="D4" i="62" l="1"/>
  <c r="I13" i="62"/>
  <c r="I14" i="62"/>
  <c r="I15" i="62"/>
  <c r="I16" i="62"/>
  <c r="I17" i="62"/>
  <c r="I18" i="62"/>
  <c r="I19" i="62"/>
  <c r="I20" i="62"/>
  <c r="I21" i="62"/>
  <c r="I22" i="62"/>
  <c r="I23" i="62"/>
  <c r="I24" i="62"/>
  <c r="I25" i="62"/>
  <c r="I26" i="62"/>
  <c r="I27" i="62"/>
  <c r="I28" i="62"/>
  <c r="I29" i="62"/>
  <c r="I30" i="62"/>
  <c r="I31" i="62"/>
  <c r="I32" i="62"/>
  <c r="I33" i="62"/>
  <c r="I34" i="62"/>
  <c r="I35" i="62"/>
  <c r="I36" i="62"/>
  <c r="I37" i="62"/>
  <c r="I38" i="62"/>
  <c r="I39" i="62"/>
  <c r="I40" i="62"/>
  <c r="I41" i="62"/>
  <c r="I42" i="62"/>
  <c r="I43" i="62"/>
  <c r="I44" i="62"/>
  <c r="I45" i="62"/>
  <c r="I46" i="62"/>
  <c r="I47" i="62"/>
  <c r="I48" i="62"/>
  <c r="I49" i="62"/>
  <c r="I50" i="62"/>
  <c r="I51" i="62"/>
  <c r="I52" i="62"/>
  <c r="I53" i="62"/>
  <c r="I54" i="62"/>
  <c r="I55" i="62"/>
  <c r="I56" i="62"/>
  <c r="I57" i="62"/>
  <c r="I58" i="62"/>
  <c r="I59" i="62"/>
  <c r="I60" i="62"/>
  <c r="I61" i="62"/>
  <c r="I62" i="62"/>
  <c r="I63" i="62"/>
  <c r="I64" i="62"/>
  <c r="I65" i="62"/>
  <c r="I66" i="62"/>
  <c r="I67" i="62"/>
  <c r="I68" i="62"/>
  <c r="I69" i="62"/>
  <c r="I70" i="62"/>
  <c r="I71" i="62"/>
  <c r="I72" i="62"/>
  <c r="I73" i="62"/>
  <c r="I74" i="62"/>
  <c r="I75" i="62"/>
  <c r="I76" i="62"/>
  <c r="I77" i="62"/>
  <c r="I78" i="62"/>
  <c r="I79" i="62"/>
  <c r="I80" i="62"/>
  <c r="I81" i="62"/>
  <c r="I82" i="62"/>
  <c r="I83" i="62"/>
  <c r="I84" i="62"/>
  <c r="I85" i="62"/>
  <c r="I86" i="62"/>
  <c r="I87" i="62"/>
  <c r="I88" i="62"/>
  <c r="I89" i="62"/>
  <c r="I90" i="62"/>
  <c r="I91" i="62"/>
  <c r="I92" i="62"/>
  <c r="I93" i="62"/>
  <c r="I94" i="62"/>
  <c r="I95" i="62"/>
  <c r="I96" i="62"/>
  <c r="I97" i="62"/>
  <c r="I98" i="62"/>
  <c r="I99" i="62"/>
  <c r="I100" i="62"/>
  <c r="I101" i="62"/>
  <c r="I102" i="62"/>
  <c r="I103" i="62"/>
  <c r="I104" i="62"/>
  <c r="I105" i="62"/>
  <c r="I106" i="62"/>
  <c r="I107" i="62"/>
  <c r="I108" i="62"/>
  <c r="I109" i="62"/>
  <c r="I110" i="62"/>
  <c r="I111" i="62"/>
  <c r="I112" i="62"/>
  <c r="I113" i="62"/>
  <c r="I114" i="62"/>
  <c r="I115" i="62"/>
  <c r="I116" i="62"/>
  <c r="I117" i="62"/>
  <c r="I118" i="62"/>
  <c r="I119" i="62"/>
  <c r="I120" i="62"/>
  <c r="I121" i="62"/>
  <c r="I122" i="62"/>
  <c r="I123" i="62"/>
  <c r="I124" i="62"/>
  <c r="I125" i="62"/>
  <c r="I126" i="62"/>
  <c r="I127" i="62"/>
  <c r="I128" i="62"/>
  <c r="I129" i="62"/>
  <c r="I130" i="62"/>
  <c r="I131" i="62"/>
  <c r="I132" i="62"/>
  <c r="I133" i="62"/>
  <c r="I134" i="62"/>
  <c r="I135" i="62"/>
  <c r="I136" i="62"/>
  <c r="I137" i="62"/>
  <c r="I138" i="62"/>
  <c r="I139" i="62"/>
  <c r="I140" i="62"/>
  <c r="I141" i="62"/>
  <c r="I142" i="62"/>
  <c r="I143" i="62"/>
  <c r="I144" i="62"/>
  <c r="I145" i="62"/>
  <c r="I146" i="62"/>
  <c r="I147" i="62"/>
  <c r="I148" i="62"/>
  <c r="I149" i="62"/>
  <c r="I150" i="62"/>
  <c r="I151" i="62"/>
  <c r="I152" i="62"/>
  <c r="I153" i="62"/>
  <c r="I154" i="62"/>
  <c r="I155" i="62"/>
  <c r="I156" i="62"/>
  <c r="I157" i="62"/>
  <c r="I158" i="62"/>
  <c r="I159" i="62"/>
  <c r="I160" i="62"/>
  <c r="I161" i="62"/>
  <c r="I162" i="62"/>
  <c r="I163" i="62"/>
  <c r="I164" i="62"/>
  <c r="I165" i="62"/>
  <c r="I166" i="62"/>
  <c r="I167" i="62"/>
  <c r="I168" i="62"/>
  <c r="I169" i="62"/>
  <c r="I170" i="62"/>
  <c r="I171" i="62"/>
  <c r="I172" i="62"/>
  <c r="I173" i="62"/>
  <c r="I174" i="62"/>
  <c r="I175" i="62"/>
  <c r="I176" i="62"/>
  <c r="I177" i="62"/>
  <c r="I178" i="62"/>
  <c r="I179" i="62"/>
  <c r="I180" i="62"/>
  <c r="I181" i="62"/>
  <c r="I182" i="62"/>
  <c r="I183" i="62"/>
  <c r="I184" i="62"/>
  <c r="I185" i="62"/>
  <c r="I186" i="62"/>
  <c r="I187" i="62"/>
  <c r="I188" i="62"/>
  <c r="I189" i="62"/>
  <c r="I190" i="62"/>
  <c r="I191" i="62"/>
  <c r="I192" i="62"/>
  <c r="I193" i="62"/>
  <c r="I194" i="62"/>
  <c r="I195" i="62"/>
  <c r="I196" i="62"/>
  <c r="I197" i="62"/>
  <c r="I198" i="62"/>
  <c r="I199" i="62"/>
  <c r="I200" i="62"/>
  <c r="I201" i="62"/>
  <c r="I202" i="62"/>
  <c r="I203" i="62"/>
  <c r="I204" i="62"/>
  <c r="I205" i="62"/>
  <c r="I206" i="62"/>
  <c r="I207" i="62"/>
  <c r="I208" i="62"/>
  <c r="I209" i="62"/>
  <c r="I210" i="62"/>
  <c r="I211" i="62"/>
  <c r="I212" i="62"/>
  <c r="I213" i="62"/>
  <c r="I214" i="62"/>
  <c r="I215" i="62"/>
  <c r="I216" i="62"/>
  <c r="I217" i="62"/>
  <c r="I218" i="62"/>
  <c r="I219" i="62"/>
  <c r="I220" i="62"/>
  <c r="I221" i="62"/>
  <c r="I222" i="62"/>
  <c r="I223" i="62"/>
  <c r="I224" i="62"/>
  <c r="I225" i="62"/>
  <c r="I226" i="62"/>
  <c r="I227" i="62"/>
  <c r="I228" i="62"/>
  <c r="I229" i="62"/>
  <c r="I230" i="62"/>
  <c r="I231" i="62"/>
  <c r="I232" i="62"/>
  <c r="I233" i="62"/>
  <c r="I234" i="62"/>
  <c r="I235" i="62"/>
  <c r="I236" i="62"/>
  <c r="I237" i="62"/>
  <c r="I238" i="62"/>
  <c r="I239" i="62"/>
  <c r="I240" i="62"/>
  <c r="I241" i="62"/>
  <c r="I242" i="62"/>
  <c r="I243" i="62"/>
  <c r="I244" i="62"/>
  <c r="I245" i="62"/>
  <c r="I246" i="62"/>
  <c r="I247" i="62"/>
  <c r="I248" i="62"/>
  <c r="I249" i="62"/>
  <c r="I250" i="62"/>
  <c r="I251" i="62"/>
  <c r="I252" i="62"/>
  <c r="I253" i="62"/>
  <c r="I254" i="62"/>
  <c r="I255" i="62"/>
  <c r="I256" i="62"/>
  <c r="I257" i="62"/>
  <c r="I258" i="62"/>
  <c r="I259" i="62"/>
  <c r="I260" i="62"/>
  <c r="I261" i="62"/>
  <c r="I262" i="62"/>
  <c r="I263" i="62"/>
  <c r="I264" i="62"/>
  <c r="I265" i="62"/>
  <c r="I266" i="62"/>
  <c r="I267" i="62"/>
  <c r="I268" i="62"/>
  <c r="I269" i="62"/>
  <c r="I270" i="62"/>
  <c r="I271" i="62"/>
  <c r="I272" i="62"/>
  <c r="I273" i="62"/>
  <c r="I274" i="62"/>
  <c r="I275" i="62"/>
  <c r="I276" i="62"/>
  <c r="I277" i="62"/>
  <c r="I278" i="62"/>
  <c r="I279" i="62"/>
  <c r="I280" i="62"/>
  <c r="I281" i="62"/>
  <c r="I282" i="62"/>
  <c r="I283" i="62"/>
  <c r="I284" i="62"/>
  <c r="I285" i="62"/>
  <c r="I286" i="62"/>
  <c r="I287" i="62"/>
  <c r="I288" i="62"/>
  <c r="I289" i="62"/>
  <c r="I290" i="62"/>
  <c r="I291" i="62"/>
  <c r="I292" i="62"/>
  <c r="I293" i="62"/>
  <c r="I294" i="62"/>
  <c r="I295" i="62"/>
  <c r="I296" i="62"/>
  <c r="I297" i="62"/>
  <c r="I298" i="62"/>
  <c r="I299" i="62"/>
  <c r="I300" i="62"/>
  <c r="I301" i="62"/>
  <c r="I302" i="62"/>
  <c r="I303" i="62"/>
  <c r="I304" i="62"/>
  <c r="I305" i="62"/>
  <c r="I306" i="62"/>
  <c r="I307" i="62"/>
  <c r="I308" i="62"/>
  <c r="I309" i="62"/>
  <c r="I310" i="62"/>
  <c r="I311" i="62"/>
  <c r="I312" i="62"/>
  <c r="I313" i="62"/>
  <c r="I314" i="62"/>
  <c r="I315" i="62"/>
  <c r="I316" i="62"/>
  <c r="I317" i="62"/>
  <c r="I318" i="62"/>
  <c r="I319" i="62"/>
  <c r="I320" i="62"/>
  <c r="I321" i="62"/>
  <c r="I322" i="62"/>
  <c r="I323" i="62"/>
  <c r="I324" i="62"/>
  <c r="I325" i="62"/>
  <c r="I326" i="62"/>
  <c r="I327" i="62"/>
  <c r="I328" i="62"/>
  <c r="I329" i="62"/>
  <c r="I330" i="62"/>
  <c r="I331" i="62"/>
  <c r="I332" i="62"/>
  <c r="I333" i="62"/>
  <c r="I334" i="62"/>
  <c r="I335" i="62"/>
  <c r="I336" i="62"/>
  <c r="I337" i="62"/>
  <c r="I338" i="62"/>
  <c r="I339" i="62"/>
  <c r="I340" i="62"/>
  <c r="I341" i="62"/>
  <c r="I342" i="62"/>
  <c r="I343" i="62"/>
  <c r="I344" i="62"/>
  <c r="I345" i="62"/>
  <c r="I346" i="62"/>
  <c r="I347" i="62"/>
  <c r="I348" i="62"/>
  <c r="I349" i="62"/>
  <c r="I350" i="62"/>
  <c r="I351" i="62"/>
  <c r="I352" i="62"/>
  <c r="I353" i="62"/>
  <c r="I354" i="62"/>
  <c r="I355" i="62"/>
  <c r="I356" i="62"/>
  <c r="I357" i="62"/>
  <c r="I358" i="62"/>
  <c r="I359" i="62"/>
  <c r="I360" i="62"/>
  <c r="I361" i="62"/>
  <c r="I362" i="62"/>
  <c r="I363" i="62"/>
  <c r="I364" i="62"/>
  <c r="I365" i="62"/>
  <c r="I366" i="62"/>
  <c r="I367" i="62"/>
  <c r="I368" i="62"/>
  <c r="I369" i="62"/>
  <c r="I370" i="62"/>
  <c r="I371" i="62"/>
  <c r="I372" i="62"/>
  <c r="I373" i="62"/>
  <c r="I374" i="62"/>
  <c r="I375" i="62"/>
  <c r="I376" i="62"/>
  <c r="I377" i="62"/>
  <c r="I378" i="62"/>
  <c r="I379" i="62"/>
  <c r="I380" i="62"/>
  <c r="I381" i="62"/>
  <c r="I382" i="62"/>
  <c r="I383" i="62"/>
  <c r="I384" i="62"/>
  <c r="I385" i="62"/>
  <c r="I386" i="62"/>
  <c r="I387" i="62"/>
  <c r="I388" i="62"/>
  <c r="I389" i="62"/>
  <c r="I390" i="62"/>
  <c r="I391" i="62"/>
  <c r="I392" i="62"/>
  <c r="I393" i="62"/>
  <c r="I394" i="62"/>
  <c r="I395" i="62"/>
  <c r="I396" i="62"/>
  <c r="I397" i="62"/>
  <c r="I398" i="62"/>
  <c r="I399" i="62"/>
  <c r="I400" i="62"/>
  <c r="I401" i="62"/>
  <c r="I402" i="62"/>
  <c r="I403" i="62"/>
  <c r="I404" i="62"/>
  <c r="I405" i="62"/>
  <c r="I406" i="62"/>
  <c r="I407" i="62"/>
  <c r="I408" i="62"/>
  <c r="I10" i="62"/>
  <c r="I11" i="62"/>
  <c r="I12" i="62"/>
  <c r="I9" i="62"/>
  <c r="D3" i="62"/>
  <c r="H10" i="62"/>
  <c r="H11" i="62"/>
  <c r="H12" i="62"/>
  <c r="H13" i="62"/>
  <c r="H14" i="62"/>
  <c r="H15" i="62"/>
  <c r="H16" i="62"/>
  <c r="H17" i="62"/>
  <c r="H18" i="62"/>
  <c r="H19" i="62"/>
  <c r="H20" i="62"/>
  <c r="H21" i="62"/>
  <c r="H22" i="62"/>
  <c r="H23" i="62"/>
  <c r="H24" i="62"/>
  <c r="H25" i="62"/>
  <c r="H26" i="62"/>
  <c r="H27" i="62"/>
  <c r="H28" i="62"/>
  <c r="H29" i="62"/>
  <c r="H30" i="62"/>
  <c r="H31" i="62"/>
  <c r="H32" i="62"/>
  <c r="H33" i="62"/>
  <c r="H34" i="62"/>
  <c r="H35" i="62"/>
  <c r="H36" i="62"/>
  <c r="H37" i="62"/>
  <c r="H38" i="62"/>
  <c r="H39" i="62"/>
  <c r="H40" i="62"/>
  <c r="H41" i="62"/>
  <c r="H42" i="62"/>
  <c r="H43" i="62"/>
  <c r="H44" i="62"/>
  <c r="H45" i="62"/>
  <c r="H46" i="62"/>
  <c r="H47" i="62"/>
  <c r="H48" i="62"/>
  <c r="H49" i="62"/>
  <c r="H50" i="62"/>
  <c r="H51" i="62"/>
  <c r="H52" i="62"/>
  <c r="H53" i="62"/>
  <c r="H54" i="62"/>
  <c r="H55" i="62"/>
  <c r="H56" i="62"/>
  <c r="H57" i="62"/>
  <c r="H58" i="62"/>
  <c r="H59" i="62"/>
  <c r="H60" i="62"/>
  <c r="H61" i="62"/>
  <c r="H62" i="62"/>
  <c r="H63" i="62"/>
  <c r="H64" i="62"/>
  <c r="H65" i="62"/>
  <c r="H66" i="62"/>
  <c r="H67" i="62"/>
  <c r="H68" i="62"/>
  <c r="H69" i="62"/>
  <c r="H70" i="62"/>
  <c r="H71" i="62"/>
  <c r="H72" i="62"/>
  <c r="H73" i="62"/>
  <c r="H74" i="62"/>
  <c r="H75" i="62"/>
  <c r="H76" i="62"/>
  <c r="H77" i="62"/>
  <c r="H78" i="62"/>
  <c r="H79" i="62"/>
  <c r="H80" i="62"/>
  <c r="H81" i="62"/>
  <c r="H82" i="62"/>
  <c r="H83" i="62"/>
  <c r="H84" i="62"/>
  <c r="H85" i="62"/>
  <c r="H86" i="62"/>
  <c r="H87" i="62"/>
  <c r="H88" i="62"/>
  <c r="H89" i="62"/>
  <c r="H90" i="62"/>
  <c r="H91" i="62"/>
  <c r="H92" i="62"/>
  <c r="H93" i="62"/>
  <c r="H94" i="62"/>
  <c r="H95" i="62"/>
  <c r="H96" i="62"/>
  <c r="H97" i="62"/>
  <c r="H98" i="62"/>
  <c r="H99" i="62"/>
  <c r="H100" i="62"/>
  <c r="H101" i="62"/>
  <c r="H102" i="62"/>
  <c r="H103" i="62"/>
  <c r="H104" i="62"/>
  <c r="H105" i="62"/>
  <c r="H106" i="62"/>
  <c r="H107" i="62"/>
  <c r="H108" i="62"/>
  <c r="H109" i="62"/>
  <c r="H110" i="62"/>
  <c r="H111" i="62"/>
  <c r="H112" i="62"/>
  <c r="H113" i="62"/>
  <c r="H114" i="62"/>
  <c r="H115" i="62"/>
  <c r="H116" i="62"/>
  <c r="H117" i="62"/>
  <c r="H118" i="62"/>
  <c r="H119" i="62"/>
  <c r="H120" i="62"/>
  <c r="H121" i="62"/>
  <c r="H122" i="62"/>
  <c r="H123" i="62"/>
  <c r="H124" i="62"/>
  <c r="H125" i="62"/>
  <c r="H126" i="62"/>
  <c r="H127" i="62"/>
  <c r="H128" i="62"/>
  <c r="H129" i="62"/>
  <c r="H130" i="62"/>
  <c r="H131" i="62"/>
  <c r="H132" i="62"/>
  <c r="H133" i="62"/>
  <c r="H134" i="62"/>
  <c r="H135" i="62"/>
  <c r="H136" i="62"/>
  <c r="H137" i="62"/>
  <c r="H138" i="62"/>
  <c r="H139" i="62"/>
  <c r="H140" i="62"/>
  <c r="H141" i="62"/>
  <c r="H142" i="62"/>
  <c r="H143" i="62"/>
  <c r="H144" i="62"/>
  <c r="H145" i="62"/>
  <c r="H146" i="62"/>
  <c r="H147" i="62"/>
  <c r="H148" i="62"/>
  <c r="H149" i="62"/>
  <c r="H150" i="62"/>
  <c r="H151" i="62"/>
  <c r="H152" i="62"/>
  <c r="H153" i="62"/>
  <c r="H154" i="62"/>
  <c r="H155" i="62"/>
  <c r="H156" i="62"/>
  <c r="H157" i="62"/>
  <c r="H158" i="62"/>
  <c r="H159" i="62"/>
  <c r="H160" i="62"/>
  <c r="H161" i="62"/>
  <c r="H162" i="62"/>
  <c r="H163" i="62"/>
  <c r="H164" i="62"/>
  <c r="H165" i="62"/>
  <c r="H166" i="62"/>
  <c r="H167" i="62"/>
  <c r="H168" i="62"/>
  <c r="H169" i="62"/>
  <c r="H170" i="62"/>
  <c r="H171" i="62"/>
  <c r="H172" i="62"/>
  <c r="H173" i="62"/>
  <c r="H174" i="62"/>
  <c r="H175" i="62"/>
  <c r="H176" i="62"/>
  <c r="H177" i="62"/>
  <c r="H178" i="62"/>
  <c r="H179" i="62"/>
  <c r="H180" i="62"/>
  <c r="H181" i="62"/>
  <c r="H182" i="62"/>
  <c r="H183" i="62"/>
  <c r="H184" i="62"/>
  <c r="H185" i="62"/>
  <c r="H186" i="62"/>
  <c r="H187" i="62"/>
  <c r="H188" i="62"/>
  <c r="H189" i="62"/>
  <c r="H190" i="62"/>
  <c r="H191" i="62"/>
  <c r="H192" i="62"/>
  <c r="H193" i="62"/>
  <c r="H194" i="62"/>
  <c r="H195" i="62"/>
  <c r="H196" i="62"/>
  <c r="H197" i="62"/>
  <c r="H198" i="62"/>
  <c r="H199" i="62"/>
  <c r="H200" i="62"/>
  <c r="H201" i="62"/>
  <c r="H202" i="62"/>
  <c r="H203" i="62"/>
  <c r="H204" i="62"/>
  <c r="H205" i="62"/>
  <c r="H206" i="62"/>
  <c r="H207" i="62"/>
  <c r="H208" i="62"/>
  <c r="H209" i="62"/>
  <c r="H210" i="62"/>
  <c r="H211" i="62"/>
  <c r="H212" i="62"/>
  <c r="H213" i="62"/>
  <c r="H214" i="62"/>
  <c r="H215" i="62"/>
  <c r="H216" i="62"/>
  <c r="H217" i="62"/>
  <c r="H218" i="62"/>
  <c r="H219" i="62"/>
  <c r="H220" i="62"/>
  <c r="H221" i="62"/>
  <c r="H222" i="62"/>
  <c r="H223" i="62"/>
  <c r="H224" i="62"/>
  <c r="H225" i="62"/>
  <c r="H226" i="62"/>
  <c r="H227" i="62"/>
  <c r="H228" i="62"/>
  <c r="H229" i="62"/>
  <c r="H230" i="62"/>
  <c r="H231" i="62"/>
  <c r="H232" i="62"/>
  <c r="H233" i="62"/>
  <c r="H234" i="62"/>
  <c r="H235" i="62"/>
  <c r="H236" i="62"/>
  <c r="H237" i="62"/>
  <c r="H238" i="62"/>
  <c r="H239" i="62"/>
  <c r="H240" i="62"/>
  <c r="H241" i="62"/>
  <c r="H242" i="62"/>
  <c r="H243" i="62"/>
  <c r="H244" i="62"/>
  <c r="H245" i="62"/>
  <c r="H246" i="62"/>
  <c r="H247" i="62"/>
  <c r="H248" i="62"/>
  <c r="H249" i="62"/>
  <c r="H250" i="62"/>
  <c r="H251" i="62"/>
  <c r="H252" i="62"/>
  <c r="H253" i="62"/>
  <c r="H254" i="62"/>
  <c r="H255" i="62"/>
  <c r="H256" i="62"/>
  <c r="H257" i="62"/>
  <c r="H258" i="62"/>
  <c r="H259" i="62"/>
  <c r="H260" i="62"/>
  <c r="H261" i="62"/>
  <c r="H262" i="62"/>
  <c r="H263" i="62"/>
  <c r="H264" i="62"/>
  <c r="H265" i="62"/>
  <c r="H266" i="62"/>
  <c r="H267" i="62"/>
  <c r="H268" i="62"/>
  <c r="H269" i="62"/>
  <c r="H270" i="62"/>
  <c r="H271" i="62"/>
  <c r="H272" i="62"/>
  <c r="H273" i="62"/>
  <c r="H274" i="62"/>
  <c r="H275" i="62"/>
  <c r="H276" i="62"/>
  <c r="H277" i="62"/>
  <c r="H278" i="62"/>
  <c r="H279" i="62"/>
  <c r="H280" i="62"/>
  <c r="H281" i="62"/>
  <c r="H282" i="62"/>
  <c r="H283" i="62"/>
  <c r="H284" i="62"/>
  <c r="H285" i="62"/>
  <c r="H286" i="62"/>
  <c r="H287" i="62"/>
  <c r="H288" i="62"/>
  <c r="H289" i="62"/>
  <c r="H290" i="62"/>
  <c r="H291" i="62"/>
  <c r="H292" i="62"/>
  <c r="H293" i="62"/>
  <c r="H294" i="62"/>
  <c r="H295" i="62"/>
  <c r="H296" i="62"/>
  <c r="H297" i="62"/>
  <c r="H298" i="62"/>
  <c r="H299" i="62"/>
  <c r="H300" i="62"/>
  <c r="H301" i="62"/>
  <c r="H302" i="62"/>
  <c r="H303" i="62"/>
  <c r="H304" i="62"/>
  <c r="H305" i="62"/>
  <c r="H306" i="62"/>
  <c r="H307" i="62"/>
  <c r="H308" i="62"/>
  <c r="H309" i="62"/>
  <c r="H310" i="62"/>
  <c r="H311" i="62"/>
  <c r="H312" i="62"/>
  <c r="H313" i="62"/>
  <c r="H314" i="62"/>
  <c r="H315" i="62"/>
  <c r="H316" i="62"/>
  <c r="H317" i="62"/>
  <c r="H318" i="62"/>
  <c r="H319" i="62"/>
  <c r="H320" i="62"/>
  <c r="H321" i="62"/>
  <c r="H322" i="62"/>
  <c r="H323" i="62"/>
  <c r="H324" i="62"/>
  <c r="H325" i="62"/>
  <c r="H326" i="62"/>
  <c r="H327" i="62"/>
  <c r="H328" i="62"/>
  <c r="H329" i="62"/>
  <c r="H330" i="62"/>
  <c r="H331" i="62"/>
  <c r="H332" i="62"/>
  <c r="H333" i="62"/>
  <c r="H334" i="62"/>
  <c r="H335" i="62"/>
  <c r="H336" i="62"/>
  <c r="H337" i="62"/>
  <c r="H338" i="62"/>
  <c r="H339" i="62"/>
  <c r="H340" i="62"/>
  <c r="H341" i="62"/>
  <c r="H342" i="62"/>
  <c r="H343" i="62"/>
  <c r="H344" i="62"/>
  <c r="H345" i="62"/>
  <c r="H346" i="62"/>
  <c r="H347" i="62"/>
  <c r="H348" i="62"/>
  <c r="H349" i="62"/>
  <c r="H350" i="62"/>
  <c r="H351" i="62"/>
  <c r="H352" i="62"/>
  <c r="H353" i="62"/>
  <c r="H354" i="62"/>
  <c r="H355" i="62"/>
  <c r="H356" i="62"/>
  <c r="H357" i="62"/>
  <c r="H358" i="62"/>
  <c r="H359" i="62"/>
  <c r="H360" i="62"/>
  <c r="H361" i="62"/>
  <c r="H362" i="62"/>
  <c r="H363" i="62"/>
  <c r="H364" i="62"/>
  <c r="H365" i="62"/>
  <c r="H366" i="62"/>
  <c r="H367" i="62"/>
  <c r="H368" i="62"/>
  <c r="H369" i="62"/>
  <c r="H370" i="62"/>
  <c r="H371" i="62"/>
  <c r="H372" i="62"/>
  <c r="H373" i="62"/>
  <c r="H374" i="62"/>
  <c r="H375" i="62"/>
  <c r="H376" i="62"/>
  <c r="H377" i="62"/>
  <c r="H378" i="62"/>
  <c r="H379" i="62"/>
  <c r="H380" i="62"/>
  <c r="H381" i="62"/>
  <c r="H382" i="62"/>
  <c r="H383" i="62"/>
  <c r="H384" i="62"/>
  <c r="H385" i="62"/>
  <c r="H386" i="62"/>
  <c r="H387" i="62"/>
  <c r="H388" i="62"/>
  <c r="H389" i="62"/>
  <c r="H390" i="62"/>
  <c r="H391" i="62"/>
  <c r="H392" i="62"/>
  <c r="H393" i="62"/>
  <c r="H394" i="62"/>
  <c r="H395" i="62"/>
  <c r="H396" i="62"/>
  <c r="H397" i="62"/>
  <c r="H398" i="62"/>
  <c r="H399" i="62"/>
  <c r="H400" i="62"/>
  <c r="H401" i="62"/>
  <c r="H402" i="62"/>
  <c r="H403" i="62"/>
  <c r="H404" i="62"/>
  <c r="H405" i="62"/>
  <c r="H406" i="62"/>
  <c r="H407" i="62"/>
  <c r="H408" i="62"/>
  <c r="H9" i="62"/>
  <c r="G10" i="62"/>
  <c r="G11" i="62"/>
  <c r="G12" i="62"/>
  <c r="G13" i="62"/>
  <c r="G14" i="62"/>
  <c r="G15" i="62"/>
  <c r="G16" i="62"/>
  <c r="G17" i="62"/>
  <c r="G18" i="62"/>
  <c r="G19" i="62"/>
  <c r="G20" i="62"/>
  <c r="G21" i="62"/>
  <c r="G22" i="62"/>
  <c r="G23" i="62"/>
  <c r="G24" i="62"/>
  <c r="G25" i="62"/>
  <c r="G26" i="62"/>
  <c r="G27" i="62"/>
  <c r="G28" i="62"/>
  <c r="G29" i="62"/>
  <c r="G30" i="62"/>
  <c r="G31" i="62"/>
  <c r="G32" i="62"/>
  <c r="G33" i="62"/>
  <c r="G34" i="62"/>
  <c r="G35" i="62"/>
  <c r="G36" i="62"/>
  <c r="G37" i="62"/>
  <c r="G38" i="62"/>
  <c r="G39" i="62"/>
  <c r="G40" i="62"/>
  <c r="G41" i="62"/>
  <c r="G42" i="62"/>
  <c r="G43" i="62"/>
  <c r="G44" i="62"/>
  <c r="G45" i="62"/>
  <c r="G46" i="62"/>
  <c r="G47" i="62"/>
  <c r="G48" i="62"/>
  <c r="G49" i="62"/>
  <c r="G50" i="62"/>
  <c r="G51" i="62"/>
  <c r="G52" i="62"/>
  <c r="G53" i="62"/>
  <c r="G54" i="62"/>
  <c r="G55" i="62"/>
  <c r="G56" i="62"/>
  <c r="G57" i="62"/>
  <c r="G58" i="62"/>
  <c r="G59" i="62"/>
  <c r="G60" i="62"/>
  <c r="G61" i="62"/>
  <c r="G62" i="62"/>
  <c r="G63" i="62"/>
  <c r="G64" i="62"/>
  <c r="G65" i="62"/>
  <c r="G66" i="62"/>
  <c r="G67" i="62"/>
  <c r="G68" i="62"/>
  <c r="G69" i="62"/>
  <c r="G70" i="62"/>
  <c r="G71" i="62"/>
  <c r="G72" i="62"/>
  <c r="G73" i="62"/>
  <c r="G74" i="62"/>
  <c r="G75" i="62"/>
  <c r="G76" i="62"/>
  <c r="G77" i="62"/>
  <c r="G78" i="62"/>
  <c r="G79" i="62"/>
  <c r="G80" i="62"/>
  <c r="G81" i="62"/>
  <c r="G82" i="62"/>
  <c r="G83" i="62"/>
  <c r="G84" i="62"/>
  <c r="G85" i="62"/>
  <c r="G86" i="62"/>
  <c r="G87" i="62"/>
  <c r="G88" i="62"/>
  <c r="G89" i="62"/>
  <c r="G90" i="62"/>
  <c r="G91" i="62"/>
  <c r="G92" i="62"/>
  <c r="G93" i="62"/>
  <c r="G94" i="62"/>
  <c r="G95" i="62"/>
  <c r="G96" i="62"/>
  <c r="G97" i="62"/>
  <c r="G98" i="62"/>
  <c r="G99" i="62"/>
  <c r="G100" i="62"/>
  <c r="G101" i="62"/>
  <c r="G102" i="62"/>
  <c r="G103" i="62"/>
  <c r="G104" i="62"/>
  <c r="G105" i="62"/>
  <c r="G106" i="62"/>
  <c r="G107" i="62"/>
  <c r="G108" i="62"/>
  <c r="G109" i="62"/>
  <c r="G110" i="62"/>
  <c r="G111" i="62"/>
  <c r="G112" i="62"/>
  <c r="G113" i="62"/>
  <c r="G114" i="62"/>
  <c r="G115" i="62"/>
  <c r="G116" i="62"/>
  <c r="G117" i="62"/>
  <c r="G118" i="62"/>
  <c r="G119" i="62"/>
  <c r="G120" i="62"/>
  <c r="G121" i="62"/>
  <c r="G122" i="62"/>
  <c r="G123" i="62"/>
  <c r="G124" i="62"/>
  <c r="G125" i="62"/>
  <c r="G126" i="62"/>
  <c r="G127" i="62"/>
  <c r="G128" i="62"/>
  <c r="G129" i="62"/>
  <c r="G130" i="62"/>
  <c r="G131" i="62"/>
  <c r="G132" i="62"/>
  <c r="G133" i="62"/>
  <c r="G134" i="62"/>
  <c r="G135" i="62"/>
  <c r="G136" i="62"/>
  <c r="G137" i="62"/>
  <c r="G138" i="62"/>
  <c r="G139" i="62"/>
  <c r="G140" i="62"/>
  <c r="G141" i="62"/>
  <c r="G142" i="62"/>
  <c r="G143" i="62"/>
  <c r="G144" i="62"/>
  <c r="G145" i="62"/>
  <c r="G146" i="62"/>
  <c r="G147" i="62"/>
  <c r="G148" i="62"/>
  <c r="G149" i="62"/>
  <c r="G150" i="62"/>
  <c r="G151" i="62"/>
  <c r="G152" i="62"/>
  <c r="G153" i="62"/>
  <c r="G154" i="62"/>
  <c r="G155" i="62"/>
  <c r="G156" i="62"/>
  <c r="G157" i="62"/>
  <c r="G158" i="62"/>
  <c r="G159" i="62"/>
  <c r="G160" i="62"/>
  <c r="G161" i="62"/>
  <c r="G162" i="62"/>
  <c r="G163" i="62"/>
  <c r="G164" i="62"/>
  <c r="G165" i="62"/>
  <c r="G166" i="62"/>
  <c r="G167" i="62"/>
  <c r="G168" i="62"/>
  <c r="G169" i="62"/>
  <c r="G170" i="62"/>
  <c r="G171" i="62"/>
  <c r="G172" i="62"/>
  <c r="G173" i="62"/>
  <c r="G174" i="62"/>
  <c r="G175" i="62"/>
  <c r="G176" i="62"/>
  <c r="G177" i="62"/>
  <c r="G178" i="62"/>
  <c r="G179" i="62"/>
  <c r="G180" i="62"/>
  <c r="G181" i="62"/>
  <c r="G182" i="62"/>
  <c r="G183" i="62"/>
  <c r="G184" i="62"/>
  <c r="G185" i="62"/>
  <c r="G186" i="62"/>
  <c r="G187" i="62"/>
  <c r="G188" i="62"/>
  <c r="G189" i="62"/>
  <c r="G190" i="62"/>
  <c r="G191" i="62"/>
  <c r="G192" i="62"/>
  <c r="G193" i="62"/>
  <c r="G194" i="62"/>
  <c r="G195" i="62"/>
  <c r="G196" i="62"/>
  <c r="G197" i="62"/>
  <c r="G198" i="62"/>
  <c r="G199" i="62"/>
  <c r="G200" i="62"/>
  <c r="G201" i="62"/>
  <c r="G202" i="62"/>
  <c r="G203" i="62"/>
  <c r="G204" i="62"/>
  <c r="G205" i="62"/>
  <c r="G206" i="62"/>
  <c r="G207" i="62"/>
  <c r="G208" i="62"/>
  <c r="G209" i="62"/>
  <c r="G210" i="62"/>
  <c r="G211" i="62"/>
  <c r="G212" i="62"/>
  <c r="G213" i="62"/>
  <c r="G214" i="62"/>
  <c r="G215" i="62"/>
  <c r="G216" i="62"/>
  <c r="G217" i="62"/>
  <c r="G218" i="62"/>
  <c r="G219" i="62"/>
  <c r="G220" i="62"/>
  <c r="G221" i="62"/>
  <c r="G222" i="62"/>
  <c r="G223" i="62"/>
  <c r="G224" i="62"/>
  <c r="G225" i="62"/>
  <c r="G226" i="62"/>
  <c r="G227" i="62"/>
  <c r="G228" i="62"/>
  <c r="G229" i="62"/>
  <c r="G230" i="62"/>
  <c r="G231" i="62"/>
  <c r="G232" i="62"/>
  <c r="G233" i="62"/>
  <c r="G234" i="62"/>
  <c r="G235" i="62"/>
  <c r="G236" i="62"/>
  <c r="G237" i="62"/>
  <c r="G238" i="62"/>
  <c r="G239" i="62"/>
  <c r="G240" i="62"/>
  <c r="G241" i="62"/>
  <c r="G242" i="62"/>
  <c r="G243" i="62"/>
  <c r="G244" i="62"/>
  <c r="G245" i="62"/>
  <c r="G246" i="62"/>
  <c r="G247" i="62"/>
  <c r="G248" i="62"/>
  <c r="G249" i="62"/>
  <c r="G250" i="62"/>
  <c r="G251" i="62"/>
  <c r="G252" i="62"/>
  <c r="G253" i="62"/>
  <c r="G254" i="62"/>
  <c r="G255" i="62"/>
  <c r="G256" i="62"/>
  <c r="G257" i="62"/>
  <c r="G258" i="62"/>
  <c r="G259" i="62"/>
  <c r="G260" i="62"/>
  <c r="G261" i="62"/>
  <c r="G262" i="62"/>
  <c r="G263" i="62"/>
  <c r="G264" i="62"/>
  <c r="G265" i="62"/>
  <c r="G266" i="62"/>
  <c r="G267" i="62"/>
  <c r="G268" i="62"/>
  <c r="G269" i="62"/>
  <c r="G270" i="62"/>
  <c r="G271" i="62"/>
  <c r="G272" i="62"/>
  <c r="G273" i="62"/>
  <c r="G274" i="62"/>
  <c r="G275" i="62"/>
  <c r="G276" i="62"/>
  <c r="G277" i="62"/>
  <c r="G278" i="62"/>
  <c r="G279" i="62"/>
  <c r="G280" i="62"/>
  <c r="G281" i="62"/>
  <c r="G282" i="62"/>
  <c r="G283" i="62"/>
  <c r="G284" i="62"/>
  <c r="G285" i="62"/>
  <c r="G286" i="62"/>
  <c r="G287" i="62"/>
  <c r="G288" i="62"/>
  <c r="G289" i="62"/>
  <c r="G290" i="62"/>
  <c r="G291" i="62"/>
  <c r="G292" i="62"/>
  <c r="G293" i="62"/>
  <c r="G294" i="62"/>
  <c r="G295" i="62"/>
  <c r="G296" i="62"/>
  <c r="G297" i="62"/>
  <c r="G298" i="62"/>
  <c r="G299" i="62"/>
  <c r="G300" i="62"/>
  <c r="G301" i="62"/>
  <c r="G302" i="62"/>
  <c r="G303" i="62"/>
  <c r="G304" i="62"/>
  <c r="G305" i="62"/>
  <c r="G306" i="62"/>
  <c r="G307" i="62"/>
  <c r="G308" i="62"/>
  <c r="G309" i="62"/>
  <c r="G310" i="62"/>
  <c r="G311" i="62"/>
  <c r="G312" i="62"/>
  <c r="G313" i="62"/>
  <c r="G314" i="62"/>
  <c r="G315" i="62"/>
  <c r="G316" i="62"/>
  <c r="G317" i="62"/>
  <c r="G318" i="62"/>
  <c r="G319" i="62"/>
  <c r="G320" i="62"/>
  <c r="G321" i="62"/>
  <c r="G322" i="62"/>
  <c r="G323" i="62"/>
  <c r="G324" i="62"/>
  <c r="G325" i="62"/>
  <c r="G326" i="62"/>
  <c r="G327" i="62"/>
  <c r="G328" i="62"/>
  <c r="G329" i="62"/>
  <c r="G330" i="62"/>
  <c r="G331" i="62"/>
  <c r="G332" i="62"/>
  <c r="G333" i="62"/>
  <c r="G334" i="62"/>
  <c r="G335" i="62"/>
  <c r="G336" i="62"/>
  <c r="G337" i="62"/>
  <c r="G338" i="62"/>
  <c r="G339" i="62"/>
  <c r="G340" i="62"/>
  <c r="G341" i="62"/>
  <c r="G342" i="62"/>
  <c r="G343" i="62"/>
  <c r="G344" i="62"/>
  <c r="G345" i="62"/>
  <c r="G346" i="62"/>
  <c r="G347" i="62"/>
  <c r="G348" i="62"/>
  <c r="G349" i="62"/>
  <c r="G350" i="62"/>
  <c r="G351" i="62"/>
  <c r="G352" i="62"/>
  <c r="G353" i="62"/>
  <c r="G354" i="62"/>
  <c r="G355" i="62"/>
  <c r="G356" i="62"/>
  <c r="G357" i="62"/>
  <c r="G358" i="62"/>
  <c r="G359" i="62"/>
  <c r="G360" i="62"/>
  <c r="G361" i="62"/>
  <c r="G362" i="62"/>
  <c r="G363" i="62"/>
  <c r="G364" i="62"/>
  <c r="G365" i="62"/>
  <c r="G366" i="62"/>
  <c r="G367" i="62"/>
  <c r="G368" i="62"/>
  <c r="G369" i="62"/>
  <c r="G370" i="62"/>
  <c r="G371" i="62"/>
  <c r="G372" i="62"/>
  <c r="G373" i="62"/>
  <c r="G374" i="62"/>
  <c r="G375" i="62"/>
  <c r="G376" i="62"/>
  <c r="G377" i="62"/>
  <c r="G378" i="62"/>
  <c r="G379" i="62"/>
  <c r="G380" i="62"/>
  <c r="G381" i="62"/>
  <c r="G382" i="62"/>
  <c r="G383" i="62"/>
  <c r="G384" i="62"/>
  <c r="G385" i="62"/>
  <c r="G386" i="62"/>
  <c r="G387" i="62"/>
  <c r="G388" i="62"/>
  <c r="G389" i="62"/>
  <c r="G390" i="62"/>
  <c r="G391" i="62"/>
  <c r="G392" i="62"/>
  <c r="G393" i="62"/>
  <c r="G394" i="62"/>
  <c r="G395" i="62"/>
  <c r="G396" i="62"/>
  <c r="G397" i="62"/>
  <c r="G398" i="62"/>
  <c r="G399" i="62"/>
  <c r="G400" i="62"/>
  <c r="G401" i="62"/>
  <c r="G402" i="62"/>
  <c r="G403" i="62"/>
  <c r="G404" i="62"/>
  <c r="G405" i="62"/>
  <c r="G406" i="62"/>
  <c r="G407" i="62"/>
  <c r="G408" i="62"/>
  <c r="G9" i="62"/>
  <c r="F10" i="62"/>
  <c r="F11" i="62"/>
  <c r="F12" i="62"/>
  <c r="F13" i="62"/>
  <c r="F14" i="62"/>
  <c r="F15" i="62"/>
  <c r="F16" i="62"/>
  <c r="F17" i="62"/>
  <c r="F18" i="62"/>
  <c r="F19" i="62"/>
  <c r="F20" i="62"/>
  <c r="F21" i="62"/>
  <c r="F22" i="62"/>
  <c r="F23" i="62"/>
  <c r="F24" i="62"/>
  <c r="F25" i="62"/>
  <c r="F26" i="62"/>
  <c r="F27" i="62"/>
  <c r="F28" i="62"/>
  <c r="F29" i="62"/>
  <c r="F30" i="62"/>
  <c r="F31" i="62"/>
  <c r="F32" i="62"/>
  <c r="F33" i="62"/>
  <c r="F34" i="62"/>
  <c r="F35" i="62"/>
  <c r="F36" i="62"/>
  <c r="F37" i="62"/>
  <c r="F38" i="62"/>
  <c r="F39" i="62"/>
  <c r="F40" i="62"/>
  <c r="F41" i="62"/>
  <c r="F42" i="62"/>
  <c r="F43" i="62"/>
  <c r="F44" i="62"/>
  <c r="F45" i="62"/>
  <c r="F46" i="62"/>
  <c r="F47" i="62"/>
  <c r="F48" i="62"/>
  <c r="F49" i="62"/>
  <c r="F50" i="62"/>
  <c r="F51" i="62"/>
  <c r="F52" i="62"/>
  <c r="F53" i="62"/>
  <c r="F54" i="62"/>
  <c r="F55" i="62"/>
  <c r="F56" i="62"/>
  <c r="F57" i="62"/>
  <c r="F58" i="62"/>
  <c r="F59" i="62"/>
  <c r="F60" i="62"/>
  <c r="F61" i="62"/>
  <c r="F62" i="62"/>
  <c r="F63" i="62"/>
  <c r="F64" i="62"/>
  <c r="F65" i="62"/>
  <c r="F66" i="62"/>
  <c r="F67" i="62"/>
  <c r="F68" i="62"/>
  <c r="F69" i="62"/>
  <c r="F70" i="62"/>
  <c r="F71" i="62"/>
  <c r="F72" i="62"/>
  <c r="F73" i="62"/>
  <c r="F74" i="62"/>
  <c r="F75" i="62"/>
  <c r="F76" i="62"/>
  <c r="F77" i="62"/>
  <c r="F78" i="62"/>
  <c r="F79" i="62"/>
  <c r="F80" i="62"/>
  <c r="F81" i="62"/>
  <c r="F82" i="62"/>
  <c r="F83" i="62"/>
  <c r="F84" i="62"/>
  <c r="F85" i="62"/>
  <c r="F86" i="62"/>
  <c r="F87" i="62"/>
  <c r="F88" i="62"/>
  <c r="F89" i="62"/>
  <c r="F90" i="62"/>
  <c r="F91" i="62"/>
  <c r="F92" i="62"/>
  <c r="F93" i="62"/>
  <c r="F94" i="62"/>
  <c r="F95" i="62"/>
  <c r="F96" i="62"/>
  <c r="F97" i="62"/>
  <c r="F98" i="62"/>
  <c r="F99" i="62"/>
  <c r="F100" i="62"/>
  <c r="F101" i="62"/>
  <c r="F102" i="62"/>
  <c r="F103" i="62"/>
  <c r="F104" i="62"/>
  <c r="F105" i="62"/>
  <c r="F106" i="62"/>
  <c r="F107" i="62"/>
  <c r="F108" i="62"/>
  <c r="F109" i="62"/>
  <c r="F110" i="62"/>
  <c r="F111" i="62"/>
  <c r="F112" i="62"/>
  <c r="F113" i="62"/>
  <c r="F114" i="62"/>
  <c r="F115" i="62"/>
  <c r="F116" i="62"/>
  <c r="F117" i="62"/>
  <c r="F118" i="62"/>
  <c r="F119" i="62"/>
  <c r="F120" i="62"/>
  <c r="F121" i="62"/>
  <c r="F122" i="62"/>
  <c r="F123" i="62"/>
  <c r="F124" i="62"/>
  <c r="F125" i="62"/>
  <c r="F126" i="62"/>
  <c r="F127" i="62"/>
  <c r="F128" i="62"/>
  <c r="F129" i="62"/>
  <c r="F130" i="62"/>
  <c r="F131" i="62"/>
  <c r="F132" i="62"/>
  <c r="F133" i="62"/>
  <c r="F134" i="62"/>
  <c r="F135" i="62"/>
  <c r="F136" i="62"/>
  <c r="F137" i="62"/>
  <c r="F138" i="62"/>
  <c r="F139" i="62"/>
  <c r="F140" i="62"/>
  <c r="F141" i="62"/>
  <c r="F142" i="62"/>
  <c r="F143" i="62"/>
  <c r="F144" i="62"/>
  <c r="F145" i="62"/>
  <c r="F146" i="62"/>
  <c r="F147" i="62"/>
  <c r="F148" i="62"/>
  <c r="F149" i="62"/>
  <c r="F150" i="62"/>
  <c r="F151" i="62"/>
  <c r="F152" i="62"/>
  <c r="F153" i="62"/>
  <c r="F154" i="62"/>
  <c r="F155" i="62"/>
  <c r="F156" i="62"/>
  <c r="F157" i="62"/>
  <c r="F158" i="62"/>
  <c r="F159" i="62"/>
  <c r="F160" i="62"/>
  <c r="F161" i="62"/>
  <c r="F162" i="62"/>
  <c r="F163" i="62"/>
  <c r="F164" i="62"/>
  <c r="F165" i="62"/>
  <c r="F166" i="62"/>
  <c r="F167" i="62"/>
  <c r="F168" i="62"/>
  <c r="F169" i="62"/>
  <c r="F170" i="62"/>
  <c r="F171" i="62"/>
  <c r="F172" i="62"/>
  <c r="F173" i="62"/>
  <c r="F174" i="62"/>
  <c r="F175" i="62"/>
  <c r="F176" i="62"/>
  <c r="F177" i="62"/>
  <c r="F178" i="62"/>
  <c r="F179" i="62"/>
  <c r="F180" i="62"/>
  <c r="F181" i="62"/>
  <c r="F182" i="62"/>
  <c r="F183" i="62"/>
  <c r="F184" i="62"/>
  <c r="F185" i="62"/>
  <c r="F186" i="62"/>
  <c r="F187" i="62"/>
  <c r="F188" i="62"/>
  <c r="F189" i="62"/>
  <c r="F190" i="62"/>
  <c r="F191" i="62"/>
  <c r="F192" i="62"/>
  <c r="F193" i="62"/>
  <c r="F194" i="62"/>
  <c r="F195" i="62"/>
  <c r="F196" i="62"/>
  <c r="F197" i="62"/>
  <c r="F198" i="62"/>
  <c r="F199" i="62"/>
  <c r="F200" i="62"/>
  <c r="F201" i="62"/>
  <c r="F202" i="62"/>
  <c r="F203" i="62"/>
  <c r="F204" i="62"/>
  <c r="F205" i="62"/>
  <c r="F206" i="62"/>
  <c r="F207" i="62"/>
  <c r="F208" i="62"/>
  <c r="F209" i="62"/>
  <c r="F210" i="62"/>
  <c r="F211" i="62"/>
  <c r="F212" i="62"/>
  <c r="F213" i="62"/>
  <c r="F214" i="62"/>
  <c r="F215" i="62"/>
  <c r="F216" i="62"/>
  <c r="F217" i="62"/>
  <c r="F218" i="62"/>
  <c r="F219" i="62"/>
  <c r="F220" i="62"/>
  <c r="F221" i="62"/>
  <c r="F222" i="62"/>
  <c r="F223" i="62"/>
  <c r="F224" i="62"/>
  <c r="F225" i="62"/>
  <c r="F226" i="62"/>
  <c r="F227" i="62"/>
  <c r="F228" i="62"/>
  <c r="F229" i="62"/>
  <c r="F230" i="62"/>
  <c r="F231" i="62"/>
  <c r="F232" i="62"/>
  <c r="F233" i="62"/>
  <c r="F234" i="62"/>
  <c r="F235" i="62"/>
  <c r="F236" i="62"/>
  <c r="F237" i="62"/>
  <c r="F238" i="62"/>
  <c r="F239" i="62"/>
  <c r="F240" i="62"/>
  <c r="F241" i="62"/>
  <c r="F242" i="62"/>
  <c r="F243" i="62"/>
  <c r="F244" i="62"/>
  <c r="F245" i="62"/>
  <c r="F246" i="62"/>
  <c r="F247" i="62"/>
  <c r="F248" i="62"/>
  <c r="F249" i="62"/>
  <c r="F250" i="62"/>
  <c r="F251" i="62"/>
  <c r="F252" i="62"/>
  <c r="F253" i="62"/>
  <c r="F254" i="62"/>
  <c r="F255" i="62"/>
  <c r="F256" i="62"/>
  <c r="F257" i="62"/>
  <c r="F258" i="62"/>
  <c r="F259" i="62"/>
  <c r="F260" i="62"/>
  <c r="F261" i="62"/>
  <c r="F262" i="62"/>
  <c r="F263" i="62"/>
  <c r="F264" i="62"/>
  <c r="F265" i="62"/>
  <c r="F266" i="62"/>
  <c r="F267" i="62"/>
  <c r="F268" i="62"/>
  <c r="F269" i="62"/>
  <c r="F270" i="62"/>
  <c r="F271" i="62"/>
  <c r="F272" i="62"/>
  <c r="F273" i="62"/>
  <c r="F274" i="62"/>
  <c r="F275" i="62"/>
  <c r="F276" i="62"/>
  <c r="F277" i="62"/>
  <c r="F278" i="62"/>
  <c r="F279" i="62"/>
  <c r="F280" i="62"/>
  <c r="F281" i="62"/>
  <c r="F282" i="62"/>
  <c r="F283" i="62"/>
  <c r="F284" i="62"/>
  <c r="F285" i="62"/>
  <c r="F286" i="62"/>
  <c r="F287" i="62"/>
  <c r="F288" i="62"/>
  <c r="F289" i="62"/>
  <c r="F290" i="62"/>
  <c r="F291" i="62"/>
  <c r="F292" i="62"/>
  <c r="F293" i="62"/>
  <c r="F294" i="62"/>
  <c r="F295" i="62"/>
  <c r="F296" i="62"/>
  <c r="F297" i="62"/>
  <c r="F298" i="62"/>
  <c r="F299" i="62"/>
  <c r="F300" i="62"/>
  <c r="F301" i="62"/>
  <c r="F302" i="62"/>
  <c r="F303" i="62"/>
  <c r="F304" i="62"/>
  <c r="F305" i="62"/>
  <c r="F306" i="62"/>
  <c r="F307" i="62"/>
  <c r="F308" i="62"/>
  <c r="F309" i="62"/>
  <c r="F310" i="62"/>
  <c r="F311" i="62"/>
  <c r="F312" i="62"/>
  <c r="F313" i="62"/>
  <c r="F314" i="62"/>
  <c r="F315" i="62"/>
  <c r="F316" i="62"/>
  <c r="F317" i="62"/>
  <c r="F318" i="62"/>
  <c r="F319" i="62"/>
  <c r="F320" i="62"/>
  <c r="F321" i="62"/>
  <c r="F322" i="62"/>
  <c r="F323" i="62"/>
  <c r="F324" i="62"/>
  <c r="F325" i="62"/>
  <c r="F326" i="62"/>
  <c r="F327" i="62"/>
  <c r="F328" i="62"/>
  <c r="F329" i="62"/>
  <c r="F330" i="62"/>
  <c r="F331" i="62"/>
  <c r="F332" i="62"/>
  <c r="F333" i="62"/>
  <c r="F334" i="62"/>
  <c r="F335" i="62"/>
  <c r="F336" i="62"/>
  <c r="F337" i="62"/>
  <c r="F338" i="62"/>
  <c r="F339" i="62"/>
  <c r="F340" i="62"/>
  <c r="F341" i="62"/>
  <c r="F342" i="62"/>
  <c r="F343" i="62"/>
  <c r="F344" i="62"/>
  <c r="F345" i="62"/>
  <c r="F346" i="62"/>
  <c r="F347" i="62"/>
  <c r="F348" i="62"/>
  <c r="F349" i="62"/>
  <c r="F350" i="62"/>
  <c r="F351" i="62"/>
  <c r="F352" i="62"/>
  <c r="F353" i="62"/>
  <c r="F354" i="62"/>
  <c r="F355" i="62"/>
  <c r="F356" i="62"/>
  <c r="F357" i="62"/>
  <c r="F358" i="62"/>
  <c r="F359" i="62"/>
  <c r="F360" i="62"/>
  <c r="F361" i="62"/>
  <c r="F362" i="62"/>
  <c r="F363" i="62"/>
  <c r="F364" i="62"/>
  <c r="F365" i="62"/>
  <c r="F366" i="62"/>
  <c r="F367" i="62"/>
  <c r="F368" i="62"/>
  <c r="F369" i="62"/>
  <c r="F370" i="62"/>
  <c r="F371" i="62"/>
  <c r="F372" i="62"/>
  <c r="F373" i="62"/>
  <c r="F374" i="62"/>
  <c r="F375" i="62"/>
  <c r="F376" i="62"/>
  <c r="F377" i="62"/>
  <c r="F378" i="62"/>
  <c r="F379" i="62"/>
  <c r="F380" i="62"/>
  <c r="F381" i="62"/>
  <c r="F382" i="62"/>
  <c r="F383" i="62"/>
  <c r="F384" i="62"/>
  <c r="F385" i="62"/>
  <c r="F386" i="62"/>
  <c r="F387" i="62"/>
  <c r="F388" i="62"/>
  <c r="F389" i="62"/>
  <c r="F390" i="62"/>
  <c r="F391" i="62"/>
  <c r="F392" i="62"/>
  <c r="F393" i="62"/>
  <c r="F394" i="62"/>
  <c r="F395" i="62"/>
  <c r="F396" i="62"/>
  <c r="F397" i="62"/>
  <c r="F398" i="62"/>
  <c r="F399" i="62"/>
  <c r="F400" i="62"/>
  <c r="F401" i="62"/>
  <c r="F402" i="62"/>
  <c r="F403" i="62"/>
  <c r="F404" i="62"/>
  <c r="F405" i="62"/>
  <c r="F406" i="62"/>
  <c r="F407" i="62"/>
  <c r="F408" i="62"/>
  <c r="F9" i="62"/>
  <c r="E10" i="62"/>
  <c r="E11" i="62"/>
  <c r="E12" i="62"/>
  <c r="E13" i="62"/>
  <c r="E14" i="62"/>
  <c r="E15" i="62"/>
  <c r="E16" i="62"/>
  <c r="E17" i="62"/>
  <c r="E18" i="62"/>
  <c r="E19" i="62"/>
  <c r="E20" i="62"/>
  <c r="E21" i="62"/>
  <c r="E22" i="62"/>
  <c r="E23" i="62"/>
  <c r="E24" i="62"/>
  <c r="E25" i="62"/>
  <c r="E26" i="62"/>
  <c r="E27" i="62"/>
  <c r="E28" i="62"/>
  <c r="E29" i="62"/>
  <c r="E30" i="62"/>
  <c r="E31" i="62"/>
  <c r="E32" i="62"/>
  <c r="E33" i="62"/>
  <c r="E34" i="62"/>
  <c r="E35" i="62"/>
  <c r="E36" i="62"/>
  <c r="E37" i="62"/>
  <c r="E38" i="62"/>
  <c r="E39" i="62"/>
  <c r="E40" i="62"/>
  <c r="E41" i="62"/>
  <c r="E42" i="62"/>
  <c r="E43" i="62"/>
  <c r="E44" i="62"/>
  <c r="E45" i="62"/>
  <c r="E46" i="62"/>
  <c r="E47" i="62"/>
  <c r="E48" i="62"/>
  <c r="E49" i="62"/>
  <c r="E50" i="62"/>
  <c r="E51" i="62"/>
  <c r="E52" i="62"/>
  <c r="E53" i="62"/>
  <c r="E54" i="62"/>
  <c r="E55" i="62"/>
  <c r="E56" i="62"/>
  <c r="E57" i="62"/>
  <c r="E58" i="62"/>
  <c r="E59" i="62"/>
  <c r="E60" i="62"/>
  <c r="E61" i="62"/>
  <c r="E62" i="62"/>
  <c r="E63" i="62"/>
  <c r="E64" i="62"/>
  <c r="E65" i="62"/>
  <c r="E66" i="62"/>
  <c r="E67" i="62"/>
  <c r="E68" i="62"/>
  <c r="E69" i="62"/>
  <c r="E70" i="62"/>
  <c r="E71" i="62"/>
  <c r="E72" i="62"/>
  <c r="E73" i="62"/>
  <c r="E74" i="62"/>
  <c r="E75" i="62"/>
  <c r="E76" i="62"/>
  <c r="E77" i="62"/>
  <c r="E78" i="62"/>
  <c r="E79" i="62"/>
  <c r="E80" i="62"/>
  <c r="E81" i="62"/>
  <c r="E82" i="62"/>
  <c r="E83" i="62"/>
  <c r="E84" i="62"/>
  <c r="E85" i="62"/>
  <c r="E86" i="62"/>
  <c r="E87" i="62"/>
  <c r="E88" i="62"/>
  <c r="E89" i="62"/>
  <c r="E90" i="62"/>
  <c r="E91" i="62"/>
  <c r="E92" i="62"/>
  <c r="E93" i="62"/>
  <c r="E94" i="62"/>
  <c r="E95" i="62"/>
  <c r="E96" i="62"/>
  <c r="E97" i="62"/>
  <c r="E98" i="62"/>
  <c r="E99" i="62"/>
  <c r="E100" i="62"/>
  <c r="E101" i="62"/>
  <c r="E102" i="62"/>
  <c r="E103" i="62"/>
  <c r="E104" i="62"/>
  <c r="E105" i="62"/>
  <c r="E106" i="62"/>
  <c r="E107" i="62"/>
  <c r="E108" i="62"/>
  <c r="E109" i="62"/>
  <c r="E110" i="62"/>
  <c r="E111" i="62"/>
  <c r="E112" i="62"/>
  <c r="E113" i="62"/>
  <c r="E114" i="62"/>
  <c r="E115" i="62"/>
  <c r="E116" i="62"/>
  <c r="E117" i="62"/>
  <c r="E118" i="62"/>
  <c r="E119" i="62"/>
  <c r="E120" i="62"/>
  <c r="E121" i="62"/>
  <c r="E122" i="62"/>
  <c r="E123" i="62"/>
  <c r="E124" i="62"/>
  <c r="E125" i="62"/>
  <c r="E126" i="62"/>
  <c r="E127" i="62"/>
  <c r="E128" i="62"/>
  <c r="E129" i="62"/>
  <c r="E130" i="62"/>
  <c r="E131" i="62"/>
  <c r="E132" i="62"/>
  <c r="E133" i="62"/>
  <c r="E134" i="62"/>
  <c r="E135" i="62"/>
  <c r="E136" i="62"/>
  <c r="E137" i="62"/>
  <c r="E138" i="62"/>
  <c r="E139" i="62"/>
  <c r="E140" i="62"/>
  <c r="E141" i="62"/>
  <c r="E142" i="62"/>
  <c r="E143" i="62"/>
  <c r="E144" i="62"/>
  <c r="E145" i="62"/>
  <c r="E146" i="62"/>
  <c r="E147" i="62"/>
  <c r="E148" i="62"/>
  <c r="E149" i="62"/>
  <c r="E150" i="62"/>
  <c r="E151" i="62"/>
  <c r="E152" i="62"/>
  <c r="E153" i="62"/>
  <c r="E154" i="62"/>
  <c r="E155" i="62"/>
  <c r="E156" i="62"/>
  <c r="E157" i="62"/>
  <c r="E158" i="62"/>
  <c r="E159" i="62"/>
  <c r="E160" i="62"/>
  <c r="E161" i="62"/>
  <c r="E162" i="62"/>
  <c r="E163" i="62"/>
  <c r="E164" i="62"/>
  <c r="E165" i="62"/>
  <c r="E166" i="62"/>
  <c r="E167" i="62"/>
  <c r="E168" i="62"/>
  <c r="E169" i="62"/>
  <c r="E170" i="62"/>
  <c r="E171" i="62"/>
  <c r="E172" i="62"/>
  <c r="E173" i="62"/>
  <c r="E174" i="62"/>
  <c r="E175" i="62"/>
  <c r="E176" i="62"/>
  <c r="E177" i="62"/>
  <c r="E178" i="62"/>
  <c r="E179" i="62"/>
  <c r="E180" i="62"/>
  <c r="E181" i="62"/>
  <c r="E182" i="62"/>
  <c r="E183" i="62"/>
  <c r="E184" i="62"/>
  <c r="E185" i="62"/>
  <c r="E186" i="62"/>
  <c r="E187" i="62"/>
  <c r="E188" i="62"/>
  <c r="E189" i="62"/>
  <c r="E190" i="62"/>
  <c r="E191" i="62"/>
  <c r="E192" i="62"/>
  <c r="E193" i="62"/>
  <c r="E194" i="62"/>
  <c r="E195" i="62"/>
  <c r="E196" i="62"/>
  <c r="E197" i="62"/>
  <c r="E198" i="62"/>
  <c r="E199" i="62"/>
  <c r="E200" i="62"/>
  <c r="E201" i="62"/>
  <c r="E202" i="62"/>
  <c r="E203" i="62"/>
  <c r="E204" i="62"/>
  <c r="E205" i="62"/>
  <c r="E206" i="62"/>
  <c r="E207" i="62"/>
  <c r="E208" i="62"/>
  <c r="E209" i="62"/>
  <c r="E210" i="62"/>
  <c r="E211" i="62"/>
  <c r="E212" i="62"/>
  <c r="E213" i="62"/>
  <c r="E214" i="62"/>
  <c r="E215" i="62"/>
  <c r="E216" i="62"/>
  <c r="E217" i="62"/>
  <c r="E218" i="62"/>
  <c r="E219" i="62"/>
  <c r="E220" i="62"/>
  <c r="E221" i="62"/>
  <c r="E222" i="62"/>
  <c r="E223" i="62"/>
  <c r="E224" i="62"/>
  <c r="E225" i="62"/>
  <c r="E226" i="62"/>
  <c r="E227" i="62"/>
  <c r="E228" i="62"/>
  <c r="E229" i="62"/>
  <c r="E230" i="62"/>
  <c r="E231" i="62"/>
  <c r="E232" i="62"/>
  <c r="E233" i="62"/>
  <c r="E234" i="62"/>
  <c r="E235" i="62"/>
  <c r="E236" i="62"/>
  <c r="E237" i="62"/>
  <c r="E238" i="62"/>
  <c r="E239" i="62"/>
  <c r="E240" i="62"/>
  <c r="E241" i="62"/>
  <c r="E242" i="62"/>
  <c r="E243" i="62"/>
  <c r="E244" i="62"/>
  <c r="E245" i="62"/>
  <c r="E246" i="62"/>
  <c r="E247" i="62"/>
  <c r="E248" i="62"/>
  <c r="E249" i="62"/>
  <c r="E250" i="62"/>
  <c r="E251" i="62"/>
  <c r="E252" i="62"/>
  <c r="E253" i="62"/>
  <c r="E254" i="62"/>
  <c r="E255" i="62"/>
  <c r="E256" i="62"/>
  <c r="E257" i="62"/>
  <c r="E258" i="62"/>
  <c r="E259" i="62"/>
  <c r="E260" i="62"/>
  <c r="E261" i="62"/>
  <c r="E262" i="62"/>
  <c r="E263" i="62"/>
  <c r="E264" i="62"/>
  <c r="E265" i="62"/>
  <c r="E266" i="62"/>
  <c r="E267" i="62"/>
  <c r="E268" i="62"/>
  <c r="E269" i="62"/>
  <c r="E270" i="62"/>
  <c r="E271" i="62"/>
  <c r="E272" i="62"/>
  <c r="E273" i="62"/>
  <c r="E274" i="62"/>
  <c r="E275" i="62"/>
  <c r="E276" i="62"/>
  <c r="E277" i="62"/>
  <c r="E278" i="62"/>
  <c r="E279" i="62"/>
  <c r="E280" i="62"/>
  <c r="E281" i="62"/>
  <c r="E282" i="62"/>
  <c r="E283" i="62"/>
  <c r="E284" i="62"/>
  <c r="E285" i="62"/>
  <c r="E286" i="62"/>
  <c r="E287" i="62"/>
  <c r="E288" i="62"/>
  <c r="E289" i="62"/>
  <c r="E290" i="62"/>
  <c r="E291" i="62"/>
  <c r="E292" i="62"/>
  <c r="E293" i="62"/>
  <c r="E294" i="62"/>
  <c r="E295" i="62"/>
  <c r="E296" i="62"/>
  <c r="E297" i="62"/>
  <c r="E298" i="62"/>
  <c r="E299" i="62"/>
  <c r="E300" i="62"/>
  <c r="E301" i="62"/>
  <c r="E302" i="62"/>
  <c r="E303" i="62"/>
  <c r="E304" i="62"/>
  <c r="E305" i="62"/>
  <c r="E306" i="62"/>
  <c r="E307" i="62"/>
  <c r="E308" i="62"/>
  <c r="E309" i="62"/>
  <c r="E310" i="62"/>
  <c r="E311" i="62"/>
  <c r="E312" i="62"/>
  <c r="E313" i="62"/>
  <c r="E314" i="62"/>
  <c r="E315" i="62"/>
  <c r="E316" i="62"/>
  <c r="E317" i="62"/>
  <c r="E318" i="62"/>
  <c r="E319" i="62"/>
  <c r="E320" i="62"/>
  <c r="E321" i="62"/>
  <c r="E322" i="62"/>
  <c r="E323" i="62"/>
  <c r="E324" i="62"/>
  <c r="E325" i="62"/>
  <c r="E326" i="62"/>
  <c r="E327" i="62"/>
  <c r="E328" i="62"/>
  <c r="E329" i="62"/>
  <c r="E330" i="62"/>
  <c r="E331" i="62"/>
  <c r="E332" i="62"/>
  <c r="E333" i="62"/>
  <c r="E334" i="62"/>
  <c r="E335" i="62"/>
  <c r="E336" i="62"/>
  <c r="E337" i="62"/>
  <c r="E338" i="62"/>
  <c r="E339" i="62"/>
  <c r="E340" i="62"/>
  <c r="E341" i="62"/>
  <c r="E342" i="62"/>
  <c r="E343" i="62"/>
  <c r="E344" i="62"/>
  <c r="E345" i="62"/>
  <c r="E346" i="62"/>
  <c r="E347" i="62"/>
  <c r="E348" i="62"/>
  <c r="E349" i="62"/>
  <c r="E350" i="62"/>
  <c r="E351" i="62"/>
  <c r="E352" i="62"/>
  <c r="E353" i="62"/>
  <c r="E354" i="62"/>
  <c r="E355" i="62"/>
  <c r="E356" i="62"/>
  <c r="E357" i="62"/>
  <c r="E358" i="62"/>
  <c r="E359" i="62"/>
  <c r="E360" i="62"/>
  <c r="E361" i="62"/>
  <c r="E362" i="62"/>
  <c r="E363" i="62"/>
  <c r="E364" i="62"/>
  <c r="E365" i="62"/>
  <c r="E366" i="62"/>
  <c r="E367" i="62"/>
  <c r="E368" i="62"/>
  <c r="E369" i="62"/>
  <c r="E370" i="62"/>
  <c r="E371" i="62"/>
  <c r="E372" i="62"/>
  <c r="E373" i="62"/>
  <c r="E374" i="62"/>
  <c r="E375" i="62"/>
  <c r="E376" i="62"/>
  <c r="E377" i="62"/>
  <c r="E378" i="62"/>
  <c r="E379" i="62"/>
  <c r="E380" i="62"/>
  <c r="E381" i="62"/>
  <c r="E382" i="62"/>
  <c r="E383" i="62"/>
  <c r="E384" i="62"/>
  <c r="E385" i="62"/>
  <c r="E386" i="62"/>
  <c r="E387" i="62"/>
  <c r="E388" i="62"/>
  <c r="E389" i="62"/>
  <c r="E390" i="62"/>
  <c r="E391" i="62"/>
  <c r="E392" i="62"/>
  <c r="E393" i="62"/>
  <c r="E394" i="62"/>
  <c r="E395" i="62"/>
  <c r="E396" i="62"/>
  <c r="E397" i="62"/>
  <c r="E398" i="62"/>
  <c r="E399" i="62"/>
  <c r="E400" i="62"/>
  <c r="E401" i="62"/>
  <c r="E402" i="62"/>
  <c r="E403" i="62"/>
  <c r="E404" i="62"/>
  <c r="E405" i="62"/>
  <c r="E406" i="62"/>
  <c r="E407" i="62"/>
  <c r="E408" i="62"/>
  <c r="E9" i="62"/>
  <c r="J8" i="57" l="1"/>
  <c r="I8" i="57"/>
  <c r="H8" i="57"/>
  <c r="G8" i="57"/>
  <c r="T7" i="57"/>
  <c r="S7" i="57"/>
  <c r="R7" i="57"/>
  <c r="I7" i="57"/>
  <c r="H7" i="57"/>
  <c r="G7" i="57"/>
  <c r="AC6" i="57"/>
  <c r="AB6" i="57"/>
  <c r="S6" i="57"/>
  <c r="R6" i="57"/>
  <c r="H6" i="57"/>
  <c r="G6" i="57"/>
  <c r="AB5" i="57"/>
  <c r="R5" i="57"/>
  <c r="G5" i="57"/>
  <c r="E26" i="56"/>
  <c r="D26" i="56"/>
  <c r="H20" i="56" s="1"/>
  <c r="C26" i="56"/>
  <c r="G23" i="56" s="1"/>
  <c r="B26" i="56"/>
  <c r="E20" i="56"/>
  <c r="E19" i="56"/>
  <c r="E18" i="56"/>
  <c r="E17" i="56"/>
  <c r="E16" i="56"/>
  <c r="E15" i="56"/>
  <c r="E14" i="56"/>
  <c r="E13" i="56"/>
  <c r="E12" i="56"/>
  <c r="E11" i="56"/>
  <c r="E10" i="56"/>
  <c r="E9" i="56"/>
  <c r="E8" i="56"/>
  <c r="E7" i="56"/>
  <c r="E6" i="56"/>
  <c r="E5" i="56"/>
  <c r="E4" i="56"/>
  <c r="E3" i="56"/>
  <c r="G3" i="56" l="1"/>
  <c r="G4" i="56"/>
  <c r="G5" i="56"/>
  <c r="G6" i="56"/>
  <c r="G7" i="56"/>
  <c r="G8" i="56"/>
  <c r="G9" i="56"/>
  <c r="G10" i="56"/>
  <c r="G11" i="56"/>
  <c r="G12" i="56"/>
  <c r="G13" i="56"/>
  <c r="G14" i="56"/>
  <c r="G15" i="56"/>
  <c r="G16" i="56"/>
  <c r="G17" i="56"/>
  <c r="G18" i="56"/>
  <c r="G19" i="56"/>
  <c r="G20" i="56"/>
  <c r="H23" i="56"/>
  <c r="H3" i="56"/>
  <c r="H4" i="56"/>
  <c r="H5" i="56"/>
  <c r="H6" i="56"/>
  <c r="H7" i="56"/>
  <c r="H8" i="56"/>
  <c r="H9" i="56"/>
  <c r="H10" i="56"/>
  <c r="H11" i="56"/>
  <c r="H12" i="56"/>
  <c r="H13" i="56"/>
  <c r="H14" i="56"/>
  <c r="H15" i="56"/>
  <c r="H16" i="56"/>
  <c r="H17" i="56"/>
  <c r="H18" i="56"/>
  <c r="H19" i="56"/>
  <c r="I18" i="56" l="1"/>
  <c r="I14" i="56"/>
  <c r="I10" i="56"/>
  <c r="I6" i="56"/>
  <c r="I17" i="56"/>
  <c r="I13" i="56"/>
  <c r="I9" i="56"/>
  <c r="I5" i="56"/>
  <c r="I20" i="56"/>
  <c r="I16" i="56"/>
  <c r="I12" i="56"/>
  <c r="I8" i="56"/>
  <c r="I4" i="56"/>
  <c r="I19" i="56"/>
  <c r="I15" i="56"/>
  <c r="I11" i="56"/>
  <c r="I7" i="56"/>
  <c r="I3" i="56"/>
  <c r="C36" i="21" l="1"/>
  <c r="H15" i="21"/>
  <c r="H16" i="21"/>
  <c r="H17" i="21"/>
  <c r="H18" i="21"/>
  <c r="H14" i="21"/>
  <c r="H19" i="21"/>
  <c r="E32" i="4"/>
  <c r="I11" i="3" l="1"/>
  <c r="J11" i="3"/>
  <c r="H11" i="3"/>
  <c r="C21" i="55" l="1"/>
  <c r="C20" i="55"/>
  <c r="C19" i="55"/>
  <c r="D18" i="55"/>
  <c r="E18" i="55"/>
  <c r="F18" i="55"/>
  <c r="G18" i="55"/>
  <c r="H18" i="55"/>
  <c r="C18" i="55"/>
  <c r="D17" i="55"/>
  <c r="E17" i="55"/>
  <c r="F17" i="55"/>
  <c r="G17" i="55"/>
  <c r="H17" i="55"/>
  <c r="C17" i="55"/>
  <c r="D16" i="55"/>
  <c r="E16" i="55"/>
  <c r="F16" i="55"/>
  <c r="G16" i="55"/>
  <c r="H16" i="55"/>
  <c r="C16" i="55"/>
  <c r="I13" i="55" l="1"/>
  <c r="D15" i="55" s="1"/>
  <c r="I14" i="55"/>
  <c r="C15" i="55" l="1"/>
  <c r="H15" i="55"/>
  <c r="G15" i="55"/>
  <c r="F15" i="55"/>
  <c r="E15" i="55"/>
  <c r="J18" i="54" l="1"/>
  <c r="J19" i="54" s="1"/>
  <c r="K16" i="54"/>
  <c r="D16" i="54"/>
  <c r="C17" i="54" s="1"/>
  <c r="C15" i="54"/>
  <c r="J14" i="54"/>
  <c r="C19" i="54" l="1"/>
  <c r="C18" i="54"/>
  <c r="F36" i="53"/>
  <c r="C33" i="53"/>
  <c r="C32" i="53"/>
  <c r="C31" i="53"/>
  <c r="E29" i="53" s="1"/>
  <c r="C30" i="53"/>
  <c r="C29" i="53"/>
  <c r="C35" i="53" l="1"/>
  <c r="C36" i="53" s="1"/>
  <c r="D18" i="53" s="1"/>
  <c r="E18" i="53" s="1"/>
  <c r="D20" i="53" l="1"/>
  <c r="E20" i="53" s="1"/>
  <c r="F38" i="53"/>
  <c r="D26" i="53"/>
  <c r="E26" i="53" s="1"/>
  <c r="D19" i="53"/>
  <c r="E19" i="53" s="1"/>
  <c r="D25" i="53"/>
  <c r="E25" i="53" s="1"/>
  <c r="D22" i="53"/>
  <c r="E22" i="53" s="1"/>
  <c r="D21" i="53"/>
  <c r="E21" i="53" s="1"/>
  <c r="D17" i="53"/>
  <c r="E17" i="53" s="1"/>
  <c r="D24" i="53"/>
  <c r="E24" i="53" s="1"/>
  <c r="D23" i="53"/>
  <c r="E23" i="53" s="1"/>
  <c r="Q29" i="45"/>
  <c r="Q28" i="45"/>
  <c r="Q27" i="45"/>
  <c r="H19" i="45"/>
  <c r="I19" i="45"/>
  <c r="H20" i="45"/>
  <c r="I20" i="45"/>
  <c r="H21" i="45"/>
  <c r="I21" i="45"/>
  <c r="G20" i="45"/>
  <c r="G21" i="45"/>
  <c r="G19" i="45"/>
  <c r="H24" i="45"/>
  <c r="H23" i="45"/>
  <c r="F24" i="45"/>
  <c r="F23" i="45"/>
  <c r="D24" i="45"/>
  <c r="D23" i="45"/>
  <c r="O53" i="48"/>
  <c r="O52" i="48"/>
  <c r="O51" i="48"/>
  <c r="E16" i="48"/>
  <c r="F16" i="48"/>
  <c r="E17" i="48"/>
  <c r="F17" i="48"/>
  <c r="E18" i="48"/>
  <c r="F18" i="48"/>
  <c r="E19" i="48"/>
  <c r="F19" i="48"/>
  <c r="E20" i="48"/>
  <c r="F20" i="48"/>
  <c r="E21" i="48"/>
  <c r="F21" i="48"/>
  <c r="E22" i="48"/>
  <c r="F22" i="48"/>
  <c r="E23" i="48"/>
  <c r="F23" i="48"/>
  <c r="E24" i="48"/>
  <c r="F24" i="48"/>
  <c r="E25" i="48"/>
  <c r="F25" i="48"/>
  <c r="E26" i="48"/>
  <c r="F26" i="48"/>
  <c r="E27" i="48"/>
  <c r="F27" i="48"/>
  <c r="E28" i="48"/>
  <c r="F28" i="48"/>
  <c r="E29" i="48"/>
  <c r="F29" i="48"/>
  <c r="F15" i="48"/>
  <c r="E15" i="48"/>
  <c r="F34" i="48"/>
  <c r="D34" i="48"/>
  <c r="F33" i="48"/>
  <c r="D33" i="48"/>
  <c r="F32" i="48"/>
  <c r="D32" i="48"/>
  <c r="H16" i="45"/>
  <c r="I16" i="45"/>
  <c r="H17" i="45"/>
  <c r="I17" i="45"/>
  <c r="H18" i="45"/>
  <c r="I18" i="45"/>
  <c r="G17" i="45"/>
  <c r="G18" i="45"/>
  <c r="G16" i="45"/>
  <c r="C20" i="42"/>
  <c r="E19" i="42" s="1"/>
  <c r="C19" i="42"/>
  <c r="E16" i="42"/>
  <c r="C48" i="39"/>
  <c r="C38" i="39"/>
  <c r="C39" i="39"/>
  <c r="C40" i="39"/>
  <c r="C41" i="39"/>
  <c r="C42" i="39"/>
  <c r="C43" i="39"/>
  <c r="C44" i="39"/>
  <c r="C45" i="39"/>
  <c r="C46" i="39"/>
  <c r="C37" i="39"/>
  <c r="C29" i="39"/>
  <c r="C33" i="39"/>
  <c r="C31" i="39"/>
  <c r="C30" i="39"/>
  <c r="C27" i="39"/>
  <c r="C26" i="39"/>
  <c r="C28" i="39" l="1"/>
  <c r="C32" i="39"/>
  <c r="E27" i="53"/>
  <c r="J24" i="45"/>
  <c r="J23" i="45"/>
  <c r="F44" i="45" s="1"/>
  <c r="M30" i="45" s="1"/>
  <c r="F32" i="45"/>
  <c r="M27" i="45" s="1"/>
  <c r="F37" i="45"/>
  <c r="M28" i="45" s="1"/>
  <c r="F30" i="48"/>
  <c r="E52" i="48" s="1"/>
  <c r="K54" i="48" s="1"/>
  <c r="E42" i="48"/>
  <c r="K51" i="48" s="1"/>
  <c r="H32" i="48"/>
  <c r="E47" i="48" s="1"/>
  <c r="K52" i="48" s="1"/>
  <c r="C47" i="39"/>
  <c r="C49" i="39"/>
  <c r="C50" i="39" s="1"/>
  <c r="C51" i="39" s="1"/>
  <c r="C34" i="39"/>
  <c r="F27" i="45" l="1"/>
  <c r="O27" i="45"/>
  <c r="E28" i="53"/>
  <c r="F35" i="53" s="1"/>
  <c r="F39" i="53"/>
  <c r="F49" i="45"/>
  <c r="M29" i="45" s="1"/>
  <c r="O29" i="45" s="1"/>
  <c r="O28" i="45"/>
  <c r="E37" i="48"/>
  <c r="E56" i="48" s="1"/>
  <c r="K53" i="48" s="1"/>
  <c r="M53" i="48" s="1"/>
  <c r="M52" i="48"/>
  <c r="M51" i="48"/>
  <c r="C29" i="38" l="1"/>
  <c r="C28" i="38"/>
  <c r="C27" i="38"/>
  <c r="C25" i="38"/>
  <c r="C24" i="38"/>
  <c r="C30" i="38" s="1"/>
  <c r="C23" i="38"/>
  <c r="C22" i="38"/>
  <c r="C32" i="38" l="1"/>
  <c r="C31" i="38"/>
  <c r="C26" i="38"/>
  <c r="D81" i="35" l="1"/>
  <c r="E58" i="35"/>
  <c r="E59" i="35"/>
  <c r="E60" i="35"/>
  <c r="E61" i="35"/>
  <c r="E62" i="35"/>
  <c r="E63" i="35"/>
  <c r="E64" i="35"/>
  <c r="E65" i="35"/>
  <c r="E66" i="35"/>
  <c r="E67" i="35"/>
  <c r="E68" i="35"/>
  <c r="E69" i="35"/>
  <c r="E70" i="35"/>
  <c r="E71" i="35"/>
  <c r="E72" i="35"/>
  <c r="E73" i="35"/>
  <c r="E74" i="35"/>
  <c r="E75" i="35"/>
  <c r="E76" i="35"/>
  <c r="E77" i="35"/>
  <c r="E57" i="35"/>
  <c r="E78" i="35" s="1"/>
  <c r="C61" i="35"/>
  <c r="C65" i="35"/>
  <c r="C69" i="35"/>
  <c r="C70" i="35"/>
  <c r="C73" i="35"/>
  <c r="C74" i="35"/>
  <c r="C77" i="35"/>
  <c r="C57" i="35"/>
  <c r="D37" i="35"/>
  <c r="C58" i="35" s="1"/>
  <c r="H17" i="35"/>
  <c r="H18" i="35"/>
  <c r="H19" i="35"/>
  <c r="H20" i="35"/>
  <c r="H21" i="35"/>
  <c r="H22" i="35"/>
  <c r="H23" i="35"/>
  <c r="H24" i="35"/>
  <c r="H25" i="35"/>
  <c r="H26" i="35"/>
  <c r="H27" i="35"/>
  <c r="H28" i="35"/>
  <c r="H29" i="35"/>
  <c r="H30" i="35"/>
  <c r="H31" i="35"/>
  <c r="H32" i="35"/>
  <c r="H33" i="35"/>
  <c r="H34" i="35"/>
  <c r="H35" i="35"/>
  <c r="H36" i="35"/>
  <c r="H16" i="35"/>
  <c r="C36" i="35"/>
  <c r="C35" i="35"/>
  <c r="C34" i="35"/>
  <c r="C33" i="35"/>
  <c r="C32" i="35"/>
  <c r="C31" i="35"/>
  <c r="C30" i="35"/>
  <c r="C29" i="35"/>
  <c r="C28" i="35"/>
  <c r="C27" i="35"/>
  <c r="C26" i="35"/>
  <c r="C25" i="35"/>
  <c r="C24" i="35"/>
  <c r="C23" i="35"/>
  <c r="C22" i="35"/>
  <c r="C21" i="35"/>
  <c r="C20" i="35"/>
  <c r="C19" i="35"/>
  <c r="C18" i="35"/>
  <c r="C17" i="35"/>
  <c r="C16" i="35"/>
  <c r="C76" i="35" l="1"/>
  <c r="C72" i="35"/>
  <c r="C68" i="35"/>
  <c r="C64" i="35"/>
  <c r="C60" i="35"/>
  <c r="C75" i="35"/>
  <c r="C71" i="35"/>
  <c r="C67" i="35"/>
  <c r="C63" i="35"/>
  <c r="C59" i="35"/>
  <c r="C78" i="35" s="1"/>
  <c r="D80" i="35" s="1"/>
  <c r="C66" i="35"/>
  <c r="C62" i="35"/>
  <c r="AD38" i="32"/>
  <c r="AD37" i="32"/>
  <c r="AD36" i="32"/>
  <c r="AD35" i="32"/>
  <c r="AD34" i="32"/>
  <c r="AD33" i="32"/>
  <c r="AB30" i="32"/>
  <c r="N30" i="32"/>
  <c r="AB29" i="32"/>
  <c r="N29" i="32"/>
  <c r="AB28" i="32"/>
  <c r="N28" i="32"/>
  <c r="AB27" i="32"/>
  <c r="N27" i="32"/>
  <c r="AB26" i="32"/>
  <c r="N26" i="32"/>
  <c r="AB25" i="32"/>
  <c r="N25" i="32"/>
  <c r="E25" i="32"/>
  <c r="J14" i="31"/>
  <c r="L13" i="31"/>
  <c r="J13" i="31"/>
  <c r="L12" i="31"/>
  <c r="J12" i="31"/>
  <c r="J15" i="31" s="1"/>
  <c r="C14" i="26"/>
  <c r="B14" i="26"/>
  <c r="G19" i="23"/>
  <c r="F19" i="23"/>
  <c r="J15" i="23"/>
  <c r="I15" i="23"/>
  <c r="E15" i="23"/>
  <c r="D15" i="23"/>
  <c r="G15" i="23" s="1"/>
  <c r="G26" i="21"/>
  <c r="G33" i="21" s="1"/>
  <c r="G19" i="21"/>
  <c r="F19" i="21"/>
  <c r="E19" i="21"/>
  <c r="E24" i="21" s="1"/>
  <c r="E31" i="21" s="1"/>
  <c r="D19" i="21"/>
  <c r="C19" i="21"/>
  <c r="G25" i="21"/>
  <c r="G32" i="21" s="1"/>
  <c r="H26" i="18"/>
  <c r="F12" i="18"/>
  <c r="G12" i="18"/>
  <c r="H12" i="18"/>
  <c r="I12" i="18"/>
  <c r="J12" i="18"/>
  <c r="F13" i="18"/>
  <c r="G13" i="18"/>
  <c r="H13" i="18"/>
  <c r="I13" i="18"/>
  <c r="J13" i="18"/>
  <c r="F14" i="18"/>
  <c r="G14" i="18"/>
  <c r="H14" i="18"/>
  <c r="I14" i="18"/>
  <c r="J14" i="18"/>
  <c r="F15" i="18"/>
  <c r="G15" i="18"/>
  <c r="H15" i="18"/>
  <c r="I15" i="18"/>
  <c r="J15" i="18"/>
  <c r="F16" i="18"/>
  <c r="G16" i="18"/>
  <c r="H16" i="18"/>
  <c r="I16" i="18"/>
  <c r="J16" i="18"/>
  <c r="F17" i="18"/>
  <c r="G17" i="18"/>
  <c r="H17" i="18"/>
  <c r="I17" i="18"/>
  <c r="J17" i="18"/>
  <c r="F18" i="18"/>
  <c r="G18" i="18"/>
  <c r="H18" i="18"/>
  <c r="I18" i="18"/>
  <c r="J18" i="18"/>
  <c r="G11" i="18"/>
  <c r="H11" i="18"/>
  <c r="I11" i="18"/>
  <c r="J11" i="18"/>
  <c r="F11" i="18"/>
  <c r="M19" i="18" s="1"/>
  <c r="H22" i="18" s="1"/>
  <c r="H24" i="18" s="1"/>
  <c r="B19" i="18"/>
  <c r="C19" i="18"/>
  <c r="M15" i="18" s="1"/>
  <c r="D19" i="18"/>
  <c r="M16" i="18" s="1"/>
  <c r="E19" i="18"/>
  <c r="A19" i="18"/>
  <c r="M13" i="18" s="1"/>
  <c r="M18" i="18" s="1"/>
  <c r="M17" i="18"/>
  <c r="M14" i="18"/>
  <c r="M12" i="18"/>
  <c r="Q19" i="17"/>
  <c r="N19" i="17"/>
  <c r="J19" i="17"/>
  <c r="G19" i="17"/>
  <c r="Q18" i="17"/>
  <c r="J18" i="17"/>
  <c r="N15" i="17"/>
  <c r="G15" i="17"/>
  <c r="N14" i="17"/>
  <c r="G14" i="17"/>
  <c r="C23" i="17" s="1"/>
  <c r="F53" i="15"/>
  <c r="F52" i="15"/>
  <c r="F50" i="15"/>
  <c r="F51" i="15" s="1"/>
  <c r="F49" i="15"/>
  <c r="F48" i="15"/>
  <c r="F47" i="15"/>
  <c r="F46" i="15"/>
  <c r="F45" i="15"/>
  <c r="F44" i="15"/>
  <c r="B18" i="15"/>
  <c r="E17" i="15"/>
  <c r="D17" i="15"/>
  <c r="E16" i="15"/>
  <c r="D16" i="15"/>
  <c r="E15" i="15"/>
  <c r="D15" i="15"/>
  <c r="E14" i="15"/>
  <c r="D14" i="15"/>
  <c r="E13" i="15"/>
  <c r="D13" i="15"/>
  <c r="D41" i="14"/>
  <c r="E40" i="14"/>
  <c r="E39" i="14"/>
  <c r="E38" i="14"/>
  <c r="E37" i="14"/>
  <c r="G36" i="14"/>
  <c r="G37" i="14" s="1"/>
  <c r="E36" i="14"/>
  <c r="F36" i="14" s="1"/>
  <c r="D26" i="14"/>
  <c r="E25" i="14"/>
  <c r="E24" i="14"/>
  <c r="E23" i="14"/>
  <c r="E22" i="14"/>
  <c r="G21" i="14"/>
  <c r="G22" i="14" s="1"/>
  <c r="E21" i="14"/>
  <c r="F21" i="14" s="1"/>
  <c r="H21" i="18" l="1"/>
  <c r="H23" i="18" s="1"/>
  <c r="H27" i="18" s="1"/>
  <c r="F24" i="21"/>
  <c r="F31" i="21" s="1"/>
  <c r="E18" i="15"/>
  <c r="E19" i="15" s="1"/>
  <c r="C24" i="21"/>
  <c r="C31" i="21" s="1"/>
  <c r="G24" i="21"/>
  <c r="G31" i="21" s="1"/>
  <c r="F15" i="23"/>
  <c r="D18" i="15"/>
  <c r="D19" i="15" s="1"/>
  <c r="C14" i="17"/>
  <c r="D25" i="21"/>
  <c r="D32" i="21" s="1"/>
  <c r="E26" i="14"/>
  <c r="I21" i="14" s="1"/>
  <c r="H21" i="14"/>
  <c r="G22" i="21"/>
  <c r="G29" i="21" s="1"/>
  <c r="D22" i="21"/>
  <c r="D29" i="21" s="1"/>
  <c r="C23" i="21"/>
  <c r="C30" i="21" s="1"/>
  <c r="G23" i="21"/>
  <c r="G30" i="21" s="1"/>
  <c r="E25" i="21"/>
  <c r="E32" i="21" s="1"/>
  <c r="D26" i="21"/>
  <c r="D33" i="21" s="1"/>
  <c r="E22" i="21"/>
  <c r="E29" i="21" s="1"/>
  <c r="D23" i="21"/>
  <c r="D30" i="21" s="1"/>
  <c r="F25" i="21"/>
  <c r="F32" i="21" s="1"/>
  <c r="E26" i="21"/>
  <c r="E33" i="21" s="1"/>
  <c r="F22" i="21"/>
  <c r="F29" i="21" s="1"/>
  <c r="E23" i="21"/>
  <c r="E30" i="21" s="1"/>
  <c r="D24" i="21"/>
  <c r="D31" i="21" s="1"/>
  <c r="C25" i="21"/>
  <c r="C32" i="21" s="1"/>
  <c r="F26" i="21"/>
  <c r="F33" i="21" s="1"/>
  <c r="C22" i="21"/>
  <c r="F23" i="21"/>
  <c r="F30" i="21" s="1"/>
  <c r="C26" i="21"/>
  <c r="C33" i="21" s="1"/>
  <c r="C16" i="17"/>
  <c r="C15" i="17"/>
  <c r="C19" i="17"/>
  <c r="C18" i="17"/>
  <c r="C20" i="17"/>
  <c r="C22" i="17"/>
  <c r="C17" i="17"/>
  <c r="C21" i="17"/>
  <c r="F16" i="15"/>
  <c r="G15" i="15"/>
  <c r="H14" i="15"/>
  <c r="D21" i="15"/>
  <c r="H17" i="15"/>
  <c r="F15" i="15"/>
  <c r="G14" i="15"/>
  <c r="H13" i="15"/>
  <c r="H16" i="15"/>
  <c r="F14" i="15"/>
  <c r="G13" i="15"/>
  <c r="F17" i="15"/>
  <c r="G16" i="15"/>
  <c r="F13" i="15"/>
  <c r="G17" i="15"/>
  <c r="H15" i="15"/>
  <c r="G38" i="14"/>
  <c r="H37" i="14"/>
  <c r="H22" i="14"/>
  <c r="G23" i="14"/>
  <c r="F37" i="14"/>
  <c r="H36" i="14"/>
  <c r="E41" i="14"/>
  <c r="I36" i="14" s="1"/>
  <c r="F22" i="14"/>
  <c r="F18" i="15" l="1"/>
  <c r="F19" i="15" s="1"/>
  <c r="N16" i="17"/>
  <c r="N17" i="17" s="1"/>
  <c r="N21" i="17" s="1"/>
  <c r="N24" i="17" s="1"/>
  <c r="F24" i="15"/>
  <c r="D27" i="15" s="1"/>
  <c r="D30" i="15" s="1"/>
  <c r="H25" i="18"/>
  <c r="G16" i="17"/>
  <c r="J21" i="14"/>
  <c r="C40" i="21"/>
  <c r="C29" i="21"/>
  <c r="C35" i="21" s="1"/>
  <c r="N23" i="17"/>
  <c r="Q24" i="17"/>
  <c r="Q23" i="17"/>
  <c r="J24" i="17"/>
  <c r="J23" i="17"/>
  <c r="G17" i="17"/>
  <c r="G21" i="17" s="1"/>
  <c r="H18" i="15"/>
  <c r="H19" i="15" s="1"/>
  <c r="E36" i="15" s="1"/>
  <c r="G18" i="15"/>
  <c r="G19" i="15" s="1"/>
  <c r="D33" i="15" s="1"/>
  <c r="F23" i="14"/>
  <c r="I22" i="14"/>
  <c r="J22" i="14" s="1"/>
  <c r="G39" i="14"/>
  <c r="H38" i="14"/>
  <c r="J36" i="14"/>
  <c r="G24" i="14"/>
  <c r="H23" i="14"/>
  <c r="I37" i="14"/>
  <c r="J37" i="14" s="1"/>
  <c r="F38" i="14"/>
  <c r="F19" i="13"/>
  <c r="F16" i="13"/>
  <c r="F15" i="13"/>
  <c r="C64" i="13" s="1"/>
  <c r="L27" i="11"/>
  <c r="L22" i="11"/>
  <c r="L21" i="11"/>
  <c r="J7" i="11" s="1"/>
  <c r="K7" i="11" s="1"/>
  <c r="L7" i="11" s="1"/>
  <c r="L20" i="11"/>
  <c r="J17" i="11" s="1"/>
  <c r="K17" i="11" s="1"/>
  <c r="L17" i="11" s="1"/>
  <c r="D18" i="11"/>
  <c r="C18" i="11"/>
  <c r="B18" i="11"/>
  <c r="M17" i="11"/>
  <c r="I17" i="11"/>
  <c r="H17" i="11"/>
  <c r="G17" i="11"/>
  <c r="F17" i="11"/>
  <c r="E17" i="11"/>
  <c r="M16" i="11"/>
  <c r="I16" i="11"/>
  <c r="H16" i="11"/>
  <c r="G16" i="11"/>
  <c r="F16" i="11"/>
  <c r="E16" i="11"/>
  <c r="M15" i="11"/>
  <c r="I15" i="11"/>
  <c r="H15" i="11"/>
  <c r="G15" i="11"/>
  <c r="F15" i="11"/>
  <c r="E15" i="11"/>
  <c r="M14" i="11"/>
  <c r="I14" i="11"/>
  <c r="H14" i="11"/>
  <c r="G14" i="11"/>
  <c r="F14" i="11"/>
  <c r="E14" i="11"/>
  <c r="M13" i="11"/>
  <c r="J13" i="11"/>
  <c r="K13" i="11" s="1"/>
  <c r="L13" i="11" s="1"/>
  <c r="I13" i="11"/>
  <c r="H13" i="11"/>
  <c r="G13" i="11"/>
  <c r="F13" i="11"/>
  <c r="E13" i="11"/>
  <c r="M12" i="11"/>
  <c r="J12" i="11"/>
  <c r="K12" i="11" s="1"/>
  <c r="L12" i="11" s="1"/>
  <c r="I12" i="11"/>
  <c r="H12" i="11"/>
  <c r="G12" i="11"/>
  <c r="F12" i="11"/>
  <c r="E12" i="11"/>
  <c r="M11" i="11"/>
  <c r="I11" i="11"/>
  <c r="H11" i="11"/>
  <c r="G11" i="11"/>
  <c r="F11" i="11"/>
  <c r="E11" i="11"/>
  <c r="M10" i="11"/>
  <c r="I10" i="11"/>
  <c r="H10" i="11"/>
  <c r="G10" i="11"/>
  <c r="F10" i="11"/>
  <c r="E10" i="11"/>
  <c r="M9" i="11"/>
  <c r="I9" i="11"/>
  <c r="H9" i="11"/>
  <c r="G9" i="11"/>
  <c r="F9" i="11"/>
  <c r="E9" i="11"/>
  <c r="M8" i="11"/>
  <c r="I8" i="11"/>
  <c r="H8" i="11"/>
  <c r="G8" i="11"/>
  <c r="F8" i="11"/>
  <c r="E8" i="11"/>
  <c r="M7" i="11"/>
  <c r="I7" i="11"/>
  <c r="H7" i="11"/>
  <c r="G7" i="11"/>
  <c r="F7" i="11"/>
  <c r="E7" i="11"/>
  <c r="M6" i="11"/>
  <c r="I6" i="11"/>
  <c r="H6" i="11"/>
  <c r="G6" i="11"/>
  <c r="F6" i="11"/>
  <c r="E6" i="11"/>
  <c r="M5" i="11"/>
  <c r="J5" i="11"/>
  <c r="K5" i="11" s="1"/>
  <c r="L5" i="11" s="1"/>
  <c r="I5" i="11"/>
  <c r="H5" i="11"/>
  <c r="G5" i="11"/>
  <c r="F5" i="11"/>
  <c r="E5" i="11"/>
  <c r="M4" i="11"/>
  <c r="J4" i="11"/>
  <c r="K4" i="11" s="1"/>
  <c r="L4" i="11" s="1"/>
  <c r="I4" i="11"/>
  <c r="H4" i="11"/>
  <c r="G4" i="11"/>
  <c r="F4" i="11"/>
  <c r="E4" i="11"/>
  <c r="M3" i="11"/>
  <c r="I3" i="11"/>
  <c r="I18" i="11" s="1"/>
  <c r="H3" i="11"/>
  <c r="G3" i="11"/>
  <c r="F3" i="11"/>
  <c r="E3" i="11"/>
  <c r="E18" i="11" s="1"/>
  <c r="J3" i="11" l="1"/>
  <c r="K3" i="11" s="1"/>
  <c r="L3" i="11" s="1"/>
  <c r="J10" i="11"/>
  <c r="K10" i="11" s="1"/>
  <c r="L10" i="11" s="1"/>
  <c r="J11" i="11"/>
  <c r="K11" i="11" s="1"/>
  <c r="L11" i="11" s="1"/>
  <c r="J15" i="11"/>
  <c r="K15" i="11" s="1"/>
  <c r="L15" i="11" s="1"/>
  <c r="F18" i="11"/>
  <c r="G18" i="11"/>
  <c r="M18" i="11"/>
  <c r="L28" i="11" s="1"/>
  <c r="J8" i="11"/>
  <c r="K8" i="11" s="1"/>
  <c r="L8" i="11" s="1"/>
  <c r="J9" i="11"/>
  <c r="K9" i="11" s="1"/>
  <c r="L9" i="11" s="1"/>
  <c r="H18" i="11"/>
  <c r="J6" i="11"/>
  <c r="K6" i="11" s="1"/>
  <c r="L6" i="11" s="1"/>
  <c r="J16" i="11"/>
  <c r="K16" i="11" s="1"/>
  <c r="L16" i="11" s="1"/>
  <c r="G23" i="17"/>
  <c r="G24" i="17"/>
  <c r="I23" i="14"/>
  <c r="J23" i="14" s="1"/>
  <c r="F24" i="14"/>
  <c r="H24" i="14"/>
  <c r="G25" i="14"/>
  <c r="H25" i="14" s="1"/>
  <c r="I38" i="14"/>
  <c r="J38" i="14" s="1"/>
  <c r="F39" i="14"/>
  <c r="G40" i="14"/>
  <c r="H40" i="14" s="1"/>
  <c r="H39" i="14"/>
  <c r="C22" i="13"/>
  <c r="C27" i="13"/>
  <c r="C29" i="13"/>
  <c r="C33" i="13"/>
  <c r="C37" i="13"/>
  <c r="C41" i="13"/>
  <c r="C45" i="13"/>
  <c r="C49" i="13"/>
  <c r="C53" i="13"/>
  <c r="C57" i="13"/>
  <c r="C61" i="13"/>
  <c r="C16" i="13"/>
  <c r="C18" i="13"/>
  <c r="C20" i="13"/>
  <c r="C25" i="13"/>
  <c r="F27" i="13"/>
  <c r="C30" i="13"/>
  <c r="C34" i="13"/>
  <c r="C38" i="13"/>
  <c r="C42" i="13"/>
  <c r="C46" i="13"/>
  <c r="C50" i="13"/>
  <c r="C54" i="13"/>
  <c r="C58" i="13"/>
  <c r="C62" i="13"/>
  <c r="C21" i="13"/>
  <c r="C23" i="13"/>
  <c r="C28" i="13"/>
  <c r="C31" i="13"/>
  <c r="C35" i="13"/>
  <c r="C39" i="13"/>
  <c r="C43" i="13"/>
  <c r="C47" i="13"/>
  <c r="C51" i="13"/>
  <c r="C55" i="13"/>
  <c r="C59" i="13"/>
  <c r="C63" i="13"/>
  <c r="C15" i="13"/>
  <c r="C17" i="13"/>
  <c r="C19" i="13"/>
  <c r="C24" i="13"/>
  <c r="C26" i="13"/>
  <c r="F28" i="13"/>
  <c r="C32" i="13"/>
  <c r="C36" i="13"/>
  <c r="C40" i="13"/>
  <c r="C44" i="13"/>
  <c r="C48" i="13"/>
  <c r="C52" i="13"/>
  <c r="C56" i="13"/>
  <c r="C60" i="13"/>
  <c r="J14" i="11"/>
  <c r="K14" i="11" s="1"/>
  <c r="L14" i="11" s="1"/>
  <c r="L18" i="11" s="1"/>
  <c r="H41" i="14" l="1"/>
  <c r="F25" i="14"/>
  <c r="I25" i="14" s="1"/>
  <c r="I24" i="14"/>
  <c r="J24" i="14" s="1"/>
  <c r="J26" i="14" s="1"/>
  <c r="I39" i="14"/>
  <c r="J39" i="14" s="1"/>
  <c r="J41" i="14" s="1"/>
  <c r="F40" i="14"/>
  <c r="I40" i="14" s="1"/>
  <c r="J40" i="14" s="1"/>
  <c r="J25" i="14"/>
  <c r="H26" i="14"/>
  <c r="F17" i="13"/>
  <c r="F18" i="13" s="1"/>
  <c r="F21" i="13" s="1"/>
  <c r="L24" i="11"/>
  <c r="L29" i="11"/>
  <c r="L30" i="11" s="1"/>
  <c r="L31" i="11" s="1"/>
  <c r="J43" i="14" l="1"/>
  <c r="J28" i="14"/>
  <c r="F22" i="13"/>
  <c r="F24" i="13"/>
  <c r="F25" i="13"/>
  <c r="L32" i="11"/>
  <c r="L25" i="11"/>
  <c r="C19" i="7"/>
  <c r="D19" i="7" s="1"/>
  <c r="E17" i="7"/>
  <c r="E16" i="7"/>
  <c r="E15" i="7"/>
  <c r="E14" i="7"/>
  <c r="E13" i="7"/>
  <c r="E36" i="4"/>
  <c r="E34" i="4"/>
  <c r="E33" i="4"/>
  <c r="N24" i="3"/>
  <c r="M23" i="3"/>
  <c r="L22" i="3"/>
  <c r="C10" i="3"/>
  <c r="I6" i="3" s="1"/>
  <c r="D10" i="3"/>
  <c r="J7" i="3" s="1"/>
  <c r="G4" i="3"/>
  <c r="G5" i="3"/>
  <c r="G6" i="3"/>
  <c r="G7" i="3"/>
  <c r="G3" i="3"/>
  <c r="F4" i="3"/>
  <c r="F5" i="3"/>
  <c r="F6" i="3"/>
  <c r="F7" i="3"/>
  <c r="F3" i="3"/>
  <c r="E4" i="3"/>
  <c r="E5" i="3"/>
  <c r="E6" i="3"/>
  <c r="E7" i="3"/>
  <c r="E3" i="3"/>
  <c r="B10" i="3"/>
  <c r="H6" i="3" s="1"/>
  <c r="C20" i="7" l="1"/>
  <c r="D20" i="7" s="1"/>
  <c r="H7" i="3"/>
  <c r="G10" i="3"/>
  <c r="C14" i="3" s="1"/>
  <c r="H5" i="3"/>
  <c r="I7" i="3"/>
  <c r="E10" i="3"/>
  <c r="C12" i="3" s="1"/>
  <c r="F10" i="3"/>
  <c r="C13" i="3" s="1"/>
  <c r="I5" i="3"/>
  <c r="J6" i="3"/>
  <c r="H3" i="3"/>
  <c r="H4" i="3"/>
  <c r="I3" i="3"/>
  <c r="I4" i="3"/>
  <c r="J5" i="3"/>
  <c r="J4" i="3"/>
  <c r="J3" i="3"/>
  <c r="H10" i="3" l="1"/>
  <c r="K10" i="3" s="1"/>
  <c r="J10" i="3"/>
  <c r="M10" i="3" s="1"/>
  <c r="I10" i="3"/>
  <c r="L10" i="3" s="1"/>
  <c r="E13" i="3" l="1"/>
  <c r="E12" i="3"/>
  <c r="E14" i="3"/>
  <c r="G15" i="4"/>
  <c r="G19" i="4"/>
  <c r="G23" i="4"/>
  <c r="G13" i="4"/>
  <c r="E31" i="4"/>
  <c r="D29" i="4"/>
  <c r="G16" i="4" s="1"/>
  <c r="D28" i="4"/>
  <c r="F26" i="4" s="1"/>
  <c r="E26" i="4"/>
  <c r="E25" i="4"/>
  <c r="E24" i="4"/>
  <c r="E23" i="4"/>
  <c r="E22" i="4"/>
  <c r="F21" i="4"/>
  <c r="E21" i="4"/>
  <c r="E20" i="4"/>
  <c r="E19" i="4"/>
  <c r="E18" i="4"/>
  <c r="F17" i="4"/>
  <c r="E17" i="4"/>
  <c r="E16" i="4"/>
  <c r="E15" i="4"/>
  <c r="E14" i="4"/>
  <c r="B14" i="4"/>
  <c r="B15" i="4" s="1"/>
  <c r="B16" i="4" s="1"/>
  <c r="B17" i="4" s="1"/>
  <c r="B18" i="4" s="1"/>
  <c r="B19" i="4" s="1"/>
  <c r="B20" i="4" s="1"/>
  <c r="B21" i="4" s="1"/>
  <c r="B22" i="4" s="1"/>
  <c r="B23" i="4" s="1"/>
  <c r="B24" i="4" s="1"/>
  <c r="B25" i="4" s="1"/>
  <c r="B26" i="4" s="1"/>
  <c r="F13" i="4"/>
  <c r="E13" i="4"/>
  <c r="G26" i="4" l="1"/>
  <c r="G22" i="4"/>
  <c r="G18" i="4"/>
  <c r="G14" i="4"/>
  <c r="D35" i="4" s="1"/>
  <c r="D30" i="4"/>
  <c r="D31" i="4" s="1"/>
  <c r="G25" i="4"/>
  <c r="G21" i="4"/>
  <c r="G17" i="4"/>
  <c r="G24" i="4"/>
  <c r="G20" i="4"/>
  <c r="F25" i="4"/>
  <c r="F16" i="4"/>
  <c r="F20" i="4"/>
  <c r="F24" i="4"/>
  <c r="F15" i="4"/>
  <c r="F19" i="4"/>
  <c r="F23" i="4"/>
  <c r="F14" i="4"/>
  <c r="F18" i="4"/>
  <c r="F22" i="4"/>
  <c r="D32" i="4" l="1"/>
  <c r="D33" i="4" s="1"/>
  <c r="D34" i="4" s="1"/>
  <c r="D36" i="4" l="1"/>
  <c r="D37" i="4" s="1"/>
</calcChain>
</file>

<file path=xl/sharedStrings.xml><?xml version="1.0" encoding="utf-8"?>
<sst xmlns="http://schemas.openxmlformats.org/spreadsheetml/2006/main" count="970" uniqueCount="537">
  <si>
    <t>Los manatíes son unos animales grandes y dóciles que viven a lo largo de la costa de Florida. Cada año las lanchas motoras hieren o matan a muchos de ellos. Abajo se presenta una tabla que vontiene, para cada año, el número de licencias para motoras (expresado en miles) expedidas en Florida, y el número de manatíes muertos en los años 2002 a 2015.
1.- Queremos analizar la relación entre el número de licencias expedidas anualmente en Florida y el número de manatíes muertos. Decidir cuál es la variable explicativa.
2.- Dibujar un diagrama con esos datos e indicar qué representa sobre la relación entre esas dos variables.
3.- Describir la fuerza de la relación y predecir con precisión el número de manatíes muertos cada año conociendo el número de licencias expedidas ese año.
4.- Si Florida decidiera congelar el número de licencias en 700.000, indicar cuántos manatíes matarían, aproximadamente, las lanchas motoras.</t>
  </si>
  <si>
    <t>AÑO</t>
  </si>
  <si>
    <t>LICENCIAS</t>
  </si>
  <si>
    <t>MANATÍES</t>
  </si>
  <si>
    <t>COVARIANZA</t>
  </si>
  <si>
    <t>MEDIA X</t>
  </si>
  <si>
    <t>MEDIA Y</t>
  </si>
  <si>
    <t>XY</t>
  </si>
  <si>
    <t>MEDIA XY</t>
  </si>
  <si>
    <t>VARIANZA X</t>
  </si>
  <si>
    <t>(X-MEDIA X)^2</t>
  </si>
  <si>
    <t>X</t>
  </si>
  <si>
    <t>Y</t>
  </si>
  <si>
    <t>PENDIENTE</t>
  </si>
  <si>
    <t>TÉRMINO</t>
  </si>
  <si>
    <t>(Y-MEDIA Y)^2</t>
  </si>
  <si>
    <t>VARIANZA Y</t>
  </si>
  <si>
    <t>R^2</t>
  </si>
  <si>
    <t>R</t>
  </si>
  <si>
    <t>Z</t>
  </si>
  <si>
    <t>XZ</t>
  </si>
  <si>
    <t>YZ</t>
  </si>
  <si>
    <t>MEDIA Z</t>
  </si>
  <si>
    <t>MEDIA XZ</t>
  </si>
  <si>
    <t>MEDIA YZ</t>
  </si>
  <si>
    <t>COV XY</t>
  </si>
  <si>
    <t>COV XZ</t>
  </si>
  <si>
    <t>COV YZ</t>
  </si>
  <si>
    <t>VAR X</t>
  </si>
  <si>
    <t>VAR Y</t>
  </si>
  <si>
    <t>VAR Z</t>
  </si>
  <si>
    <t>DESV X</t>
  </si>
  <si>
    <t>DESV Y</t>
  </si>
  <si>
    <t>DESV Z</t>
  </si>
  <si>
    <t>COEF XY</t>
  </si>
  <si>
    <t>Media</t>
  </si>
  <si>
    <t>Error típico</t>
  </si>
  <si>
    <t>Mediana</t>
  </si>
  <si>
    <t>Moda</t>
  </si>
  <si>
    <t>Desviación estándar</t>
  </si>
  <si>
    <t>Varianza de la muestra</t>
  </si>
  <si>
    <t>Curtosis</t>
  </si>
  <si>
    <t>Coeficiente de asimetría</t>
  </si>
  <si>
    <t>Rango</t>
  </si>
  <si>
    <t>Mínimo</t>
  </si>
  <si>
    <t>Máximo</t>
  </si>
  <si>
    <t>Suma</t>
  </si>
  <si>
    <t>Cuenta</t>
  </si>
  <si>
    <t>COEF XZ</t>
  </si>
  <si>
    <t>COEF YZ</t>
  </si>
  <si>
    <t>(X- MEDIA X)^2</t>
  </si>
  <si>
    <t>(Y- MEDIA Y)^2</t>
  </si>
  <si>
    <t>(Z- MEDIA Z)^2</t>
  </si>
  <si>
    <t>Hay fuerte dependencia lineal positiva entre cada par de variables.
Todas las covarianzas son positivas, luego los pares de variables varían en el mismo sentido alrededor de sus medias.</t>
  </si>
  <si>
    <t>Correlaciones</t>
  </si>
  <si>
    <t>Covarianzas</t>
  </si>
  <si>
    <t>AÑOS</t>
  </si>
  <si>
    <t>AÑOS (X)</t>
  </si>
  <si>
    <t>POBLACIÓN (Y)</t>
  </si>
  <si>
    <t>CORRELACIÓN XY</t>
  </si>
  <si>
    <t>CORRELACIÓN XU</t>
  </si>
  <si>
    <t>LN(Y)=U POBLACIÓN</t>
  </si>
  <si>
    <t>U=0,0079X+4,8347</t>
  </si>
  <si>
    <t>Ln(Y)=0,0079X+4,8347</t>
  </si>
  <si>
    <t>Y=e^(0,0079X+4,8347)</t>
  </si>
  <si>
    <t>Y=125,8*e^0,0079X</t>
  </si>
  <si>
    <t>Al analizar los datos a veces conviene hacer una transformación que simplifique su aspecto general. Abajo se presenta un ejemplo de cómo transformando la variable respuesta se puede simplificar el aspecto del diagrama de dispersión.
La población europea entre los años 1750 y 1950 creció de la manera indicada en el cuadro.
1.- Dibujar el diagrama de dispersión correspondiente a los datos. Describir brevemente el tipo de crecimiento en el periodo señalado.
2.- Calcular los logaritmos de la población de cada uno de los años. Dibujar el nuevo diagrama de dispersión con la variable población transformada, e indicar el tipo de crecimiento que se observa.</t>
  </si>
  <si>
    <t>Resumen</t>
  </si>
  <si>
    <t>Estadísticas de la regresión</t>
  </si>
  <si>
    <t>Coeficiente de correlación múltiple</t>
  </si>
  <si>
    <t>Coeficiente de determinación R^2</t>
  </si>
  <si>
    <t>R^2  ajustado</t>
  </si>
  <si>
    <t>Observaciones</t>
  </si>
  <si>
    <t>ANÁLISIS DE VARIANZA</t>
  </si>
  <si>
    <t>Regresión</t>
  </si>
  <si>
    <t>Residuos</t>
  </si>
  <si>
    <t>Total</t>
  </si>
  <si>
    <t>Intercepción</t>
  </si>
  <si>
    <t>Grados de libertad</t>
  </si>
  <si>
    <t>Suma de cuadrados</t>
  </si>
  <si>
    <t>Promedio de los cuadrados</t>
  </si>
  <si>
    <t>F</t>
  </si>
  <si>
    <t>Valor crítico de F</t>
  </si>
  <si>
    <t>Coeficientes</t>
  </si>
  <si>
    <t>Estadístico t</t>
  </si>
  <si>
    <t>Probabilidad</t>
  </si>
  <si>
    <t>Inferior 95%</t>
  </si>
  <si>
    <t>Superior 95%</t>
  </si>
  <si>
    <t>Inferior 95,0%</t>
  </si>
  <si>
    <t>Superior 95,0%</t>
  </si>
  <si>
    <t>Gasto</t>
  </si>
  <si>
    <t>Ingreso</t>
  </si>
  <si>
    <t>Tamaño</t>
  </si>
  <si>
    <t>Análisis de los residuales</t>
  </si>
  <si>
    <t>Observación</t>
  </si>
  <si>
    <t>Pronóstico Gasto</t>
  </si>
  <si>
    <t>Residuos estándares</t>
  </si>
  <si>
    <t>INGRESO^2</t>
  </si>
  <si>
    <t>TAMAÑO^2</t>
  </si>
  <si>
    <t>INGRESO*TAMAÑO</t>
  </si>
  <si>
    <t>INGRESO*GASTO</t>
  </si>
  <si>
    <t>TAMAÑO*GASTO</t>
  </si>
  <si>
    <t>BETA 0</t>
  </si>
  <si>
    <t>BETA 1</t>
  </si>
  <si>
    <t>BETA 2</t>
  </si>
  <si>
    <t>PRONÓSTICO GASTO</t>
  </si>
  <si>
    <t>RESIDUO</t>
  </si>
  <si>
    <t>RESIDUO^2</t>
  </si>
  <si>
    <t>MEDIA CUADRÁTICA</t>
  </si>
  <si>
    <t>ERROR TÍPICO</t>
  </si>
  <si>
    <t>MEDIA GASTO</t>
  </si>
  <si>
    <t>SCG</t>
  </si>
  <si>
    <t>SCE</t>
  </si>
  <si>
    <t>COEFICIENTE DETERM</t>
  </si>
  <si>
    <t>CORR MÚLTIPLE</t>
  </si>
  <si>
    <t>R^2 AJUSTADO</t>
  </si>
  <si>
    <t>LONGITUD</t>
  </si>
  <si>
    <t>MEDIA MUESTRAL</t>
  </si>
  <si>
    <t>(LONGITUD-MEDIA)^2</t>
  </si>
  <si>
    <t>DESVIACIÓN MUESTRA</t>
  </si>
  <si>
    <t>RAIZ TAMAÑO MUESTRA</t>
  </si>
  <si>
    <t>t ALPHA/2,n-1</t>
  </si>
  <si>
    <t>EXTREMO INF</t>
  </si>
  <si>
    <t>EXTREMO SUP</t>
  </si>
  <si>
    <t>Nivel de confianza(95,0%)</t>
  </si>
  <si>
    <t>NIVEL CONFIANZA</t>
  </si>
  <si>
    <t>Los valores de las longitudes (en micras) de 50 filamentos de la producción de una máquina (que se supone normal) son los indicados en la tabla de abajo.
Se pide:
1.- Hallar un intervalo de confianza para la media de la producción basado en la muestra de los 50 filamentos al 95% de coeficiente de confianza. Hallarlo también para el 90%.
2.- Contrastar la hipótesis nula de que la longitud media de los filamentos de la producción es de 100 a los niveles 5% y 10% basándose en la muestra dada.
3.- Comporbar si la producción puede considerarse, efectivamente, normal.
4.- Decidir cuál es la longitud del filamento más frecuente.
5.- Hallar el valor de la longitud de los filamentos tal que la mitad de los restantes valores sea inferior a él.</t>
  </si>
  <si>
    <t>Nivel de confianza(90,0%)</t>
  </si>
  <si>
    <t>Como el valor de 100 no pertenece a ninguno de los dos intervalos de confianza, se rechaza la hipótesis de que la longitud media de los filamentos de la producción es de 100 a los niveles 5% y 10%.
Los coeficientes de asimetría y curtosis caen dentro del intervalo [-2,2], por lo que hay normalidad.</t>
  </si>
  <si>
    <t>Empresa A</t>
  </si>
  <si>
    <t>Empresa B</t>
  </si>
  <si>
    <t>nº de personas</t>
  </si>
  <si>
    <t>salario  mensual percibido (€)</t>
  </si>
  <si>
    <t>salario mensual percibido (€)</t>
  </si>
  <si>
    <t>EMPRESA A</t>
  </si>
  <si>
    <t>SALARIO</t>
  </si>
  <si>
    <t>Nº PERSONAS</t>
  </si>
  <si>
    <r>
      <t>x</t>
    </r>
    <r>
      <rPr>
        <vertAlign val="subscript"/>
        <sz val="10"/>
        <color indexed="10"/>
        <rFont val="Arial"/>
        <family val="2"/>
      </rPr>
      <t>i</t>
    </r>
  </si>
  <si>
    <t>ni</t>
  </si>
  <si>
    <r>
      <t>x</t>
    </r>
    <r>
      <rPr>
        <vertAlign val="subscript"/>
        <sz val="10"/>
        <color indexed="10"/>
        <rFont val="Arial"/>
        <family val="2"/>
      </rPr>
      <t>i</t>
    </r>
    <r>
      <rPr>
        <sz val="10"/>
        <color indexed="10"/>
        <rFont val="Arial"/>
        <family val="2"/>
      </rPr>
      <t xml:space="preserve"> * n</t>
    </r>
    <r>
      <rPr>
        <vertAlign val="subscript"/>
        <sz val="10"/>
        <color indexed="10"/>
        <rFont val="Arial"/>
        <family val="2"/>
      </rPr>
      <t>i</t>
    </r>
  </si>
  <si>
    <t>Ui</t>
  </si>
  <si>
    <t>Ni</t>
  </si>
  <si>
    <t>Pi</t>
  </si>
  <si>
    <t>Qi</t>
  </si>
  <si>
    <t>Pi-Qi</t>
  </si>
  <si>
    <t>Ig=</t>
  </si>
  <si>
    <t>EMPRESA B</t>
  </si>
  <si>
    <t>CONCLUSIONES</t>
  </si>
  <si>
    <t xml:space="preserve"> - En general, la empresa A tiene un distribución bastante más concentrada que la empresa B</t>
  </si>
  <si>
    <t>o, lo que es lo mismo, la distribución de la masa salarial de la empresa B está mas equidistribuida</t>
  </si>
  <si>
    <t>que la empresa A.</t>
  </si>
  <si>
    <t xml:space="preserve"> - Tan sólo en los últimos valores ambas empresas presentan grados de concentración casi</t>
  </si>
  <si>
    <t>idénticos, llegando a coincidir en el punto de corte de ambas curvas.</t>
  </si>
  <si>
    <t>CUASIVARIANZA MUESTRAL</t>
  </si>
  <si>
    <t>Colectivo: 20 familias</t>
  </si>
  <si>
    <t>N=20</t>
  </si>
  <si>
    <t>Variable X:</t>
  </si>
  <si>
    <t>ingresos anuales expresados en miles de euros</t>
  </si>
  <si>
    <t>Valores observados:</t>
  </si>
  <si>
    <t>18,  20,  22,  19,  18,  20,  18,  19,  21, 20</t>
  </si>
  <si>
    <t>20,  21,  18,  20,  21,  19,  20,  21,  18,  20</t>
  </si>
  <si>
    <t>1) Cálculo de medidas descriptivas mediante la distribución de frecuencias</t>
  </si>
  <si>
    <t>valores X</t>
  </si>
  <si>
    <t>frecuen-cias</t>
  </si>
  <si>
    <t>frec.  Acum.</t>
  </si>
  <si>
    <t>media</t>
  </si>
  <si>
    <t>varianza</t>
  </si>
  <si>
    <t>m3(x)</t>
  </si>
  <si>
    <t>m4(x)</t>
  </si>
  <si>
    <t>xi</t>
  </si>
  <si>
    <r>
      <t>n</t>
    </r>
    <r>
      <rPr>
        <vertAlign val="subscript"/>
        <sz val="12"/>
        <rFont val="Arial"/>
        <family val="2"/>
      </rPr>
      <t>i</t>
    </r>
  </si>
  <si>
    <t>Varianza</t>
  </si>
  <si>
    <t>Desv. Típica</t>
  </si>
  <si>
    <t>Coef. Variación</t>
  </si>
  <si>
    <t>Coef. Asimetria</t>
  </si>
  <si>
    <t>Coef. Curtosis</t>
  </si>
  <si>
    <t>2) Cálculo de medidas descriptivas utilizando las Funciones Estadísticas de Excel</t>
  </si>
  <si>
    <t>del menu insertar</t>
  </si>
  <si>
    <t>Cálculo de medidas descriptivas:</t>
  </si>
  <si>
    <t>medida</t>
  </si>
  <si>
    <t>notación</t>
  </si>
  <si>
    <t>valor</t>
  </si>
  <si>
    <t>función utilizada</t>
  </si>
  <si>
    <t>promedio</t>
  </si>
  <si>
    <t xml:space="preserve">moda </t>
  </si>
  <si>
    <t>Mo</t>
  </si>
  <si>
    <t>moda</t>
  </si>
  <si>
    <t>mediana</t>
  </si>
  <si>
    <t>Me</t>
  </si>
  <si>
    <t>primer cuartil</t>
  </si>
  <si>
    <t>q1</t>
  </si>
  <si>
    <t>cuartil</t>
  </si>
  <si>
    <t>tercer cuartil</t>
  </si>
  <si>
    <t>q3</t>
  </si>
  <si>
    <t>varp</t>
  </si>
  <si>
    <t>desviación típica</t>
  </si>
  <si>
    <t>desvestp</t>
  </si>
  <si>
    <t>coef. Variación</t>
  </si>
  <si>
    <t>go(x)</t>
  </si>
  <si>
    <t>L(-1)C/L(-7)C</t>
  </si>
  <si>
    <t>coef. Asimetría</t>
  </si>
  <si>
    <t>g1(x)</t>
  </si>
  <si>
    <t>coeficente.asimetria</t>
  </si>
  <si>
    <t>coef. Curtosis</t>
  </si>
  <si>
    <t>g2(x)</t>
  </si>
  <si>
    <t>curtosis</t>
  </si>
  <si>
    <t xml:space="preserve">3) Cálculo de medidas descriptivas con la Herramienta Estadística Descriptiva </t>
  </si>
  <si>
    <t>de Análisis de Datos del menu Herramientas de Excel</t>
  </si>
  <si>
    <t>rango entrada</t>
  </si>
  <si>
    <t>Medidas de Estadística Descriptiva</t>
  </si>
  <si>
    <t xml:space="preserve">4) Obtención de la distribución de frecuencias y representación gráfica </t>
  </si>
  <si>
    <t>con la Herramienta Histograma de Análisis de Datos del menu Herramientas de Excel</t>
  </si>
  <si>
    <t>Clase (valores X)</t>
  </si>
  <si>
    <t>Valores X</t>
  </si>
  <si>
    <t>Frecuencia</t>
  </si>
  <si>
    <t>t ALPHA/2, n-1</t>
  </si>
  <si>
    <t>TAMAÑO</t>
  </si>
  <si>
    <t>RAIZ TAMAÑO</t>
  </si>
  <si>
    <t>RADIO</t>
  </si>
  <si>
    <t>EXTREMO INFERIOR</t>
  </si>
  <si>
    <t>EXTREMO SUPERIOR</t>
  </si>
  <si>
    <t>DESVIACIÓN</t>
  </si>
  <si>
    <t>PH</t>
  </si>
  <si>
    <t>CÁLCULO VAR</t>
  </si>
  <si>
    <t>CHI^2 ALPHA/2, n-1</t>
  </si>
  <si>
    <t>CHI^2 1-ALPHA/2, n-1</t>
  </si>
  <si>
    <t>Se acepta la hipótesis de que la media es 6,8 con confianza al 95%, ya que el intervalo de confianza hallado para la media contiene el valor 6,8; por otra parte, se rechaza la hipótesis de que la media es 6,8 con confianza al 65%, ya que el intervalo de confianza hallado para la media no contiene el valor 6,8.</t>
  </si>
  <si>
    <t>Los valores de pH de una solución en 10 determinaciones diferentes son los siguientes: 6,80;6,78;6,77;6,80;6,78;6,80;6,82;6,81;6,80;6,79. Suponiendo normal la distribución de la población de todas las determinaciones del pH de esa solución, se pide:
1.- Hallar un intervalo de confianza al 95% para la media y la varianza poblacionales.
2.- Hallar un intervalo de confianza al 65% para la media y la varianza poblacionales.
3.- Contrastar la hipótesis nula de que la media poblacional es 6,8 frente a la alternativa de que sea distinta, a un nivel de significación de 0,05 y de 0,35.</t>
  </si>
  <si>
    <t>CENTRO 1</t>
  </si>
  <si>
    <t>CENTRO 2</t>
  </si>
  <si>
    <t>CENTRO 3</t>
  </si>
  <si>
    <t>CENTRO 4</t>
  </si>
  <si>
    <t>CENTRO 5</t>
  </si>
  <si>
    <t>J</t>
  </si>
  <si>
    <t>n</t>
  </si>
  <si>
    <t>N</t>
  </si>
  <si>
    <t>T1</t>
  </si>
  <si>
    <t>T2</t>
  </si>
  <si>
    <t>T3</t>
  </si>
  <si>
    <t>T4</t>
  </si>
  <si>
    <t>T5</t>
  </si>
  <si>
    <t>T</t>
  </si>
  <si>
    <t>CUADRADOS C1</t>
  </si>
  <si>
    <t>CUADRADOS C2</t>
  </si>
  <si>
    <t>CUADRADOS C3</t>
  </si>
  <si>
    <t>CUADRADOS C4</t>
  </si>
  <si>
    <t>CUADRADOS C5</t>
  </si>
  <si>
    <t>SC</t>
  </si>
  <si>
    <t>MEDIA CUADRÁTICA ENTRE GRUPOS</t>
  </si>
  <si>
    <t>MEDIA CUADRÁTICA DENTRO DE LOS GRUPOS</t>
  </si>
  <si>
    <t>F J-1,N-J = F 4,35</t>
  </si>
  <si>
    <t>F&gt;F J-1,N-J</t>
  </si>
  <si>
    <t>Análisis de varianza de un factor</t>
  </si>
  <si>
    <t>RESUMEN</t>
  </si>
  <si>
    <t>Grupos</t>
  </si>
  <si>
    <t>Promedio</t>
  </si>
  <si>
    <t>Origen de las variaciones</t>
  </si>
  <si>
    <t>Valor crítico para F</t>
  </si>
  <si>
    <t>Entre grupos</t>
  </si>
  <si>
    <t>Dentro de los grupos</t>
  </si>
  <si>
    <t>Como el p-valor del test F de Fisher es menor que 0,05, existen diferencias significativas entre las calificaciones de los diferentes centros al 95% de confianza, con lo que admitimos que existe variabilidad entre centros</t>
  </si>
  <si>
    <t>Rechazamos H0: las medias son iguales</t>
  </si>
  <si>
    <t>Se sospecha que hay variabilidad para la preparación del examen de selectividad entre los diferentes centros de bachillerato de una región. Con el fin de estudiar esa variabilidad, se eligieron 5 centros al azar de entre todos los centros de la región, cuyo número es muy grande. De cada centro seleccionado se eligieron 8 alumnos al azar, con la condición de que hubieran cursado las mismas asignaturas, y se anotaron las calificaciones que obtuvieron en el examen de selectividad. Los resultados fueron los mostrados en la tabla de abajo.
Se pide estudiar si existe variabilidad entre centros y estimar esa variabilidad.</t>
  </si>
  <si>
    <t>ESTIMACIÓN PARA LA VARIANZA</t>
  </si>
  <si>
    <t>N1</t>
  </si>
  <si>
    <t>N2</t>
  </si>
  <si>
    <t>N3</t>
  </si>
  <si>
    <t>N4</t>
  </si>
  <si>
    <t>N5</t>
  </si>
  <si>
    <t>TOTAL</t>
  </si>
  <si>
    <t>Fútbol</t>
  </si>
  <si>
    <t>Baloncesto</t>
  </si>
  <si>
    <t>Tenis</t>
  </si>
  <si>
    <t>Atletismo</t>
  </si>
  <si>
    <t>Golf</t>
  </si>
  <si>
    <t>FRECUENCIAS ESPERADAS</t>
  </si>
  <si>
    <t>P-VALOR</t>
  </si>
  <si>
    <t>ALFA</t>
  </si>
  <si>
    <t>SUMA</t>
  </si>
  <si>
    <t>SUMA - CHI CUADRADO</t>
  </si>
  <si>
    <t>Rechazamos H0: Independencia entre nacionalidad y deportes</t>
  </si>
  <si>
    <t>p-valor&lt;0,05: Rechazamos la hipótesis de independencia entre nacionalidad y deportes</t>
  </si>
  <si>
    <t>Se encuestan a 1.000 personas de 5 nacionalidades distintas (N1, N2, N3, N4 y N5) acerca de cuáles son sus deportes favoritos, obteniéndose los resultados mostrados en la tabla de abajo.
Decidir si son independientes la nacionalidad de las personas y su deporte favorito</t>
  </si>
  <si>
    <t>Sp</t>
  </si>
  <si>
    <t>f</t>
  </si>
  <si>
    <t>INTERVALODIFMEDIAS(a)</t>
  </si>
  <si>
    <t>INTERVALODIFMEDIAS(b)</t>
  </si>
  <si>
    <t>INTERVALODIFVARIANZAS(a)</t>
  </si>
  <si>
    <t>INTERVALODIFVARIANZAS(b)</t>
  </si>
  <si>
    <t>GRUPO 1</t>
  </si>
  <si>
    <t>GRUPO 2</t>
  </si>
  <si>
    <t>Las presiones críticas de dos grupos independientes de recipientes de distintos vidrios dan los valores contenidos en la tabla mostrada abajo.
Se pide:
1.- Suponiendo que las dos poblaciones son normales y de varianzas iguales y desconocidas, calcular un intervalo de confianza del 95% para la diferencia de presiones medias y contrastar la hipótesis de igualdad de presiones medias. Contrastar también la hipótesis de igualdad de varianzas al mismo nivel.
2.- Analizar qué ocurre en el caso de varianzas desiguales.</t>
  </si>
  <si>
    <t>El intervalo de confianza para la diferencia de medias no contiene al valor cero, lo que nos lleva a rechazar la hipótesis de igualdad de medias al 95%.
El intervalo de confianza para el cociente de varianzas sí contiene al valor uno, lo que nos lleva a aceptar la hipótesis de igualdad de varianzas al 95%</t>
  </si>
  <si>
    <t>El intervalo de confianza para la diferencia de medias no contiene al valor cero, lo que nos lleva a rechazar la hipótesis de igualdad de medias al 95%.
El intervalo de confianza para el cociente de varianzas se realiza igual que en el caso anterior, ya que no depende del hecho de que las varianzas desconocidas sean o no iguales.</t>
  </si>
  <si>
    <t>INTERVALODIFBINOMIALES(b)</t>
  </si>
  <si>
    <t>INTERVALODIFBINOMIALES(a)</t>
  </si>
  <si>
    <t>Se sospecha que existe una diferencia significativa entre los porcentajes de piezas defectuosas elaboradas por dos máquinas A y B en un proceso de producción industrial. Para salir de dudas se toma una muestra aleatoria de 300 piezas de la máquina A, de las cuales 27 han resultado defectuosas; y del mismo modo, se toma una muestra aleatoria de 400 piezas de la máquina B, de las cuales 32 son defectuosas.
Razonar qué nos indican estos resultados.</t>
  </si>
  <si>
    <t>El intervalo de confianza contiene al valor cero, luego se acepta la hipótesis de igualdad de proporciones al 95%: los porcentajes de piezas defectuosas producidas por las dos máquinas no pueden considerarse distintos.</t>
  </si>
  <si>
    <t xml:space="preserve">Establecer con base estadística en cuál de las empresas descritas el salario está repartido de forma más equitativa.
Deducir conclusiones del análisis de las curvas de Lorenz correspondientes.
</t>
  </si>
  <si>
    <t>PESO</t>
  </si>
  <si>
    <t>Clase</t>
  </si>
  <si>
    <t>Cp=</t>
  </si>
  <si>
    <t>Cpk=</t>
  </si>
  <si>
    <t>Cpm=</t>
  </si>
  <si>
    <t>Cr=</t>
  </si>
  <si>
    <t>y mayor...</t>
  </si>
  <si>
    <t>En un proceso de fabricación de paquetes de cereal para desayuno se controlan los pesos de 100 paquetes, obteniéndose los resultados mostrados por la tabla de abajo.
Si los ingenieros han establecido como límites de especificación para el peso de paquetes fabricados la franja [14,17], analizar la capacidad del proceso y hallar los límites de tolerancia natural al 95%.</t>
  </si>
  <si>
    <t>El proceso de fabricación de paquetes de cereal trabaja adecuadamente, requiriendo posible control. Este resultado también lo corroboran la cercanía a la unidad de Cpm y de Cr, y la cercanía a 1/2 de Cpk.
Los límites de tolerancia sirven para indicar los extremos entre los cuales es posible esperar que caiga una proporción específica de una población. En nuestro caso, es de esperar que el 95% de los pesos de las cajas de cereales caiga dentro del intervalo [15,45 , 17,19]</t>
  </si>
  <si>
    <t>INTERVALO TOLERANCIA</t>
  </si>
  <si>
    <t>ÍNDICES</t>
  </si>
  <si>
    <t>P</t>
  </si>
  <si>
    <t>FP</t>
  </si>
  <si>
    <t>FT</t>
  </si>
  <si>
    <t>Cuenta de T</t>
  </si>
  <si>
    <t>r</t>
  </si>
  <si>
    <t>Coeficiente variación(P)</t>
  </si>
  <si>
    <t>Total general</t>
  </si>
  <si>
    <t>Tercer cuartil(P)</t>
  </si>
  <si>
    <t>% acumulado</t>
  </si>
  <si>
    <t>Percentil15(P)</t>
  </si>
  <si>
    <t>Coeficiente variación(T)</t>
  </si>
  <si>
    <t>Tercer cuartil(T)</t>
  </si>
  <si>
    <t>Tercer cuartil</t>
  </si>
  <si>
    <t>Percentil15(T)</t>
  </si>
  <si>
    <t>T / P=72</t>
  </si>
  <si>
    <t>Cuenta de P</t>
  </si>
  <si>
    <t>Abajo se presenta la tabla bidimensional de frecuencias con los datos sobre presiones diastólicas de la sangre P tomadas en reposo. Los valores de la variable T se refieren al tiempo en minutos transcurrido desde el comienzo del descanso.
Se pide:
1.- Estudiar el grado de dependencia lineal existente entre las dos variables.
2.- Hallar las distribuciones marginales de P y T y sus coeficientes de variación, tercer cuartil y percentil 15.
3.- Hallar la distribución de P condicionada a que T=10, así como su esperanza, varianza, moda, mediana, tercer cuartil y coeficiente de variación.
4.- Hallar la distribución de T condicionada a que P=72, así como su esperanza, varianza, moda, mediana, tercer cuartil y coeficiente de variación.</t>
  </si>
  <si>
    <t>P - T</t>
  </si>
  <si>
    <t>PERIODO</t>
  </si>
  <si>
    <t>PERIODO^2</t>
  </si>
  <si>
    <t>SERVICIOS</t>
  </si>
  <si>
    <t>Resultados de datos de probabilidad</t>
  </si>
  <si>
    <t>Pronóstico SERVICIOS</t>
  </si>
  <si>
    <t>Percentil</t>
  </si>
  <si>
    <t>MCReg</t>
  </si>
  <si>
    <t>(PRONÓSTICO-PROMEDIO REAL)^2</t>
  </si>
  <si>
    <t>RESIDUOS^2</t>
  </si>
  <si>
    <t>MCE</t>
  </si>
  <si>
    <t>Los parámetros estimados del modelo y el modelo global resultan significativos al 95% (se rechaza la hipótesis nula de que valgan cero) ya que los p-valores son menores que 0,05, y el valor de F es mayor que su valor crítico. Además, el coeficiente de determinación es muy elevado, lo que favorece el ajuste</t>
  </si>
  <si>
    <t>La tabla de abajo contiene los datos de la contabilidad nacional de España a lo largo de 21 años, mostrándose la evolución del porcentaje del sector servicios en el PIB a precios corrientes. Se pide:
1.- Representar la serie y proponer una función tendencia que pueda adaptarse correctamente a los datos.
2.- Estimar una tendencia lineal.
3.- Estimar una tendencia cuadrática.
4.- Decidir cuál de las dos estimaciones anteriores proporciona un mejor ajuste estadístico.
5.- Decidir si, de cara a la predicción, es correcto emplear alguno de los dos modelos propuestos. En tal caso, predecir el porcentaje del sector servicios en la siguiente década.</t>
  </si>
  <si>
    <t>PROMEDIO X</t>
  </si>
  <si>
    <t>PROMEDIO Y</t>
  </si>
  <si>
    <t>CUASIVAR X</t>
  </si>
  <si>
    <t>CUASIVAR Y</t>
  </si>
  <si>
    <t>S1^2/S2^2</t>
  </si>
  <si>
    <t>F 6;6;0,95 (INVERSO DEL DE ABAJO)</t>
  </si>
  <si>
    <t>F 6;6;0,05 (VER TABLA)</t>
  </si>
  <si>
    <t>S1^2/S2^2 ESTÁ EN EL INTERVALO</t>
  </si>
  <si>
    <t>Aceptamos H0: igualdad de varianzas.</t>
  </si>
  <si>
    <t>t 12;0,10</t>
  </si>
  <si>
    <t>t*Sp*RAIZ</t>
  </si>
  <si>
    <t>DIFERENCIA MEDIAS</t>
  </si>
  <si>
    <t>DIFERENCIA DE MEDIAS FUERA DE R</t>
  </si>
  <si>
    <t>No rechazamos H0: no hay suficiente evidencia estadística para concluir que el Verapamil es más efectivo que el Nitroprusside</t>
  </si>
  <si>
    <t>El Verapamil y el Nitroprusside son dos productos utilizados para reducir la hipertensión. Para compararlos, unos pacientes son tratados con Verapamil y otros con Nitroprusside. Los resultados obtenidos se muestran en la tabla de abajo, donde X="Reducción (en mm) de la presión arterial de un paciente tratado con Verapamil", e Y="Reducción (en mm) de la presión arterial de un paciente tratado con Nitroprusside".
Se pide:
1.- Admitiendo normalidad, decir si se puede aceptar la igualdad de varianzas al nivel ALPHA=0,10.
2.- Decidir si estos datos proporcionan suficiente evidencia estadística (al nivel de significación 0,10) para concluir que el Verapamil es más efectivo que el Nitroprusside para reducir al presión arterial.</t>
  </si>
  <si>
    <t>Prueba F para varianzas de dos muestras</t>
  </si>
  <si>
    <t>Variable 1</t>
  </si>
  <si>
    <t>Variable 2</t>
  </si>
  <si>
    <t>P(F&lt;=f) una cola</t>
  </si>
  <si>
    <t>Valor crítico para F (una cola)</t>
  </si>
  <si>
    <t>p-valor mayor que 0,10, luego se acepta igualdad de varianzas</t>
  </si>
  <si>
    <t>El valor crítico es mayor que el estadístico, luego se acepta la hipótesis de varianzas iguales</t>
  </si>
  <si>
    <t>Prueba t para dos muestras suponiendo varianzas iguales</t>
  </si>
  <si>
    <t>Varianza agrupada</t>
  </si>
  <si>
    <t>Diferencia hipotética de las medias</t>
  </si>
  <si>
    <t>P(T&lt;=t) una cola</t>
  </si>
  <si>
    <t>Valor crítico de t (una cola)</t>
  </si>
  <si>
    <t>P(T&lt;=t) dos colas</t>
  </si>
  <si>
    <t>Valor crítico de t (dos colas)</t>
  </si>
  <si>
    <t>p-valores mayores que 0,10, luego se acepta igualdad de medias</t>
  </si>
  <si>
    <t>PRUEBA CHI (TEÓRICO, TABLA)</t>
  </si>
  <si>
    <t>X - CHICOS</t>
  </si>
  <si>
    <t>Y - CHICAS</t>
  </si>
  <si>
    <t>RESTA PROMEDIOS</t>
  </si>
  <si>
    <t>t 18;0,025</t>
  </si>
  <si>
    <t>RAIZ</t>
  </si>
  <si>
    <t>VALOR CRÍTICO</t>
  </si>
  <si>
    <t>Los valores críticos son mayores que el estadístico, luego se acepta la hipótesis de medias iguales</t>
  </si>
  <si>
    <t>Prueba t para medias de dos muestras emparejadas</t>
  </si>
  <si>
    <t>Coeficiente de correlación de Pearson</t>
  </si>
  <si>
    <t>PROMEDIO d</t>
  </si>
  <si>
    <t>d</t>
  </si>
  <si>
    <t>t 9; 0,025</t>
  </si>
  <si>
    <t>CUASIVAR d</t>
  </si>
  <si>
    <t>RAIZ CUASIV</t>
  </si>
  <si>
    <t>La media no cumple la condición de rechazo, por lo que se acepta la hipótesis nula</t>
  </si>
  <si>
    <t>El valor del estadístico es menor que los dos valores críticos: estos caen fuera del área de rechazo, luego se acepta la hipótesis nula; esto es, las aptitudes matemáticas son parecidas en hermanos y en hermanas al nivel de significación 0,05.
Los dos p-valores son mayores que el nivel de significación, así es que aceptamos la hipótesis de que la diferencia de medias es igual a cero.</t>
  </si>
  <si>
    <t>En un estudio sobre la influencia del sexo en la aptitud matemática se tomaron dos muestras independientes, de tamaño 10, de los alumnos de cierta escuela y se obtuvieron las puntuaciones de un examen mostradas en la tabla de abajo.
Se pide:
1.- Decidir si estos datos proporcionan suficiente evidencia estadístia, al nivel de significación 0,05, para afirmar que las aptitudes matemáticas son diferentes en chicos y chicas.
2.- Resolver el mismo problema suponiendo ahora que las muestras anteriores corresponden a pares hermano-hermana.</t>
  </si>
  <si>
    <t>PROMEDIO MADRID</t>
  </si>
  <si>
    <t>PROMEDIO EUROPA</t>
  </si>
  <si>
    <t>RESTA</t>
  </si>
  <si>
    <t>Z 0,025</t>
  </si>
  <si>
    <t>VALOR</t>
  </si>
  <si>
    <t>0,03&lt;0,04336351</t>
  </si>
  <si>
    <t>No nos movemos en la región de rechazo, luego aceptamos la hipótesis inicial de que el absentismo laboral en Madrid es menor que el correspondiente a la Unión Europea</t>
  </si>
  <si>
    <r>
      <t xml:space="preserve">La Comunidad Autónoma de Madrid está interesada en averiguar si el índice de absentismo laboral es mayor en dicha Comundad que en la Unión Europea, donde se sitúa en el 11%. Con este propósito, seleccionó al azar una muestra de 200 trabajadores, la cual proporcionó un porcentaje de absentismo del 14%.
1.- Decidir si se puede sacar la conclusión de que el absentismo es mayor en la Comunidad de Madrid que en al Unión Europea, al nivel de significación 0,025.
2.- Sabiendo que el porcentaje de absentismo va a continuar siendo el 14%, indicar cuánta gente debería ser seleccionada en la muestra para convencer de que el nivel de absentismo en la Comunidad de Madrid es superior al de la Unión Europea. </t>
    </r>
    <r>
      <rPr>
        <b/>
        <sz val="11"/>
        <color rgb="FFFF0000"/>
        <rFont val="Calibri"/>
        <family val="2"/>
        <scheme val="minor"/>
      </rPr>
      <t xml:space="preserve">(Resolver inecuación: 418 personas)
</t>
    </r>
    <r>
      <rPr>
        <b/>
        <sz val="11"/>
        <rFont val="Calibri"/>
        <family val="2"/>
        <scheme val="minor"/>
      </rPr>
      <t xml:space="preserve">3.- Decidir qué mínimo porcentaje de absentismo se tendría que encontrar en una muestra de 100 personas para convencer al mismo nivel de significación de que el absentismo en la Comunidad de Madrid es superior al de la Unión Europea. </t>
    </r>
    <r>
      <rPr>
        <b/>
        <sz val="11"/>
        <color rgb="FFFF0000"/>
        <rFont val="Calibri"/>
        <family val="2"/>
        <scheme val="minor"/>
      </rPr>
      <t>(Resolver inecuación: 17,1325265%)</t>
    </r>
  </si>
  <si>
    <r>
      <t xml:space="preserve">Un examen consta de 100 preguntas con 4 alternativas cada una. Solo una de las alternativas es correcta y las preguntas abarcan uniformemente toda la asignatura.
Se desea que los alumnos que superen la prueba sepan, al menos, el 50% de la asignatura.
Determinar el número mínimo de respuestas correctas para aprobar el examen, con un nivel de confianza del 99%.  </t>
    </r>
    <r>
      <rPr>
        <b/>
        <sz val="11"/>
        <color rgb="FFFF0000"/>
        <rFont val="Calibri"/>
        <family val="2"/>
        <scheme val="minor"/>
      </rPr>
      <t>74 preguntas</t>
    </r>
  </si>
  <si>
    <t xml:space="preserve">      MARIHUANA</t>
  </si>
  <si>
    <t xml:space="preserve">         ALCOHOL</t>
  </si>
  <si>
    <t xml:space="preserve">      NO_DROGA</t>
  </si>
  <si>
    <t>M</t>
  </si>
  <si>
    <t>H</t>
  </si>
  <si>
    <t>Análisis de varianza de dos factores con varias muestras por grupo</t>
  </si>
  <si>
    <t>Muestra</t>
  </si>
  <si>
    <t>Columnas</t>
  </si>
  <si>
    <t>Interacción</t>
  </si>
  <si>
    <t>Dentro del grupo</t>
  </si>
  <si>
    <t>SUMA DE CUADRADOS ENTRE GRUPOS SCI</t>
  </si>
  <si>
    <t>SUMA DE CUADRADOS DENTRO DE LOS GRUPOS SCE</t>
  </si>
  <si>
    <t>MARIHUANA^2</t>
  </si>
  <si>
    <t>ALCOHOL^2</t>
  </si>
  <si>
    <t>NO_DROGA^2</t>
  </si>
  <si>
    <t>SCT</t>
  </si>
  <si>
    <t>SCA</t>
  </si>
  <si>
    <t>SCB</t>
  </si>
  <si>
    <t>NO</t>
  </si>
  <si>
    <t>SÍ</t>
  </si>
  <si>
    <t>EDAD</t>
  </si>
  <si>
    <t>T1NO</t>
  </si>
  <si>
    <t>T1SI</t>
  </si>
  <si>
    <t>T2NO</t>
  </si>
  <si>
    <t>T3NO</t>
  </si>
  <si>
    <t>T2SI</t>
  </si>
  <si>
    <t>T3SI</t>
  </si>
  <si>
    <t>J=3 (BLOQUES)</t>
  </si>
  <si>
    <t>K=2 (GRUPOS)</t>
  </si>
  <si>
    <t>n=5 (OBS)</t>
  </si>
  <si>
    <t>N=Njk=30</t>
  </si>
  <si>
    <t>NO^2</t>
  </si>
  <si>
    <t>SI^2</t>
  </si>
  <si>
    <t>SCAB</t>
  </si>
  <si>
    <t>MCA</t>
  </si>
  <si>
    <t>MCB</t>
  </si>
  <si>
    <t>FA</t>
  </si>
  <si>
    <t>FB</t>
  </si>
  <si>
    <t>MCAB</t>
  </si>
  <si>
    <t>FAB</t>
  </si>
  <si>
    <t>F 2;24</t>
  </si>
  <si>
    <t>F 1;24</t>
  </si>
  <si>
    <t>FA&gt;F2;24 luego rechazamos H0A</t>
  </si>
  <si>
    <t>FB&lt;F1;24 luego aceptamos H0B</t>
  </si>
  <si>
    <t>FAB&lt;F2;24 luego aceptamos H0AB</t>
  </si>
  <si>
    <t>J=2 (BLOQUES)</t>
  </si>
  <si>
    <t>K=3 (GRUPOS)</t>
  </si>
  <si>
    <t>n=3 (OBS)</t>
  </si>
  <si>
    <t>N=Njk=18</t>
  </si>
  <si>
    <t>MUJERES</t>
  </si>
  <si>
    <t>HOMBRES</t>
  </si>
  <si>
    <t>T MUJ-MAR</t>
  </si>
  <si>
    <t>T HOM-MAR</t>
  </si>
  <si>
    <t>T MUJ-ALC</t>
  </si>
  <si>
    <t>T HOM-ALC</t>
  </si>
  <si>
    <t>T MUJ-NO</t>
  </si>
  <si>
    <t>T HOM-NO</t>
  </si>
  <si>
    <t>F 1;12</t>
  </si>
  <si>
    <t>F 2;12</t>
  </si>
  <si>
    <t>FA&lt;F2;24 luego aceptamos H0A</t>
  </si>
  <si>
    <t>FB&gt;F1;24 luego rechazamos H0B</t>
  </si>
  <si>
    <t>Es significativa la diferencia entre los tratamientos con los tres tipos de droga</t>
  </si>
  <si>
    <t>No es significativa la diferencia entre sexos</t>
  </si>
  <si>
    <t>No es significativa la diferencia entre la interacción entre sexos y tratamiento</t>
  </si>
  <si>
    <t>NO_DROGA</t>
  </si>
  <si>
    <t>No es significativa la diferencia entre sexos ni la interación entre sexos y tratamientos (p valores mayores que 0,05); sí es significativa la diferencia entre los tratamientos con los tres tipos de drogadicción (marihuana, alcohol o nada).</t>
  </si>
  <si>
    <t>MARIHUANA</t>
  </si>
  <si>
    <t>ALCOHOL</t>
  </si>
  <si>
    <t>Un investigador está interesado en estudiar los efectos de determinadas drogas en los accidentes de tráfico. Para ello se somete en un simulador de conducción a tres hombres y tres mujeres a la influencia de tres tratamientos distintos: conducción bajo los efectos de la marihuana, bajo los efectos del alcohol y sin haber tomado ninguna droga. El simulador puntúa entre 0 y 35, asociándose las puntuaciones más altas a las mejores condiciones para conducir.
Se obtuvieron los resultados mostrados en la tabla de abajo.
Se trata de estudiar si son diferentes los efectos de las tres drogas en la conducción según sexos al nivel del 99%.</t>
  </si>
  <si>
    <t>Se desea estudiar los efectos de fumar en tres bloques de gente dependiendo de su edad (1: ADOLESCENTE; 2: ADULTO; 3: MAYOR) . Se asignan puntuaciones de ansiedad según una escala social.
Se obtuvieron los resultados mostrados en la tabla de abajo.
Se trata de estudiar si los efectos de la ansiedad son diferentes según la edad al nivel del 99%.</t>
  </si>
  <si>
    <t>FUMADOR</t>
  </si>
  <si>
    <t>Una noticia en el periódico dice que, de 1.000 personas encuestadas sobre una cuestión, 556 están a favor y 444 en contra. Se pide:
1.- Hallar un intervalo de confianza para la media a un nivel de significación 0,05 y el margen de error correspondiente.
2.- Si concluye afirmando que el 55,6% se muestra a favor con un margen de error del 3%, determinar cuál es el nivel de confianza de esta afirmación.</t>
  </si>
  <si>
    <t>Y ESTIMADA</t>
  </si>
  <si>
    <t>(Y-Y EST)^2</t>
  </si>
  <si>
    <t>ESTADÍSTICO</t>
  </si>
  <si>
    <t>t 8;0,05</t>
  </si>
  <si>
    <t>Rechazamos la hipótesis nula BETA1=0; Aceptamos que X influye positivamente sobre Y</t>
  </si>
  <si>
    <t>Disponemos de las longitudes (en cm) de 10 plantas al cabo de un año de vida (Variable X). Disponemos también de las longitudes de esas mismas plantas cuando son adultas (Variable Y). Estamos interesados en analizar la posible relación lineal entre las características de ambas variables. Se pide:
1.- Determinar la recta de regresión de Y sobre X y resumir la posible relación lineal entre la longitud que alcanza una planta en su máximo desarrollo y la que tiene al cabo de un año de vida.
2.- Confirmar estadísticamente que X tiene una influencia positiva significativa sobre Y.
3.- Construir el intervalo de confianza (a un nivel del 95%) para estimar la altura media que alcanzarían las plantas que en su primer año de vida miden 20,5 cm.</t>
  </si>
  <si>
    <t>Variable X 1</t>
  </si>
  <si>
    <t>Pronóstico para Y</t>
  </si>
  <si>
    <t>Y0 ESTIMADA</t>
  </si>
  <si>
    <t>ERROR INTERVALO</t>
  </si>
  <si>
    <t>Z ALPHA/2</t>
  </si>
  <si>
    <t>ERROR</t>
  </si>
  <si>
    <t>MARGEN ERROR</t>
  </si>
  <si>
    <t>ES Z*RAIZ</t>
  </si>
  <si>
    <t>ALPHA/2</t>
  </si>
  <si>
    <t>EXTREMO INF INT</t>
  </si>
  <si>
    <t>ALPHA</t>
  </si>
  <si>
    <t>EXTREMO SUP INT</t>
  </si>
  <si>
    <t>CONFIANZA</t>
  </si>
  <si>
    <t>Número de impactos en la cuadrícula</t>
  </si>
  <si>
    <t>Frecuencia observada</t>
  </si>
  <si>
    <t>Frecuencia esperada</t>
  </si>
  <si>
    <r>
      <t xml:space="preserve">Desde el 8 de Septiembre de 1944 al 27 de Marzo de 1945 los alemanes lanzaron una lluvia de misiles V2 sobre Londres. Los estadísticos que colaboraban en la defensa antiaérea dividieron un área de 144 kilómetros cuadrados del sur de Londres en 576 cuadrículas de un cuarto de kilómetro cuadrado y contaron el número de bombas caidas en cada cuadrícula durante los bombardeos alemanes hasta llegar a un total de 537 impactos. Los resultados fueron los mostrados en la tabla de abajo.
Decidir si los bombardeos seguían un patrón aleatorio; esto es, si estaban o no dirigidos a determinados objetivos militares.
</t>
    </r>
    <r>
      <rPr>
        <b/>
        <sz val="9"/>
        <color rgb="FF7030A0"/>
        <rFont val="Arial"/>
        <family val="2"/>
      </rPr>
      <t>Emplear el test Chi-Cuadrado de Pearson con el propósito de comprobar el ajuste entre la distribución observada y la distribución teórica esperada, que en este caso se trata de una distribución de Poisson o de "sucesos raros" (mide la probabilidad de que aleatoriamente ocurra un determinado número de eventos que se suponen raros o improbables durante cierto periodo de tiempo.</t>
    </r>
  </si>
  <si>
    <t>Discrepancia</t>
  </si>
  <si>
    <t>Discrepancia al cuadrado</t>
  </si>
  <si>
    <t>Discrepancia al cuadrado entre Frecuencia Esperada</t>
  </si>
  <si>
    <t>Estadístico</t>
  </si>
  <si>
    <t>p-valor</t>
  </si>
  <si>
    <t>Chi-Cuadrado</t>
  </si>
  <si>
    <t>El estadístico es menor que el valor de la Chi-Cuadrado, por lo que no se verifica la región de rechazo de la hipótesis inicial de que los bombardeos siguen una distribución de Poisson. Aceptamos por tanto que los bombardeos siguen un patrón aleatorio.</t>
  </si>
  <si>
    <t>ALTURA</t>
  </si>
  <si>
    <t>TALLA</t>
  </si>
  <si>
    <t>DISTANCIA</t>
  </si>
  <si>
    <t>POSICIÓN k=5</t>
  </si>
  <si>
    <t>ALTURA ESTANDARIZADA</t>
  </si>
  <si>
    <t>PESO ESTANDARIZADO</t>
  </si>
  <si>
    <t>DISTANCIA ESTANDARIZADA</t>
  </si>
  <si>
    <t>POSICIÓN k=5 ESTANDARIZADA</t>
  </si>
  <si>
    <t>L</t>
  </si>
  <si>
    <t>MARIANO: (161, 61); k=5</t>
  </si>
  <si>
    <t>MEDIA ALTURA</t>
  </si>
  <si>
    <t>SD ALTURA</t>
  </si>
  <si>
    <t>PESO MEDIO</t>
  </si>
  <si>
    <t>SD PESO</t>
  </si>
  <si>
    <t>MATRIZ ORIGINAL</t>
  </si>
  <si>
    <t>MATRIZ DE DISTANCIAS</t>
  </si>
  <si>
    <t>MATRIZ CON UN CLUSTER</t>
  </si>
  <si>
    <t>MATRIZ CON DOS CLUSTERS</t>
  </si>
  <si>
    <t>REGISTRO</t>
  </si>
  <si>
    <t>VARIABLE1</t>
  </si>
  <si>
    <t>VARIABLE2</t>
  </si>
  <si>
    <t>REGISTROS</t>
  </si>
  <si>
    <t>A</t>
  </si>
  <si>
    <t>B</t>
  </si>
  <si>
    <t>ADMISIÓN (S/N): TARGET</t>
  </si>
  <si>
    <t>NOTA DE EXAMEN</t>
  </si>
  <si>
    <t>MEDIA EN EL GRADO</t>
  </si>
  <si>
    <t>NOTA PRESTIGIO INSTITUCIÓN</t>
  </si>
  <si>
    <t>COEFICIENTES</t>
  </si>
  <si>
    <t>B0</t>
  </si>
  <si>
    <t>B1</t>
  </si>
  <si>
    <t>B2</t>
  </si>
  <si>
    <t>B3</t>
  </si>
  <si>
    <t>LOGIT</t>
  </si>
  <si>
    <t>EXP(LOGIT)</t>
  </si>
  <si>
    <t>PROBABILIDAD</t>
  </si>
  <si>
    <t>LOG LIKELIHOOD</t>
  </si>
  <si>
    <t>SUMA LOG LIKELIHOOD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</si>
</sst>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
    <numFmt numFmtId="165" formatCode="0.0000"/>
    <numFmt numFmtId="166" formatCode="0.000000000"/>
    <numFmt numFmtId="167" formatCode=".00%"/>
    <numFmt numFmtId="168" formatCode="0.0000000"/>
  </numFmts>
  <fonts count="41" x14ac:knownFonts="1">
    <font>
      <sz val="11"/>
      <color theme="1"/>
      <name val="Calibri"/>
      <family val="2"/>
      <scheme val="minor"/>
    </font>
    <font>
      <b/>
      <sz val="11"/>
      <color theme="1"/>
      <name val="Calibri"/>
      <family val="2"/>
      <scheme val="minor"/>
    </font>
    <font>
      <sz val="11"/>
      <color rgb="FF7030A0"/>
      <name val="Calibri"/>
      <family val="2"/>
      <scheme val="minor"/>
    </font>
    <font>
      <sz val="9"/>
      <color rgb="FF7030A0"/>
      <name val="Calibri"/>
      <family val="2"/>
      <scheme val="minor"/>
    </font>
    <font>
      <sz val="10"/>
      <color rgb="FF7030A0"/>
      <name val="Calibri"/>
      <family val="2"/>
      <scheme val="minor"/>
    </font>
    <font>
      <sz val="11"/>
      <name val="Calibri"/>
      <family val="2"/>
      <scheme val="minor"/>
    </font>
    <font>
      <b/>
      <sz val="11"/>
      <name val="Calibri"/>
      <family val="2"/>
      <scheme val="minor"/>
    </font>
    <font>
      <b/>
      <sz val="11"/>
      <color rgb="FF7030A0"/>
      <name val="Calibri"/>
      <family val="2"/>
      <scheme val="minor"/>
    </font>
    <font>
      <i/>
      <sz val="11"/>
      <color rgb="FF7030A0"/>
      <name val="Calibri"/>
      <family val="2"/>
      <scheme val="minor"/>
    </font>
    <font>
      <sz val="11"/>
      <color theme="1"/>
      <name val="Calibri"/>
      <family val="2"/>
      <scheme val="minor"/>
    </font>
    <font>
      <i/>
      <sz val="11"/>
      <color theme="1"/>
      <name val="Calibri"/>
      <family val="2"/>
      <scheme val="minor"/>
    </font>
    <font>
      <b/>
      <i/>
      <sz val="11"/>
      <color rgb="FF7030A0"/>
      <name val="Calibri"/>
      <family val="2"/>
      <scheme val="minor"/>
    </font>
    <font>
      <sz val="9"/>
      <color theme="1"/>
      <name val="Calibri"/>
      <family val="2"/>
      <scheme val="minor"/>
    </font>
    <font>
      <sz val="8"/>
      <color theme="1"/>
      <name val="Calibri"/>
      <family val="2"/>
      <scheme val="minor"/>
    </font>
    <font>
      <sz val="8"/>
      <color rgb="FF7030A0"/>
      <name val="Calibri"/>
      <family val="2"/>
      <scheme val="minor"/>
    </font>
    <font>
      <sz val="10"/>
      <name val="Arial"/>
      <family val="2"/>
    </font>
    <font>
      <b/>
      <sz val="10"/>
      <name val="Arial"/>
      <family val="2"/>
    </font>
    <font>
      <b/>
      <sz val="9"/>
      <name val="Arial"/>
      <family val="2"/>
    </font>
    <font>
      <sz val="10"/>
      <color indexed="10"/>
      <name val="Arial"/>
      <family val="2"/>
    </font>
    <font>
      <vertAlign val="subscript"/>
      <sz val="10"/>
      <color indexed="10"/>
      <name val="Arial"/>
      <family val="2"/>
    </font>
    <font>
      <b/>
      <i/>
      <sz val="10"/>
      <name val="Arial"/>
      <family val="2"/>
    </font>
    <font>
      <b/>
      <u/>
      <sz val="14"/>
      <name val="Arial"/>
      <family val="2"/>
    </font>
    <font>
      <u/>
      <sz val="10"/>
      <name val="Arial"/>
      <family val="2"/>
    </font>
    <font>
      <sz val="12"/>
      <name val="Arial"/>
      <family val="2"/>
    </font>
    <font>
      <b/>
      <u/>
      <sz val="12"/>
      <name val="Arial"/>
      <family val="2"/>
    </font>
    <font>
      <sz val="11"/>
      <name val="Arial"/>
      <family val="2"/>
    </font>
    <font>
      <vertAlign val="subscript"/>
      <sz val="12"/>
      <name val="Arial"/>
      <family val="2"/>
    </font>
    <font>
      <i/>
      <sz val="10"/>
      <name val="Arial"/>
      <family val="2"/>
    </font>
    <font>
      <sz val="6"/>
      <color theme="1"/>
      <name val="Calibri"/>
      <family val="2"/>
      <scheme val="minor"/>
    </font>
    <font>
      <sz val="9"/>
      <name val="Arial"/>
      <family val="2"/>
    </font>
    <font>
      <b/>
      <sz val="11"/>
      <name val="Times New Roman"/>
      <family val="1"/>
    </font>
    <font>
      <i/>
      <sz val="11"/>
      <name val="Calibri"/>
      <family val="2"/>
      <scheme val="minor"/>
    </font>
    <font>
      <sz val="8"/>
      <name val="Calibri"/>
      <family val="2"/>
      <scheme val="minor"/>
    </font>
    <font>
      <sz val="8"/>
      <name val="Arial"/>
      <family val="2"/>
    </font>
    <font>
      <b/>
      <sz val="11"/>
      <color rgb="FFFF0000"/>
      <name val="Calibri"/>
      <family val="2"/>
      <scheme val="minor"/>
    </font>
    <font>
      <b/>
      <sz val="10"/>
      <color rgb="FF7030A0"/>
      <name val="Arial"/>
      <family val="2"/>
    </font>
    <font>
      <b/>
      <sz val="9"/>
      <color rgb="FF7030A0"/>
      <name val="Arial"/>
      <family val="2"/>
    </font>
    <font>
      <sz val="9"/>
      <color rgb="FF7030A0"/>
      <name val="Arial"/>
      <family val="2"/>
    </font>
    <font>
      <b/>
      <sz val="11"/>
      <color theme="0"/>
      <name val="Calibri"/>
      <family val="2"/>
      <scheme val="minor"/>
    </font>
    <font>
      <b/>
      <sz val="11"/>
      <color theme="0" tint="-0.249977111117893"/>
      <name val="Calibri"/>
      <family val="2"/>
      <scheme val="minor"/>
    </font>
    <font>
      <b/>
      <sz val="8"/>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bgColor indexed="64"/>
      </patternFill>
    </fill>
    <fill>
      <patternFill patternType="solid">
        <fgColor rgb="FF7030A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00B0F0"/>
        <bgColor indexed="64"/>
      </patternFill>
    </fill>
    <fill>
      <patternFill patternType="solid">
        <fgColor rgb="FF00B050"/>
        <bgColor indexed="64"/>
      </patternFill>
    </fill>
    <fill>
      <patternFill patternType="solid">
        <fgColor theme="9" tint="-0.249977111117893"/>
        <bgColor indexed="64"/>
      </patternFill>
    </fill>
  </fills>
  <borders count="4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rgb="FF7030A0"/>
      </bottom>
      <diagonal/>
    </border>
    <border>
      <left style="thin">
        <color rgb="FF7030A0"/>
      </left>
      <right/>
      <top style="thin">
        <color rgb="FF7030A0"/>
      </top>
      <bottom/>
      <diagonal/>
    </border>
    <border>
      <left/>
      <right/>
      <top style="thin">
        <color rgb="FF7030A0"/>
      </top>
      <bottom/>
      <diagonal/>
    </border>
    <border>
      <left style="thin">
        <color rgb="FF7030A0"/>
      </left>
      <right/>
      <top/>
      <bottom/>
      <diagonal/>
    </border>
    <border>
      <left style="thin">
        <color rgb="FF7030A0"/>
      </left>
      <right style="thin">
        <color rgb="FF7030A0"/>
      </right>
      <top style="thin">
        <color rgb="FF7030A0"/>
      </top>
      <bottom style="thin">
        <color rgb="FF7030A0"/>
      </bottom>
      <diagonal/>
    </border>
    <border>
      <left/>
      <right style="thin">
        <color rgb="FF7030A0"/>
      </right>
      <top style="thin">
        <color rgb="FF7030A0"/>
      </top>
      <bottom/>
      <diagonal/>
    </border>
    <border>
      <left/>
      <right style="thin">
        <color rgb="FF7030A0"/>
      </right>
      <top/>
      <bottom/>
      <diagonal/>
    </border>
    <border>
      <left style="thin">
        <color rgb="FF7030A0"/>
      </left>
      <right/>
      <top/>
      <bottom style="thin">
        <color rgb="FF7030A0"/>
      </bottom>
      <diagonal/>
    </border>
    <border>
      <left/>
      <right style="thin">
        <color rgb="FF7030A0"/>
      </right>
      <top/>
      <bottom style="thin">
        <color rgb="FF7030A0"/>
      </bottom>
      <diagonal/>
    </border>
    <border>
      <left style="thin">
        <color rgb="FF7030A0"/>
      </left>
      <right style="thin">
        <color rgb="FF7030A0"/>
      </right>
      <top style="thin">
        <color rgb="FF7030A0"/>
      </top>
      <bottom/>
      <diagonal/>
    </border>
    <border>
      <left style="thin">
        <color rgb="FF7030A0"/>
      </left>
      <right style="thin">
        <color rgb="FF7030A0"/>
      </right>
      <top/>
      <bottom/>
      <diagonal/>
    </border>
    <border>
      <left style="thin">
        <color rgb="FF7030A0"/>
      </left>
      <right style="thin">
        <color rgb="FF7030A0"/>
      </right>
      <top/>
      <bottom style="thin">
        <color rgb="FF7030A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bottom style="medium">
        <color indexed="18"/>
      </bottom>
      <diagonal/>
    </border>
  </borders>
  <cellStyleXfs count="3">
    <xf numFmtId="0" fontId="0" fillId="0" borderId="0"/>
    <xf numFmtId="9" fontId="9" fillId="0" borderId="0" applyFont="0" applyFill="0" applyBorder="0" applyAlignment="0" applyProtection="0"/>
    <xf numFmtId="0" fontId="15" fillId="0" borderId="0"/>
  </cellStyleXfs>
  <cellXfs count="562">
    <xf numFmtId="0" fontId="0" fillId="0" borderId="0" xfId="0"/>
    <xf numFmtId="0" fontId="0" fillId="2" borderId="0" xfId="0" applyFill="1"/>
    <xf numFmtId="0" fontId="0" fillId="2" borderId="0" xfId="0" applyFill="1" applyAlignment="1">
      <alignment vertical="center" wrapText="1"/>
    </xf>
    <xf numFmtId="0" fontId="1" fillId="2" borderId="4"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0"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vertical="center" wrapText="1"/>
    </xf>
    <xf numFmtId="0" fontId="1" fillId="2" borderId="7" xfId="0" applyFont="1" applyFill="1" applyBorder="1" applyAlignment="1">
      <alignment horizontal="center"/>
    </xf>
    <xf numFmtId="0" fontId="1" fillId="2" borderId="8" xfId="0" applyFont="1" applyFill="1" applyBorder="1" applyAlignment="1">
      <alignment horizontal="center"/>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0" xfId="0" applyFont="1" applyFill="1" applyAlignment="1">
      <alignment vertical="center" wrapText="1"/>
    </xf>
    <xf numFmtId="0" fontId="3" fillId="2" borderId="0" xfId="0" applyFont="1" applyFill="1" applyAlignment="1">
      <alignment horizontal="center" vertical="center" wrapText="1"/>
    </xf>
    <xf numFmtId="0" fontId="2" fillId="2" borderId="0" xfId="0" applyFont="1" applyFill="1"/>
    <xf numFmtId="0" fontId="4" fillId="2" borderId="0" xfId="0" applyFont="1" applyFill="1" applyAlignment="1">
      <alignment horizontal="right"/>
    </xf>
    <xf numFmtId="0" fontId="2" fillId="2" borderId="0" xfId="0" applyFont="1" applyFill="1" applyAlignment="1">
      <alignment horizontal="right"/>
    </xf>
    <xf numFmtId="0" fontId="0" fillId="2" borderId="0" xfId="0" applyFill="1" applyAlignment="1">
      <alignment horizontal="center"/>
    </xf>
    <xf numFmtId="0" fontId="0" fillId="2" borderId="0"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0" xfId="0" applyFont="1" applyFill="1" applyBorder="1" applyAlignment="1">
      <alignment horizontal="center"/>
    </xf>
    <xf numFmtId="0" fontId="2" fillId="2" borderId="5" xfId="0" applyFont="1" applyFill="1" applyBorder="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6" xfId="0" applyFont="1" applyFill="1" applyBorder="1" applyAlignment="1">
      <alignment horizontal="center"/>
    </xf>
    <xf numFmtId="0" fontId="2" fillId="2" borderId="9" xfId="0" applyFont="1" applyFill="1" applyBorder="1" applyAlignment="1">
      <alignment horizontal="center"/>
    </xf>
    <xf numFmtId="0" fontId="2" fillId="2" borderId="4" xfId="0" applyFont="1" applyFill="1" applyBorder="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4" xfId="0" applyFont="1" applyFill="1" applyBorder="1" applyAlignment="1">
      <alignment horizontal="center"/>
    </xf>
    <xf numFmtId="0" fontId="1" fillId="2" borderId="6" xfId="0" applyFont="1" applyFill="1" applyBorder="1" applyAlignment="1">
      <alignment horizontal="center"/>
    </xf>
    <xf numFmtId="0" fontId="5" fillId="2" borderId="0" xfId="0" applyFont="1" applyFill="1" applyBorder="1" applyAlignment="1">
      <alignment horizontal="center"/>
    </xf>
    <xf numFmtId="0" fontId="2" fillId="2" borderId="0" xfId="0" applyFont="1" applyFill="1" applyAlignment="1">
      <alignment horizontal="center"/>
    </xf>
    <xf numFmtId="0" fontId="8" fillId="2" borderId="13" xfId="0" applyFont="1" applyFill="1" applyBorder="1" applyAlignment="1">
      <alignment horizontal="centerContinuous"/>
    </xf>
    <xf numFmtId="0" fontId="8" fillId="2" borderId="13" xfId="0" applyFont="1" applyFill="1" applyBorder="1" applyAlignment="1">
      <alignment horizontal="center"/>
    </xf>
    <xf numFmtId="0" fontId="2" fillId="2" borderId="0" xfId="0" applyFont="1" applyFill="1" applyBorder="1" applyAlignment="1"/>
    <xf numFmtId="0" fontId="2" fillId="2" borderId="12" xfId="0" applyFont="1" applyFill="1" applyBorder="1" applyAlignment="1"/>
    <xf numFmtId="0" fontId="5" fillId="2" borderId="0" xfId="0" applyFont="1" applyFill="1" applyAlignment="1">
      <alignment horizontal="left" vertical="center"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0" xfId="0" applyFont="1" applyFill="1" applyBorder="1" applyAlignment="1">
      <alignment horizontal="left" vertical="center" wrapText="1"/>
    </xf>
    <xf numFmtId="0" fontId="0" fillId="0" borderId="0" xfId="0" applyFill="1" applyBorder="1" applyAlignment="1"/>
    <xf numFmtId="0" fontId="0" fillId="0" borderId="12" xfId="0" applyFill="1" applyBorder="1" applyAlignment="1"/>
    <xf numFmtId="0" fontId="10" fillId="0" borderId="13" xfId="0" applyFont="1" applyFill="1" applyBorder="1" applyAlignment="1">
      <alignment horizontal="centerContinuous"/>
    </xf>
    <xf numFmtId="0" fontId="10" fillId="2" borderId="13" xfId="0" applyFont="1" applyFill="1" applyBorder="1" applyAlignment="1">
      <alignment horizontal="centerContinuous"/>
    </xf>
    <xf numFmtId="0" fontId="0" fillId="2" borderId="0" xfId="0" applyFill="1" applyBorder="1" applyAlignment="1"/>
    <xf numFmtId="0" fontId="0" fillId="2" borderId="12" xfId="0" applyFill="1" applyBorder="1" applyAlignment="1"/>
    <xf numFmtId="0" fontId="10" fillId="2" borderId="13" xfId="0" applyFont="1" applyFill="1" applyBorder="1" applyAlignment="1">
      <alignment horizontal="center"/>
    </xf>
    <xf numFmtId="0" fontId="11" fillId="2" borderId="13" xfId="0" applyFont="1" applyFill="1" applyBorder="1" applyAlignment="1">
      <alignment horizontal="center"/>
    </xf>
    <xf numFmtId="0" fontId="7" fillId="2" borderId="0" xfId="0" applyFont="1" applyFill="1" applyBorder="1" applyAlignment="1"/>
    <xf numFmtId="0" fontId="7" fillId="2" borderId="12" xfId="0" applyFont="1" applyFill="1" applyBorder="1" applyAlignment="1"/>
    <xf numFmtId="0" fontId="0" fillId="2" borderId="1" xfId="0" applyFill="1" applyBorder="1" applyAlignment="1">
      <alignment horizontal="center"/>
    </xf>
    <xf numFmtId="0" fontId="0" fillId="2" borderId="3" xfId="0" applyFill="1" applyBorder="1" applyAlignment="1">
      <alignment horizontal="center"/>
    </xf>
    <xf numFmtId="0" fontId="1" fillId="2" borderId="3" xfId="0" applyFont="1" applyFill="1" applyBorder="1" applyAlignment="1">
      <alignment horizontal="center"/>
    </xf>
    <xf numFmtId="0" fontId="0" fillId="2" borderId="1"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8" xfId="0" applyFill="1" applyBorder="1"/>
    <xf numFmtId="0" fontId="0" fillId="2" borderId="11" xfId="0" applyFill="1" applyBorder="1"/>
    <xf numFmtId="0" fontId="1" fillId="2" borderId="11" xfId="0" applyFont="1" applyFill="1" applyBorder="1"/>
    <xf numFmtId="0" fontId="2" fillId="2" borderId="1" xfId="0" applyFont="1" applyFill="1" applyBorder="1"/>
    <xf numFmtId="0" fontId="2" fillId="2" borderId="3" xfId="0" applyFont="1" applyFill="1" applyBorder="1"/>
    <xf numFmtId="0" fontId="2" fillId="2" borderId="5" xfId="0" applyFont="1" applyFill="1" applyBorder="1"/>
    <xf numFmtId="0" fontId="2" fillId="2" borderId="6" xfId="0" applyFont="1" applyFill="1" applyBorder="1"/>
    <xf numFmtId="0" fontId="2" fillId="2" borderId="8" xfId="0" applyFont="1" applyFill="1" applyBorder="1"/>
    <xf numFmtId="0" fontId="0" fillId="2" borderId="15" xfId="0" applyFill="1" applyBorder="1"/>
    <xf numFmtId="0" fontId="2" fillId="2" borderId="16" xfId="0" applyFont="1" applyFill="1" applyBorder="1"/>
    <xf numFmtId="0" fontId="0" fillId="2" borderId="17" xfId="0" applyFill="1" applyBorder="1" applyAlignment="1">
      <alignment horizontal="center"/>
    </xf>
    <xf numFmtId="0" fontId="2" fillId="2" borderId="0" xfId="0" applyFont="1" applyFill="1" applyBorder="1"/>
    <xf numFmtId="0" fontId="2" fillId="2" borderId="20" xfId="0" applyFont="1" applyFill="1" applyBorder="1"/>
    <xf numFmtId="0" fontId="2" fillId="2" borderId="18" xfId="0" applyFont="1" applyFill="1" applyBorder="1"/>
    <xf numFmtId="0" fontId="2" fillId="2" borderId="21" xfId="0" applyFont="1" applyFill="1" applyBorder="1"/>
    <xf numFmtId="0" fontId="2" fillId="2" borderId="22" xfId="0" applyFont="1" applyFill="1" applyBorder="1"/>
    <xf numFmtId="0" fontId="2" fillId="2" borderId="23" xfId="0" applyFont="1" applyFill="1" applyBorder="1"/>
    <xf numFmtId="0" fontId="13" fillId="2" borderId="0" xfId="0" applyFont="1" applyFill="1" applyAlignment="1">
      <alignment horizontal="center"/>
    </xf>
    <xf numFmtId="0" fontId="14" fillId="2" borderId="16" xfId="0" applyFont="1" applyFill="1" applyBorder="1" applyAlignment="1">
      <alignment horizontal="center"/>
    </xf>
    <xf numFmtId="0" fontId="2" fillId="2" borderId="22" xfId="0" applyFont="1" applyFill="1" applyBorder="1" applyAlignment="1">
      <alignment horizontal="center"/>
    </xf>
    <xf numFmtId="0" fontId="1" fillId="2" borderId="0" xfId="0" applyFont="1" applyFill="1" applyBorder="1"/>
    <xf numFmtId="0" fontId="0" fillId="2" borderId="0" xfId="0" applyFill="1" applyBorder="1"/>
    <xf numFmtId="0" fontId="2" fillId="2" borderId="16" xfId="0" applyFont="1" applyFill="1" applyBorder="1" applyAlignment="1">
      <alignment horizontal="center"/>
    </xf>
    <xf numFmtId="0" fontId="2" fillId="2" borderId="18" xfId="0" applyFont="1" applyFill="1" applyBorder="1" applyAlignment="1">
      <alignment horizontal="center"/>
    </xf>
    <xf numFmtId="0" fontId="14" fillId="2" borderId="18" xfId="0" applyFont="1" applyFill="1" applyBorder="1" applyAlignment="1">
      <alignment horizontal="center"/>
    </xf>
    <xf numFmtId="0" fontId="1" fillId="2" borderId="10" xfId="0" applyFont="1" applyFill="1" applyBorder="1"/>
    <xf numFmtId="0" fontId="1" fillId="2" borderId="7" xfId="0" applyFont="1" applyFill="1" applyBorder="1"/>
    <xf numFmtId="0" fontId="1" fillId="2" borderId="19" xfId="0" applyFont="1" applyFill="1" applyBorder="1" applyAlignment="1">
      <alignment horizontal="center"/>
    </xf>
    <xf numFmtId="0" fontId="1" fillId="2" borderId="24" xfId="0" applyFont="1" applyFill="1" applyBorder="1" applyAlignment="1">
      <alignment horizontal="center"/>
    </xf>
    <xf numFmtId="0" fontId="1" fillId="2" borderId="25" xfId="0" applyFont="1" applyFill="1" applyBorder="1" applyAlignment="1">
      <alignment horizontal="center"/>
    </xf>
    <xf numFmtId="0" fontId="1" fillId="2" borderId="26" xfId="0" applyFont="1" applyFill="1" applyBorder="1" applyAlignment="1">
      <alignment horizontal="center"/>
    </xf>
    <xf numFmtId="0" fontId="0" fillId="2" borderId="0" xfId="0" applyFill="1" applyBorder="1" applyAlignment="1">
      <alignment horizontal="left" vertical="center" wrapText="1"/>
    </xf>
    <xf numFmtId="0" fontId="15" fillId="2" borderId="28" xfId="0" applyFont="1" applyFill="1" applyBorder="1" applyAlignment="1">
      <alignment horizontal="center"/>
    </xf>
    <xf numFmtId="0" fontId="15" fillId="2" borderId="29" xfId="0" applyFont="1" applyFill="1" applyBorder="1" applyAlignment="1">
      <alignment horizontal="center"/>
    </xf>
    <xf numFmtId="0" fontId="15" fillId="2" borderId="14" xfId="0" applyFont="1" applyFill="1" applyBorder="1" applyAlignment="1">
      <alignment horizontal="center"/>
    </xf>
    <xf numFmtId="0" fontId="13" fillId="2" borderId="0" xfId="0" applyFont="1" applyFill="1"/>
    <xf numFmtId="0" fontId="13" fillId="2" borderId="1" xfId="0" applyFont="1" applyFill="1" applyBorder="1"/>
    <xf numFmtId="0" fontId="13" fillId="2" borderId="4" xfId="0" applyFont="1" applyFill="1" applyBorder="1"/>
    <xf numFmtId="0" fontId="13" fillId="2" borderId="6" xfId="0" applyFont="1" applyFill="1" applyBorder="1"/>
    <xf numFmtId="0" fontId="13" fillId="2" borderId="9" xfId="0" applyFont="1" applyFill="1" applyBorder="1"/>
    <xf numFmtId="0" fontId="14" fillId="2" borderId="1" xfId="0" applyFont="1" applyFill="1" applyBorder="1"/>
    <xf numFmtId="0" fontId="14" fillId="2" borderId="4" xfId="0" applyFont="1" applyFill="1" applyBorder="1"/>
    <xf numFmtId="0" fontId="14" fillId="2" borderId="6" xfId="0" applyFont="1" applyFill="1" applyBorder="1"/>
    <xf numFmtId="0" fontId="14" fillId="2" borderId="0" xfId="0" applyFont="1" applyFill="1"/>
    <xf numFmtId="0" fontId="0" fillId="2" borderId="14" xfId="0" applyFill="1" applyBorder="1"/>
    <xf numFmtId="0" fontId="0" fillId="2" borderId="27" xfId="0" applyFill="1" applyBorder="1"/>
    <xf numFmtId="0" fontId="0" fillId="2" borderId="28" xfId="0" applyFill="1" applyBorder="1"/>
    <xf numFmtId="0" fontId="0" fillId="2" borderId="29" xfId="0" applyFill="1" applyBorder="1"/>
    <xf numFmtId="0" fontId="4" fillId="2" borderId="6" xfId="0" applyFont="1" applyFill="1" applyBorder="1"/>
    <xf numFmtId="0" fontId="13" fillId="2" borderId="0" xfId="0" applyFont="1" applyFill="1" applyBorder="1"/>
    <xf numFmtId="0" fontId="0" fillId="2" borderId="7" xfId="0" applyFill="1" applyBorder="1"/>
    <xf numFmtId="0" fontId="0" fillId="2" borderId="0" xfId="0" applyFill="1" applyAlignment="1">
      <alignment wrapText="1"/>
    </xf>
    <xf numFmtId="0" fontId="13" fillId="2" borderId="0" xfId="0" applyFont="1" applyFill="1" applyBorder="1" applyAlignment="1">
      <alignment horizontal="right"/>
    </xf>
    <xf numFmtId="166" fontId="0" fillId="2" borderId="5" xfId="0" applyNumberFormat="1" applyFill="1" applyBorder="1" applyAlignment="1">
      <alignment horizontal="center"/>
    </xf>
    <xf numFmtId="0" fontId="28" fillId="2" borderId="0" xfId="0" applyFont="1" applyFill="1" applyBorder="1" applyAlignment="1">
      <alignment horizontal="right"/>
    </xf>
    <xf numFmtId="0" fontId="13" fillId="2" borderId="2" xfId="0" applyFont="1" applyFill="1" applyBorder="1" applyAlignment="1">
      <alignment horizontal="right"/>
    </xf>
    <xf numFmtId="166" fontId="0" fillId="2" borderId="3" xfId="0" applyNumberFormat="1" applyFill="1" applyBorder="1" applyAlignment="1">
      <alignment horizontal="center"/>
    </xf>
    <xf numFmtId="0" fontId="29" fillId="2" borderId="0" xfId="2" applyFont="1" applyFill="1"/>
    <xf numFmtId="0" fontId="29" fillId="2" borderId="14" xfId="2" applyFont="1" applyFill="1" applyBorder="1" applyAlignment="1">
      <alignment horizontal="center"/>
    </xf>
    <xf numFmtId="0" fontId="29" fillId="2" borderId="10" xfId="2" applyFont="1" applyFill="1" applyBorder="1" applyAlignment="1">
      <alignment horizontal="center"/>
    </xf>
    <xf numFmtId="0" fontId="29" fillId="2" borderId="28" xfId="2" applyFont="1" applyFill="1" applyBorder="1" applyAlignment="1">
      <alignment horizontal="center"/>
    </xf>
    <xf numFmtId="0" fontId="29" fillId="2" borderId="0" xfId="2" applyFont="1" applyFill="1" applyBorder="1" applyAlignment="1">
      <alignment horizontal="center"/>
    </xf>
    <xf numFmtId="0" fontId="29" fillId="2" borderId="28" xfId="2" applyFont="1" applyFill="1" applyBorder="1" applyAlignment="1">
      <alignment horizontal="right"/>
    </xf>
    <xf numFmtId="0" fontId="29" fillId="2" borderId="14" xfId="2" applyFont="1" applyFill="1" applyBorder="1" applyAlignment="1">
      <alignment horizontal="right"/>
    </xf>
    <xf numFmtId="0" fontId="15" fillId="2" borderId="0" xfId="2" applyFont="1" applyFill="1"/>
    <xf numFmtId="0" fontId="15" fillId="2" borderId="0" xfId="2" applyFont="1" applyFill="1" applyAlignment="1">
      <alignment horizontal="center"/>
    </xf>
    <xf numFmtId="0" fontId="15" fillId="2" borderId="0" xfId="2" applyFont="1" applyFill="1" applyAlignment="1">
      <alignment vertical="center" wrapText="1"/>
    </xf>
    <xf numFmtId="0" fontId="15" fillId="2" borderId="1" xfId="2" applyFont="1" applyFill="1" applyBorder="1" applyAlignment="1">
      <alignment horizontal="center"/>
    </xf>
    <xf numFmtId="0" fontId="15" fillId="2" borderId="3" xfId="2" applyFont="1" applyFill="1" applyBorder="1" applyAlignment="1">
      <alignment horizontal="center"/>
    </xf>
    <xf numFmtId="0" fontId="15" fillId="2" borderId="6" xfId="2" applyFont="1" applyFill="1" applyBorder="1" applyAlignment="1">
      <alignment horizontal="center"/>
    </xf>
    <xf numFmtId="0" fontId="15" fillId="2" borderId="8" xfId="2" applyFont="1" applyFill="1" applyBorder="1" applyAlignment="1">
      <alignment horizontal="center"/>
    </xf>
    <xf numFmtId="0" fontId="15" fillId="2" borderId="9" xfId="2" applyFont="1" applyFill="1" applyBorder="1" applyAlignment="1">
      <alignment horizontal="center"/>
    </xf>
    <xf numFmtId="0" fontId="15" fillId="2" borderId="11" xfId="2" applyFont="1" applyFill="1" applyBorder="1" applyAlignment="1">
      <alignment horizontal="center"/>
    </xf>
    <xf numFmtId="0" fontId="16" fillId="2" borderId="9" xfId="2" applyFont="1" applyFill="1" applyBorder="1" applyAlignment="1">
      <alignment horizontal="center"/>
    </xf>
    <xf numFmtId="0" fontId="16" fillId="2" borderId="11" xfId="2" applyFont="1" applyFill="1" applyBorder="1" applyAlignment="1">
      <alignment horizontal="center"/>
    </xf>
    <xf numFmtId="0" fontId="16" fillId="2" borderId="4" xfId="2" applyFont="1" applyFill="1" applyBorder="1" applyAlignment="1">
      <alignment horizontal="center"/>
    </xf>
    <xf numFmtId="0" fontId="16" fillId="2" borderId="5" xfId="2" applyFont="1" applyFill="1" applyBorder="1" applyAlignment="1">
      <alignment horizontal="center"/>
    </xf>
    <xf numFmtId="0" fontId="16" fillId="2" borderId="6" xfId="2" applyFont="1" applyFill="1" applyBorder="1" applyAlignment="1">
      <alignment horizontal="center"/>
    </xf>
    <xf numFmtId="0" fontId="16" fillId="2" borderId="8" xfId="2" applyFont="1" applyFill="1" applyBorder="1" applyAlignment="1">
      <alignment horizontal="center"/>
    </xf>
    <xf numFmtId="0" fontId="15" fillId="2" borderId="0" xfId="2" applyFill="1"/>
    <xf numFmtId="0" fontId="16" fillId="2" borderId="0" xfId="2" applyFont="1" applyFill="1"/>
    <xf numFmtId="0" fontId="17" fillId="2" borderId="0" xfId="2" applyFont="1" applyFill="1" applyAlignment="1">
      <alignment horizontal="center"/>
    </xf>
    <xf numFmtId="0" fontId="18" fillId="2" borderId="8" xfId="2" applyFont="1" applyFill="1" applyBorder="1" applyAlignment="1">
      <alignment horizontal="center"/>
    </xf>
    <xf numFmtId="0" fontId="18" fillId="2" borderId="29" xfId="2" applyFont="1" applyFill="1" applyBorder="1" applyAlignment="1">
      <alignment horizontal="center"/>
    </xf>
    <xf numFmtId="0" fontId="18" fillId="2" borderId="6" xfId="2" applyFont="1" applyFill="1" applyBorder="1" applyAlignment="1">
      <alignment horizontal="center"/>
    </xf>
    <xf numFmtId="0" fontId="15" fillId="2" borderId="29" xfId="2" applyFont="1" applyFill="1" applyBorder="1" applyAlignment="1">
      <alignment horizontal="center"/>
    </xf>
    <xf numFmtId="0" fontId="15" fillId="2" borderId="0" xfId="2" applyFill="1" applyBorder="1" applyAlignment="1">
      <alignment horizontal="center" vertical="center"/>
    </xf>
    <xf numFmtId="0" fontId="15" fillId="2" borderId="11" xfId="2" applyFill="1" applyBorder="1" applyAlignment="1">
      <alignment horizontal="center" vertical="center"/>
    </xf>
    <xf numFmtId="0" fontId="15" fillId="2" borderId="14" xfId="2" applyFill="1" applyBorder="1" applyAlignment="1">
      <alignment horizontal="center" vertical="center"/>
    </xf>
    <xf numFmtId="0" fontId="15" fillId="2" borderId="9" xfId="2" applyFill="1" applyBorder="1" applyAlignment="1">
      <alignment horizontal="center"/>
    </xf>
    <xf numFmtId="2" fontId="15" fillId="2" borderId="14" xfId="2" applyNumberFormat="1" applyFill="1" applyBorder="1"/>
    <xf numFmtId="0" fontId="15" fillId="2" borderId="0" xfId="2" applyFill="1" applyBorder="1" applyAlignment="1">
      <alignment horizontal="center"/>
    </xf>
    <xf numFmtId="0" fontId="15" fillId="2" borderId="11" xfId="2" applyFill="1" applyBorder="1" applyAlignment="1">
      <alignment horizontal="center"/>
    </xf>
    <xf numFmtId="0" fontId="15" fillId="2" borderId="14" xfId="2" applyFill="1" applyBorder="1" applyAlignment="1">
      <alignment horizontal="center"/>
    </xf>
    <xf numFmtId="0" fontId="15" fillId="2" borderId="14" xfId="2" applyFill="1" applyBorder="1"/>
    <xf numFmtId="0" fontId="15" fillId="2" borderId="28" xfId="2" applyFill="1" applyBorder="1" applyAlignment="1">
      <alignment horizontal="center"/>
    </xf>
    <xf numFmtId="164" fontId="15" fillId="2" borderId="28" xfId="2" applyNumberFormat="1" applyFill="1" applyBorder="1"/>
    <xf numFmtId="2" fontId="15" fillId="2" borderId="0" xfId="2" applyNumberFormat="1" applyFill="1"/>
    <xf numFmtId="0" fontId="16" fillId="2" borderId="0" xfId="2" applyFont="1" applyFill="1" applyAlignment="1">
      <alignment horizontal="right"/>
    </xf>
    <xf numFmtId="164" fontId="16" fillId="2" borderId="0" xfId="2" applyNumberFormat="1" applyFont="1" applyFill="1"/>
    <xf numFmtId="0" fontId="20" fillId="2" borderId="0" xfId="2" applyFont="1" applyFill="1"/>
    <xf numFmtId="0" fontId="15" fillId="2" borderId="0" xfId="2" applyFill="1" applyAlignment="1">
      <alignment horizontal="center"/>
    </xf>
    <xf numFmtId="0" fontId="16" fillId="2" borderId="0" xfId="2" applyFont="1" applyFill="1" applyBorder="1" applyAlignment="1">
      <alignment horizontal="center" vertical="center" wrapText="1"/>
    </xf>
    <xf numFmtId="0" fontId="16" fillId="2" borderId="7" xfId="2" applyFont="1" applyFill="1" applyBorder="1" applyAlignment="1">
      <alignment horizontal="center" vertical="center" wrapText="1"/>
    </xf>
    <xf numFmtId="0" fontId="30" fillId="2" borderId="9" xfId="2" applyFont="1" applyFill="1" applyBorder="1" applyAlignment="1">
      <alignment horizontal="center" vertical="top" wrapText="1"/>
    </xf>
    <xf numFmtId="0" fontId="30" fillId="2" borderId="11" xfId="2" applyFont="1" applyFill="1" applyBorder="1" applyAlignment="1">
      <alignment horizontal="center" vertical="top" wrapText="1"/>
    </xf>
    <xf numFmtId="0" fontId="30" fillId="2" borderId="10" xfId="2" applyFont="1" applyFill="1" applyBorder="1" applyAlignment="1">
      <alignment horizontal="center" vertical="top" wrapText="1"/>
    </xf>
    <xf numFmtId="0" fontId="30" fillId="2" borderId="4" xfId="2" applyFont="1" applyFill="1" applyBorder="1" applyAlignment="1">
      <alignment horizontal="center" vertical="top" wrapText="1"/>
    </xf>
    <xf numFmtId="0" fontId="30" fillId="2" borderId="5" xfId="2" applyFont="1" applyFill="1" applyBorder="1" applyAlignment="1">
      <alignment horizontal="center" vertical="top" wrapText="1"/>
    </xf>
    <xf numFmtId="0" fontId="30" fillId="2" borderId="0" xfId="2" applyFont="1" applyFill="1" applyBorder="1" applyAlignment="1">
      <alignment horizontal="center" vertical="top" wrapText="1"/>
    </xf>
    <xf numFmtId="0" fontId="30" fillId="2" borderId="6" xfId="2" applyFont="1" applyFill="1" applyBorder="1" applyAlignment="1">
      <alignment horizontal="center" vertical="top" wrapText="1"/>
    </xf>
    <xf numFmtId="0" fontId="30" fillId="2" borderId="8" xfId="2" applyFont="1" applyFill="1" applyBorder="1" applyAlignment="1">
      <alignment horizontal="center" vertical="top" wrapText="1"/>
    </xf>
    <xf numFmtId="0" fontId="30" fillId="2" borderId="7" xfId="2" applyFont="1" applyFill="1" applyBorder="1" applyAlignment="1">
      <alignment horizontal="center" vertical="top" wrapText="1"/>
    </xf>
    <xf numFmtId="0" fontId="21" fillId="2" borderId="0" xfId="2" applyFont="1" applyFill="1"/>
    <xf numFmtId="0" fontId="22" fillId="2" borderId="0" xfId="2" applyFont="1" applyFill="1"/>
    <xf numFmtId="0" fontId="23" fillId="2" borderId="0" xfId="2" applyFont="1" applyFill="1" applyAlignment="1">
      <alignment horizontal="left"/>
    </xf>
    <xf numFmtId="0" fontId="23" fillId="2" borderId="0" xfId="2" applyFont="1" applyFill="1"/>
    <xf numFmtId="0" fontId="24" fillId="2" borderId="0" xfId="2" applyFont="1" applyFill="1"/>
    <xf numFmtId="0" fontId="23" fillId="2" borderId="28" xfId="2" applyFont="1" applyFill="1" applyBorder="1" applyAlignment="1">
      <alignment horizontal="center" vertical="top" wrapText="1"/>
    </xf>
    <xf numFmtId="0" fontId="23" fillId="2" borderId="5" xfId="2" applyFont="1" applyFill="1" applyBorder="1" applyAlignment="1">
      <alignment horizontal="center" vertical="top" wrapText="1"/>
    </xf>
    <xf numFmtId="0" fontId="25" fillId="2" borderId="28" xfId="2" applyFont="1" applyFill="1" applyBorder="1" applyAlignment="1">
      <alignment horizontal="center"/>
    </xf>
    <xf numFmtId="0" fontId="15" fillId="2" borderId="28" xfId="2" applyFill="1" applyBorder="1"/>
    <xf numFmtId="0" fontId="23" fillId="2" borderId="29" xfId="2" applyFont="1" applyFill="1" applyBorder="1" applyAlignment="1">
      <alignment horizontal="center" vertical="top" wrapText="1"/>
    </xf>
    <xf numFmtId="0" fontId="23" fillId="2" borderId="8" xfId="2" applyFont="1" applyFill="1" applyBorder="1" applyAlignment="1">
      <alignment horizontal="center" vertical="top" wrapText="1"/>
    </xf>
    <xf numFmtId="0" fontId="25" fillId="2" borderId="29" xfId="2" applyFont="1" applyFill="1" applyBorder="1" applyAlignment="1">
      <alignment horizontal="center"/>
    </xf>
    <xf numFmtId="0" fontId="15" fillId="2" borderId="29" xfId="2" applyFill="1" applyBorder="1"/>
    <xf numFmtId="0" fontId="23" fillId="2" borderId="27" xfId="2" applyFont="1" applyFill="1" applyBorder="1" applyAlignment="1">
      <alignment horizontal="center" vertical="top" wrapText="1"/>
    </xf>
    <xf numFmtId="2" fontId="15" fillId="2" borderId="28" xfId="2" applyNumberFormat="1" applyFont="1" applyFill="1" applyBorder="1" applyAlignment="1">
      <alignment horizontal="center"/>
    </xf>
    <xf numFmtId="2" fontId="15" fillId="2" borderId="5" xfId="2" applyNumberFormat="1" applyFont="1" applyFill="1" applyBorder="1" applyAlignment="1">
      <alignment horizontal="center"/>
    </xf>
    <xf numFmtId="0" fontId="15" fillId="2" borderId="29" xfId="2" applyFill="1" applyBorder="1" applyAlignment="1">
      <alignment horizontal="center"/>
    </xf>
    <xf numFmtId="0" fontId="15" fillId="2" borderId="5" xfId="2" applyFill="1" applyBorder="1"/>
    <xf numFmtId="0" fontId="25" fillId="2" borderId="14" xfId="2" applyFont="1" applyFill="1" applyBorder="1" applyAlignment="1">
      <alignment horizontal="center"/>
    </xf>
    <xf numFmtId="0" fontId="15" fillId="2" borderId="14" xfId="2" applyFont="1" applyFill="1" applyBorder="1" applyAlignment="1">
      <alignment horizontal="center"/>
    </xf>
    <xf numFmtId="0" fontId="15" fillId="2" borderId="27" xfId="2" applyFill="1" applyBorder="1" applyAlignment="1">
      <alignment horizontal="center"/>
    </xf>
    <xf numFmtId="0" fontId="25" fillId="2" borderId="27" xfId="2" applyFont="1" applyFill="1" applyBorder="1" applyAlignment="1">
      <alignment horizontal="center"/>
    </xf>
    <xf numFmtId="164" fontId="25" fillId="2" borderId="27" xfId="2" applyNumberFormat="1" applyFont="1" applyFill="1" applyBorder="1" applyAlignment="1">
      <alignment horizontal="center"/>
    </xf>
    <xf numFmtId="0" fontId="15" fillId="2" borderId="0" xfId="2" applyFill="1" applyBorder="1"/>
    <xf numFmtId="164" fontId="15" fillId="2" borderId="0" xfId="2" applyNumberFormat="1" applyFill="1" applyBorder="1" applyAlignment="1">
      <alignment horizontal="center"/>
    </xf>
    <xf numFmtId="164" fontId="15" fillId="2" borderId="0" xfId="2" applyNumberFormat="1" applyFill="1" applyAlignment="1">
      <alignment horizontal="left"/>
    </xf>
    <xf numFmtId="164" fontId="15" fillId="2" borderId="0" xfId="2" applyNumberFormat="1" applyFill="1" applyAlignment="1">
      <alignment horizontal="center"/>
    </xf>
    <xf numFmtId="0" fontId="15" fillId="2" borderId="8" xfId="2" applyFill="1" applyBorder="1"/>
    <xf numFmtId="0" fontId="15" fillId="2" borderId="7" xfId="2" applyFill="1" applyBorder="1"/>
    <xf numFmtId="0" fontId="15" fillId="2" borderId="27" xfId="2" applyFill="1" applyBorder="1"/>
    <xf numFmtId="164" fontId="15" fillId="2" borderId="28" xfId="2" applyNumberFormat="1" applyFill="1" applyBorder="1" applyAlignment="1">
      <alignment horizontal="center"/>
    </xf>
    <xf numFmtId="0" fontId="15" fillId="2" borderId="7" xfId="2" applyFill="1" applyBorder="1" applyAlignment="1">
      <alignment horizontal="center"/>
    </xf>
    <xf numFmtId="0" fontId="15" fillId="2" borderId="10" xfId="2" applyFill="1" applyBorder="1" applyAlignment="1">
      <alignment horizontal="left"/>
    </xf>
    <xf numFmtId="0" fontId="27" fillId="2" borderId="10" xfId="2" applyFont="1" applyFill="1" applyBorder="1" applyAlignment="1">
      <alignment horizontal="center"/>
    </xf>
    <xf numFmtId="0" fontId="27" fillId="2" borderId="10" xfId="2" applyFont="1" applyFill="1" applyBorder="1" applyAlignment="1">
      <alignment horizontal="centerContinuous"/>
    </xf>
    <xf numFmtId="0" fontId="15" fillId="2" borderId="0" xfId="2" applyFill="1" applyBorder="1" applyAlignment="1"/>
    <xf numFmtId="0" fontId="15" fillId="2" borderId="7" xfId="2" applyFill="1" applyBorder="1" applyAlignment="1"/>
    <xf numFmtId="0" fontId="15" fillId="2" borderId="7" xfId="2" applyFill="1" applyBorder="1" applyAlignment="1">
      <alignment horizontal="left"/>
    </xf>
    <xf numFmtId="0" fontId="27" fillId="2" borderId="13" xfId="2" applyFont="1" applyFill="1" applyBorder="1" applyAlignment="1">
      <alignment horizontal="center"/>
    </xf>
    <xf numFmtId="0" fontId="15" fillId="2" borderId="0" xfId="2" applyNumberFormat="1" applyFill="1" applyBorder="1" applyAlignment="1">
      <alignment horizontal="center"/>
    </xf>
    <xf numFmtId="0" fontId="27" fillId="2" borderId="13" xfId="2" applyFont="1" applyFill="1" applyBorder="1" applyAlignment="1">
      <alignment horizontal="centerContinuous"/>
    </xf>
    <xf numFmtId="0" fontId="16" fillId="2" borderId="0" xfId="2" applyFont="1" applyFill="1" applyBorder="1" applyAlignment="1"/>
    <xf numFmtId="0" fontId="15" fillId="2" borderId="12" xfId="2" applyFill="1" applyBorder="1" applyAlignment="1"/>
    <xf numFmtId="0" fontId="16" fillId="2" borderId="12" xfId="2" applyFont="1" applyFill="1" applyBorder="1" applyAlignment="1"/>
    <xf numFmtId="0" fontId="16" fillId="2" borderId="14" xfId="2" applyFont="1" applyFill="1" applyBorder="1" applyAlignment="1">
      <alignment horizontal="center"/>
    </xf>
    <xf numFmtId="0" fontId="16" fillId="2" borderId="27" xfId="2" applyFont="1" applyFill="1" applyBorder="1" applyAlignment="1">
      <alignment horizontal="center"/>
    </xf>
    <xf numFmtId="0" fontId="16" fillId="2" borderId="28" xfId="2" applyFont="1" applyFill="1" applyBorder="1" applyAlignment="1">
      <alignment horizontal="center"/>
    </xf>
    <xf numFmtId="0" fontId="16" fillId="2" borderId="29" xfId="2" applyFont="1" applyFill="1" applyBorder="1" applyAlignment="1">
      <alignment horizontal="center"/>
    </xf>
    <xf numFmtId="0" fontId="15" fillId="2" borderId="12" xfId="2" applyFill="1" applyBorder="1" applyAlignment="1">
      <alignment horizontal="center"/>
    </xf>
    <xf numFmtId="0" fontId="15" fillId="2" borderId="1" xfId="2" applyFill="1" applyBorder="1" applyAlignment="1">
      <alignment horizontal="right"/>
    </xf>
    <xf numFmtId="0" fontId="15" fillId="2" borderId="3" xfId="2" applyFill="1" applyBorder="1" applyAlignment="1">
      <alignment horizontal="center"/>
    </xf>
    <xf numFmtId="0" fontId="15" fillId="2" borderId="4" xfId="2" applyFill="1" applyBorder="1" applyAlignment="1">
      <alignment horizontal="right"/>
    </xf>
    <xf numFmtId="0" fontId="15" fillId="2" borderId="5" xfId="2" applyFill="1" applyBorder="1" applyAlignment="1">
      <alignment horizontal="center"/>
    </xf>
    <xf numFmtId="0" fontId="15" fillId="2" borderId="6" xfId="2" applyFill="1" applyBorder="1" applyAlignment="1">
      <alignment horizontal="right"/>
    </xf>
    <xf numFmtId="0" fontId="15" fillId="2" borderId="8" xfId="2" applyFill="1" applyBorder="1" applyAlignment="1">
      <alignment horizontal="center"/>
    </xf>
    <xf numFmtId="0" fontId="15" fillId="2" borderId="30" xfId="2" applyFill="1" applyBorder="1"/>
    <xf numFmtId="0" fontId="15" fillId="2" borderId="31" xfId="2" applyFill="1" applyBorder="1"/>
    <xf numFmtId="0" fontId="15" fillId="2" borderId="32" xfId="2" applyFill="1" applyBorder="1"/>
    <xf numFmtId="0" fontId="15" fillId="2" borderId="33" xfId="2" applyFill="1" applyBorder="1"/>
    <xf numFmtId="0" fontId="16" fillId="2" borderId="33" xfId="2" applyFont="1" applyFill="1" applyBorder="1"/>
    <xf numFmtId="0" fontId="15" fillId="2" borderId="34" xfId="2" applyFill="1" applyBorder="1"/>
    <xf numFmtId="0" fontId="15" fillId="2" borderId="30" xfId="2" applyNumberFormat="1" applyFill="1" applyBorder="1"/>
    <xf numFmtId="0" fontId="15" fillId="2" borderId="33" xfId="2" applyNumberFormat="1" applyFill="1" applyBorder="1"/>
    <xf numFmtId="0" fontId="16" fillId="2" borderId="33" xfId="2" applyNumberFormat="1" applyFont="1" applyFill="1" applyBorder="1"/>
    <xf numFmtId="0" fontId="15" fillId="2" borderId="34" xfId="2" applyNumberFormat="1" applyFill="1" applyBorder="1"/>
    <xf numFmtId="0" fontId="15" fillId="2" borderId="35" xfId="2" applyFill="1" applyBorder="1"/>
    <xf numFmtId="0" fontId="15" fillId="2" borderId="35" xfId="2" applyNumberFormat="1" applyFill="1" applyBorder="1"/>
    <xf numFmtId="0" fontId="15" fillId="2" borderId="0" xfId="2" applyNumberFormat="1" applyFill="1"/>
    <xf numFmtId="0" fontId="16" fillId="2" borderId="0" xfId="2" applyNumberFormat="1" applyFont="1" applyFill="1"/>
    <xf numFmtId="0" fontId="15" fillId="2" borderId="36" xfId="2" applyNumberFormat="1" applyFill="1" applyBorder="1"/>
    <xf numFmtId="167" fontId="15" fillId="2" borderId="0" xfId="2" applyNumberFormat="1" applyFill="1" applyBorder="1" applyAlignment="1"/>
    <xf numFmtId="0" fontId="15" fillId="2" borderId="37" xfId="2" applyFill="1" applyBorder="1"/>
    <xf numFmtId="0" fontId="15" fillId="2" borderId="37" xfId="2" applyNumberFormat="1" applyFill="1" applyBorder="1"/>
    <xf numFmtId="0" fontId="15" fillId="2" borderId="38" xfId="2" applyNumberFormat="1" applyFill="1" applyBorder="1"/>
    <xf numFmtId="0" fontId="16" fillId="2" borderId="38" xfId="2" applyNumberFormat="1" applyFont="1" applyFill="1" applyBorder="1"/>
    <xf numFmtId="0" fontId="15" fillId="2" borderId="39" xfId="2" applyNumberFormat="1" applyFill="1" applyBorder="1"/>
    <xf numFmtId="167" fontId="15" fillId="2" borderId="12" xfId="2" applyNumberFormat="1" applyFill="1" applyBorder="1" applyAlignment="1"/>
    <xf numFmtId="0" fontId="16" fillId="2" borderId="0" xfId="2" applyFont="1" applyFill="1" applyBorder="1" applyAlignment="1">
      <alignment horizontal="left" vertical="center" wrapText="1"/>
    </xf>
    <xf numFmtId="0" fontId="16" fillId="2" borderId="5" xfId="2" applyFont="1" applyFill="1" applyBorder="1" applyAlignment="1">
      <alignment horizontal="center" vertical="center" wrapText="1"/>
    </xf>
    <xf numFmtId="0" fontId="16" fillId="2" borderId="8" xfId="2" applyFont="1" applyFill="1" applyBorder="1" applyAlignment="1">
      <alignment horizontal="center" vertical="center" wrapText="1"/>
    </xf>
    <xf numFmtId="0" fontId="16" fillId="2" borderId="10" xfId="2" applyFont="1" applyFill="1" applyBorder="1" applyAlignment="1">
      <alignment horizontal="center" vertical="center" wrapText="1"/>
    </xf>
    <xf numFmtId="0" fontId="16" fillId="2" borderId="11" xfId="2" applyFont="1" applyFill="1" applyBorder="1" applyAlignment="1">
      <alignment horizontal="center" vertical="center" wrapText="1"/>
    </xf>
    <xf numFmtId="0" fontId="16" fillId="2" borderId="28" xfId="2" applyFont="1" applyFill="1" applyBorder="1" applyAlignment="1">
      <alignment horizontal="center" vertical="center" wrapText="1"/>
    </xf>
    <xf numFmtId="0" fontId="16" fillId="2" borderId="29" xfId="2" applyFont="1" applyFill="1" applyBorder="1" applyAlignment="1">
      <alignment horizontal="center" vertical="center" wrapText="1"/>
    </xf>
    <xf numFmtId="0" fontId="16" fillId="2" borderId="14" xfId="2" applyFont="1" applyFill="1" applyBorder="1" applyAlignment="1">
      <alignment horizontal="center" vertical="center" wrapText="1"/>
    </xf>
    <xf numFmtId="0" fontId="5" fillId="2" borderId="0" xfId="2" applyFont="1" applyFill="1"/>
    <xf numFmtId="0" fontId="31" fillId="2" borderId="13" xfId="2" applyFont="1" applyFill="1" applyBorder="1" applyAlignment="1">
      <alignment horizontal="centerContinuous"/>
    </xf>
    <xf numFmtId="0" fontId="5" fillId="2" borderId="0" xfId="2" applyFont="1" applyFill="1" applyBorder="1" applyAlignment="1"/>
    <xf numFmtId="0" fontId="5" fillId="2" borderId="12" xfId="2" applyFont="1" applyFill="1" applyBorder="1" applyAlignment="1"/>
    <xf numFmtId="0" fontId="31" fillId="2" borderId="13" xfId="2" applyFont="1" applyFill="1" applyBorder="1" applyAlignment="1">
      <alignment horizontal="center"/>
    </xf>
    <xf numFmtId="0" fontId="5" fillId="2" borderId="0" xfId="2" applyFont="1" applyFill="1" applyAlignment="1">
      <alignment horizontal="center"/>
    </xf>
    <xf numFmtId="0" fontId="5" fillId="2" borderId="4" xfId="2" applyFont="1" applyFill="1" applyBorder="1" applyAlignment="1">
      <alignment horizontal="center"/>
    </xf>
    <xf numFmtId="0" fontId="5" fillId="2" borderId="5" xfId="2" applyFont="1" applyFill="1" applyBorder="1" applyAlignment="1">
      <alignment horizontal="center"/>
    </xf>
    <xf numFmtId="0" fontId="5" fillId="2" borderId="6" xfId="2" applyFont="1" applyFill="1" applyBorder="1" applyAlignment="1">
      <alignment horizontal="center"/>
    </xf>
    <xf numFmtId="0" fontId="5" fillId="2" borderId="8" xfId="2" applyFont="1" applyFill="1" applyBorder="1" applyAlignment="1">
      <alignment horizontal="center"/>
    </xf>
    <xf numFmtId="0" fontId="5" fillId="3" borderId="4" xfId="2" applyFont="1" applyFill="1" applyBorder="1" applyAlignment="1">
      <alignment horizontal="center"/>
    </xf>
    <xf numFmtId="0" fontId="5" fillId="3" borderId="5" xfId="2" applyFont="1" applyFill="1" applyBorder="1" applyAlignment="1">
      <alignment horizontal="center"/>
    </xf>
    <xf numFmtId="0" fontId="5" fillId="3" borderId="6" xfId="2" applyFont="1" applyFill="1" applyBorder="1" applyAlignment="1">
      <alignment horizontal="center"/>
    </xf>
    <xf numFmtId="0" fontId="5" fillId="3" borderId="8" xfId="2" applyFont="1" applyFill="1" applyBorder="1" applyAlignment="1">
      <alignment horizontal="center"/>
    </xf>
    <xf numFmtId="0" fontId="5" fillId="3" borderId="9" xfId="2" applyFont="1" applyFill="1" applyBorder="1" applyAlignment="1">
      <alignment horizontal="center"/>
    </xf>
    <xf numFmtId="0" fontId="5" fillId="3" borderId="11" xfId="2" applyFont="1" applyFill="1" applyBorder="1" applyAlignment="1">
      <alignment horizontal="center"/>
    </xf>
    <xf numFmtId="0" fontId="5" fillId="2" borderId="0" xfId="2" applyFont="1" applyFill="1" applyBorder="1" applyAlignment="1">
      <alignment horizontal="center"/>
    </xf>
    <xf numFmtId="0" fontId="5" fillId="2" borderId="7" xfId="2" applyFont="1" applyFill="1" applyBorder="1" applyAlignment="1">
      <alignment horizontal="center"/>
    </xf>
    <xf numFmtId="0" fontId="5" fillId="2" borderId="9" xfId="2" applyFont="1" applyFill="1" applyBorder="1" applyAlignment="1">
      <alignment horizontal="center"/>
    </xf>
    <xf numFmtId="0" fontId="5" fillId="2" borderId="10" xfId="2" applyFont="1" applyFill="1" applyBorder="1" applyAlignment="1">
      <alignment horizontal="center"/>
    </xf>
    <xf numFmtId="0" fontId="5" fillId="2" borderId="11" xfId="2" applyFont="1" applyFill="1" applyBorder="1" applyAlignment="1">
      <alignment horizontal="center"/>
    </xf>
    <xf numFmtId="0" fontId="5" fillId="2" borderId="0" xfId="2" applyFont="1" applyFill="1" applyBorder="1"/>
    <xf numFmtId="0" fontId="2" fillId="2" borderId="0" xfId="2" applyFont="1" applyFill="1" applyBorder="1" applyAlignment="1"/>
    <xf numFmtId="0" fontId="7" fillId="2" borderId="0" xfId="2" applyFont="1" applyFill="1" applyBorder="1" applyAlignment="1"/>
    <xf numFmtId="0" fontId="7" fillId="2" borderId="9" xfId="2" applyFont="1" applyFill="1" applyBorder="1" applyAlignment="1">
      <alignment horizontal="right"/>
    </xf>
    <xf numFmtId="0" fontId="7" fillId="2" borderId="11" xfId="2" applyFont="1" applyFill="1" applyBorder="1"/>
    <xf numFmtId="0" fontId="31" fillId="2" borderId="9" xfId="2" applyFont="1" applyFill="1" applyBorder="1" applyAlignment="1">
      <alignment horizontal="center"/>
    </xf>
    <xf numFmtId="0" fontId="32" fillId="2" borderId="2" xfId="2" applyFont="1" applyFill="1" applyBorder="1" applyAlignment="1">
      <alignment horizontal="center"/>
    </xf>
    <xf numFmtId="0" fontId="31" fillId="2" borderId="10" xfId="2" applyFont="1" applyFill="1" applyBorder="1" applyAlignment="1">
      <alignment horizontal="center"/>
    </xf>
    <xf numFmtId="0" fontId="5" fillId="2" borderId="3" xfId="2" applyFont="1" applyFill="1" applyBorder="1"/>
    <xf numFmtId="0" fontId="5" fillId="2" borderId="5" xfId="2" applyFont="1" applyFill="1" applyBorder="1" applyAlignment="1"/>
    <xf numFmtId="0" fontId="5" fillId="2" borderId="7" xfId="2" applyFont="1" applyFill="1" applyBorder="1" applyAlignment="1"/>
    <xf numFmtId="0" fontId="5" fillId="2" borderId="8" xfId="2" applyFont="1" applyFill="1" applyBorder="1" applyAlignment="1"/>
    <xf numFmtId="0" fontId="5" fillId="2" borderId="9" xfId="2" applyFont="1" applyFill="1" applyBorder="1" applyAlignment="1">
      <alignment horizontal="right"/>
    </xf>
    <xf numFmtId="0" fontId="5" fillId="2" borderId="10" xfId="2" applyFont="1" applyFill="1" applyBorder="1"/>
    <xf numFmtId="0" fontId="5" fillId="2" borderId="11" xfId="2" applyFont="1" applyFill="1" applyBorder="1"/>
    <xf numFmtId="0" fontId="2" fillId="2" borderId="12" xfId="2" applyFont="1" applyFill="1" applyBorder="1" applyAlignment="1"/>
    <xf numFmtId="0" fontId="10" fillId="2" borderId="0" xfId="0" applyFont="1" applyFill="1" applyBorder="1" applyAlignment="1">
      <alignment horizontal="centerContinuous"/>
    </xf>
    <xf numFmtId="0" fontId="10" fillId="2" borderId="0" xfId="0" applyFont="1" applyFill="1" applyBorder="1" applyAlignment="1">
      <alignment horizontal="center"/>
    </xf>
    <xf numFmtId="0" fontId="0" fillId="2" borderId="0" xfId="0" applyFill="1" applyAlignment="1"/>
    <xf numFmtId="0" fontId="33" fillId="2" borderId="0" xfId="2" applyFont="1" applyFill="1"/>
    <xf numFmtId="0" fontId="0" fillId="2" borderId="0" xfId="0" applyFill="1" applyAlignment="1">
      <alignment horizontal="center" vertical="center"/>
    </xf>
    <xf numFmtId="0" fontId="27" fillId="2" borderId="40" xfId="2" applyFont="1" applyFill="1" applyBorder="1" applyAlignment="1">
      <alignment horizontal="right"/>
    </xf>
    <xf numFmtId="0" fontId="15" fillId="2" borderId="0" xfId="2" applyFont="1" applyFill="1" applyBorder="1" applyAlignment="1"/>
    <xf numFmtId="0" fontId="20" fillId="2" borderId="13" xfId="2" applyFont="1" applyFill="1" applyBorder="1" applyAlignment="1">
      <alignment horizontal="center"/>
    </xf>
    <xf numFmtId="0" fontId="7" fillId="2" borderId="5" xfId="0" applyFont="1" applyFill="1" applyBorder="1" applyAlignment="1">
      <alignment horizontal="center"/>
    </xf>
    <xf numFmtId="2" fontId="0" fillId="2" borderId="0" xfId="0" applyNumberFormat="1" applyFill="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8" xfId="0" applyFill="1" applyBorder="1" applyAlignment="1">
      <alignment horizontal="center"/>
    </xf>
    <xf numFmtId="0" fontId="15" fillId="2" borderId="2" xfId="2" applyFont="1" applyFill="1" applyBorder="1" applyAlignment="1">
      <alignment horizontal="center"/>
    </xf>
    <xf numFmtId="0" fontId="15" fillId="2" borderId="7" xfId="2" applyFont="1" applyFill="1" applyBorder="1" applyAlignment="1">
      <alignment horizontal="center"/>
    </xf>
    <xf numFmtId="0" fontId="15" fillId="2" borderId="0" xfId="2" applyFont="1" applyFill="1" applyAlignment="1">
      <alignment horizontal="right"/>
    </xf>
    <xf numFmtId="0" fontId="35" fillId="2" borderId="0" xfId="2" applyFont="1" applyFill="1" applyBorder="1" applyAlignment="1"/>
    <xf numFmtId="0" fontId="35" fillId="2" borderId="12" xfId="2" applyFont="1" applyFill="1" applyBorder="1" applyAlignment="1"/>
    <xf numFmtId="0" fontId="15" fillId="2" borderId="4" xfId="2" applyFont="1" applyFill="1" applyBorder="1" applyAlignment="1"/>
    <xf numFmtId="0" fontId="15" fillId="2" borderId="5" xfId="2" applyFont="1" applyFill="1" applyBorder="1" applyAlignment="1"/>
    <xf numFmtId="0" fontId="15" fillId="2" borderId="6" xfId="2" applyFont="1" applyFill="1" applyBorder="1" applyAlignment="1"/>
    <xf numFmtId="0" fontId="15" fillId="2" borderId="7" xfId="2" applyFont="1" applyFill="1" applyBorder="1" applyAlignment="1"/>
    <xf numFmtId="0" fontId="15" fillId="2" borderId="8" xfId="2" applyFont="1" applyFill="1" applyBorder="1" applyAlignment="1"/>
    <xf numFmtId="0" fontId="16" fillId="2" borderId="3" xfId="2" applyFont="1" applyFill="1" applyBorder="1" applyAlignment="1">
      <alignment horizontal="center"/>
    </xf>
    <xf numFmtId="0" fontId="1" fillId="2" borderId="14" xfId="0" applyFont="1" applyFill="1" applyBorder="1" applyAlignment="1">
      <alignment horizontal="center"/>
    </xf>
    <xf numFmtId="0" fontId="1" fillId="2" borderId="27" xfId="0" applyFont="1" applyFill="1" applyBorder="1" applyAlignment="1">
      <alignment horizontal="center" vertical="center"/>
    </xf>
    <xf numFmtId="0" fontId="1" fillId="2" borderId="27" xfId="0" applyFont="1" applyFill="1" applyBorder="1" applyAlignment="1">
      <alignment horizontal="center"/>
    </xf>
    <xf numFmtId="0" fontId="1" fillId="2" borderId="28" xfId="0" applyFont="1" applyFill="1" applyBorder="1" applyAlignment="1">
      <alignment horizontal="center" vertical="center"/>
    </xf>
    <xf numFmtId="0" fontId="1" fillId="2" borderId="28" xfId="0" applyFont="1" applyFill="1" applyBorder="1" applyAlignment="1">
      <alignment horizontal="center"/>
    </xf>
    <xf numFmtId="0" fontId="1" fillId="2" borderId="29" xfId="0" applyFont="1" applyFill="1" applyBorder="1" applyAlignment="1">
      <alignment horizontal="center" vertical="center"/>
    </xf>
    <xf numFmtId="0" fontId="1" fillId="2" borderId="29" xfId="0" applyFont="1" applyFill="1" applyBorder="1" applyAlignment="1">
      <alignment horizontal="center"/>
    </xf>
    <xf numFmtId="0" fontId="0" fillId="2" borderId="0" xfId="0" applyFill="1" applyAlignment="1">
      <alignment horizontal="right"/>
    </xf>
    <xf numFmtId="0" fontId="0" fillId="2" borderId="0" xfId="0" applyFill="1" applyBorder="1" applyAlignment="1">
      <alignment horizontal="right"/>
    </xf>
    <xf numFmtId="165" fontId="0" fillId="2" borderId="0" xfId="0" applyNumberFormat="1" applyFill="1" applyBorder="1" applyAlignment="1">
      <alignment horizontal="right"/>
    </xf>
    <xf numFmtId="10" fontId="0" fillId="2" borderId="0" xfId="1" applyNumberFormat="1" applyFont="1"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2" borderId="8" xfId="0" applyFill="1" applyBorder="1" applyAlignment="1">
      <alignment horizontal="center"/>
    </xf>
    <xf numFmtId="0" fontId="0" fillId="2" borderId="1" xfId="0" applyFill="1" applyBorder="1" applyAlignment="1">
      <alignment horizontal="right"/>
    </xf>
    <xf numFmtId="0" fontId="0" fillId="2" borderId="2" xfId="0" applyFill="1" applyBorder="1" applyAlignment="1">
      <alignment horizontal="right"/>
    </xf>
    <xf numFmtId="0" fontId="0" fillId="2" borderId="3" xfId="0" applyFill="1" applyBorder="1" applyAlignment="1">
      <alignment horizontal="right"/>
    </xf>
    <xf numFmtId="0" fontId="0" fillId="2" borderId="4" xfId="0" applyFill="1" applyBorder="1" applyAlignment="1">
      <alignment horizontal="right"/>
    </xf>
    <xf numFmtId="0" fontId="0" fillId="2" borderId="5" xfId="0" applyFill="1" applyBorder="1" applyAlignment="1">
      <alignment horizontal="right"/>
    </xf>
    <xf numFmtId="10" fontId="0" fillId="2" borderId="0" xfId="1" applyNumberFormat="1" applyFont="1" applyFill="1" applyBorder="1" applyAlignment="1">
      <alignment horizontal="right"/>
    </xf>
    <xf numFmtId="0" fontId="0" fillId="2" borderId="6" xfId="0" applyFill="1" applyBorder="1" applyAlignment="1">
      <alignment horizontal="right"/>
    </xf>
    <xf numFmtId="165" fontId="0" fillId="2" borderId="7" xfId="0" applyNumberFormat="1" applyFill="1" applyBorder="1" applyAlignment="1">
      <alignment horizontal="right"/>
    </xf>
    <xf numFmtId="0" fontId="0" fillId="2" borderId="8" xfId="0" applyFill="1" applyBorder="1" applyAlignment="1">
      <alignment horizontal="right"/>
    </xf>
    <xf numFmtId="10" fontId="0" fillId="2" borderId="7" xfId="1" applyNumberFormat="1" applyFont="1" applyFill="1" applyBorder="1" applyAlignment="1">
      <alignment horizontal="center"/>
    </xf>
    <xf numFmtId="0" fontId="17" fillId="2" borderId="14" xfId="2" applyFont="1" applyFill="1" applyBorder="1" applyAlignment="1">
      <alignment horizontal="center"/>
    </xf>
    <xf numFmtId="0" fontId="17" fillId="2" borderId="14" xfId="2" applyFont="1" applyFill="1" applyBorder="1" applyAlignment="1">
      <alignment horizontal="right"/>
    </xf>
    <xf numFmtId="0" fontId="36" fillId="2" borderId="0" xfId="2" applyFont="1" applyFill="1" applyBorder="1" applyAlignment="1">
      <alignment horizontal="right"/>
    </xf>
    <xf numFmtId="0" fontId="36" fillId="2" borderId="0" xfId="2" applyFont="1" applyFill="1" applyBorder="1" applyAlignment="1">
      <alignment horizontal="center"/>
    </xf>
    <xf numFmtId="0" fontId="37" fillId="2" borderId="0" xfId="2" applyFont="1" applyFill="1"/>
    <xf numFmtId="165" fontId="36" fillId="2" borderId="0" xfId="2" applyNumberFormat="1" applyFont="1" applyFill="1" applyBorder="1" applyAlignment="1">
      <alignment horizontal="center"/>
    </xf>
    <xf numFmtId="2" fontId="36" fillId="2" borderId="0" xfId="2" applyNumberFormat="1" applyFont="1" applyFill="1" applyBorder="1" applyAlignment="1">
      <alignment horizontal="center"/>
    </xf>
    <xf numFmtId="0" fontId="36" fillId="2" borderId="0" xfId="2" applyFont="1" applyFill="1"/>
    <xf numFmtId="2" fontId="36" fillId="2" borderId="0" xfId="2" applyNumberFormat="1" applyFont="1" applyFill="1"/>
    <xf numFmtId="0" fontId="38" fillId="4" borderId="14" xfId="0" applyFont="1" applyFill="1" applyBorder="1" applyAlignment="1">
      <alignment horizontal="center"/>
    </xf>
    <xf numFmtId="0" fontId="38" fillId="5" borderId="14" xfId="0" applyFont="1" applyFill="1" applyBorder="1" applyAlignment="1">
      <alignment horizontal="center"/>
    </xf>
    <xf numFmtId="0" fontId="38" fillId="5" borderId="9" xfId="0" applyFont="1" applyFill="1" applyBorder="1" applyAlignment="1">
      <alignment horizontal="center"/>
    </xf>
    <xf numFmtId="0" fontId="1" fillId="2" borderId="0" xfId="0" applyFont="1" applyFill="1" applyAlignment="1">
      <alignment horizontal="center"/>
    </xf>
    <xf numFmtId="0" fontId="39" fillId="2" borderId="0" xfId="0" applyFont="1" applyFill="1" applyBorder="1" applyAlignment="1">
      <alignment horizontal="center"/>
    </xf>
    <xf numFmtId="2" fontId="1" fillId="2" borderId="28" xfId="0" applyNumberFormat="1" applyFont="1" applyFill="1" applyBorder="1" applyAlignment="1">
      <alignment horizontal="center"/>
    </xf>
    <xf numFmtId="0" fontId="1" fillId="2" borderId="1" xfId="0" applyFont="1" applyFill="1" applyBorder="1" applyAlignment="1">
      <alignment horizontal="center"/>
    </xf>
    <xf numFmtId="2" fontId="1" fillId="2" borderId="27" xfId="0" applyNumberFormat="1" applyFont="1" applyFill="1" applyBorder="1" applyAlignment="1">
      <alignment horizontal="center"/>
    </xf>
    <xf numFmtId="0" fontId="1" fillId="6" borderId="1" xfId="0" applyFont="1" applyFill="1" applyBorder="1" applyAlignment="1">
      <alignment horizontal="center"/>
    </xf>
    <xf numFmtId="0" fontId="1" fillId="6" borderId="27" xfId="0" applyFont="1" applyFill="1" applyBorder="1" applyAlignment="1">
      <alignment horizontal="center"/>
    </xf>
    <xf numFmtId="0" fontId="1" fillId="6" borderId="4" xfId="0" applyFont="1" applyFill="1" applyBorder="1" applyAlignment="1">
      <alignment horizontal="center"/>
    </xf>
    <xf numFmtId="0" fontId="1" fillId="6" borderId="28" xfId="0" applyFont="1" applyFill="1" applyBorder="1" applyAlignment="1">
      <alignment horizontal="center"/>
    </xf>
    <xf numFmtId="0" fontId="1" fillId="6" borderId="29" xfId="0" applyFont="1" applyFill="1" applyBorder="1" applyAlignment="1">
      <alignment horizontal="center"/>
    </xf>
    <xf numFmtId="0" fontId="1" fillId="6" borderId="6" xfId="0" applyFont="1" applyFill="1" applyBorder="1" applyAlignment="1">
      <alignment horizontal="center"/>
    </xf>
    <xf numFmtId="0" fontId="1" fillId="6" borderId="14" xfId="0" applyFont="1" applyFill="1" applyBorder="1" applyAlignment="1">
      <alignment horizontal="center"/>
    </xf>
    <xf numFmtId="2" fontId="1" fillId="2" borderId="29" xfId="0" applyNumberFormat="1" applyFont="1" applyFill="1" applyBorder="1" applyAlignment="1">
      <alignment horizontal="center"/>
    </xf>
    <xf numFmtId="2" fontId="1" fillId="2" borderId="0" xfId="0" applyNumberFormat="1" applyFont="1" applyFill="1" applyBorder="1" applyAlignment="1">
      <alignment horizontal="center"/>
    </xf>
    <xf numFmtId="2" fontId="1" fillId="2" borderId="14" xfId="0" applyNumberFormat="1" applyFont="1" applyFill="1" applyBorder="1" applyAlignment="1">
      <alignment horizontal="center"/>
    </xf>
    <xf numFmtId="0" fontId="40" fillId="2" borderId="14" xfId="0" applyFont="1" applyFill="1" applyBorder="1" applyAlignment="1">
      <alignment horizontal="center"/>
    </xf>
    <xf numFmtId="0" fontId="1" fillId="7" borderId="14" xfId="0" applyFont="1" applyFill="1" applyBorder="1" applyAlignment="1">
      <alignment horizontal="center"/>
    </xf>
    <xf numFmtId="0" fontId="1" fillId="8" borderId="14" xfId="0" applyFont="1" applyFill="1" applyBorder="1" applyAlignment="1">
      <alignment horizontal="center"/>
    </xf>
    <xf numFmtId="0" fontId="1" fillId="9" borderId="14" xfId="0" applyFont="1" applyFill="1" applyBorder="1" applyAlignment="1">
      <alignment horizontal="center"/>
    </xf>
    <xf numFmtId="2" fontId="1" fillId="6" borderId="14" xfId="0" applyNumberFormat="1" applyFont="1" applyFill="1" applyBorder="1" applyAlignment="1">
      <alignment horizontal="center"/>
    </xf>
    <xf numFmtId="2" fontId="1" fillId="7" borderId="14" xfId="0" applyNumberFormat="1" applyFont="1" applyFill="1" applyBorder="1" applyAlignment="1">
      <alignment horizontal="center"/>
    </xf>
    <xf numFmtId="2" fontId="1" fillId="8" borderId="14" xfId="0" applyNumberFormat="1" applyFont="1" applyFill="1" applyBorder="1" applyAlignment="1">
      <alignment horizontal="center"/>
    </xf>
    <xf numFmtId="2" fontId="1" fillId="9" borderId="14" xfId="0" applyNumberFormat="1" applyFont="1" applyFill="1" applyBorder="1" applyAlignment="1">
      <alignment horizontal="center"/>
    </xf>
    <xf numFmtId="0" fontId="1" fillId="10" borderId="14" xfId="0" applyFont="1" applyFill="1" applyBorder="1" applyAlignment="1">
      <alignment horizontal="center"/>
    </xf>
    <xf numFmtId="0" fontId="1" fillId="11" borderId="14" xfId="0" applyFont="1" applyFill="1" applyBorder="1" applyAlignment="1">
      <alignment horizontal="center"/>
    </xf>
    <xf numFmtId="2" fontId="1" fillId="10" borderId="14" xfId="0" applyNumberFormat="1" applyFont="1" applyFill="1" applyBorder="1" applyAlignment="1">
      <alignment horizontal="center"/>
    </xf>
    <xf numFmtId="2" fontId="1" fillId="11" borderId="14" xfId="0" applyNumberFormat="1" applyFont="1" applyFill="1" applyBorder="1" applyAlignment="1">
      <alignment horizontal="center"/>
    </xf>
    <xf numFmtId="0" fontId="38" fillId="5" borderId="10" xfId="0" applyFont="1" applyFill="1" applyBorder="1" applyAlignment="1">
      <alignment horizontal="center"/>
    </xf>
    <xf numFmtId="0" fontId="38" fillId="12" borderId="9" xfId="0" applyFont="1" applyFill="1" applyBorder="1" applyAlignment="1">
      <alignment horizontal="center"/>
    </xf>
    <xf numFmtId="0" fontId="38" fillId="12" borderId="11" xfId="0" applyFont="1" applyFill="1" applyBorder="1" applyAlignment="1">
      <alignment horizontal="center"/>
    </xf>
    <xf numFmtId="2" fontId="1" fillId="2" borderId="0" xfId="0" applyNumberFormat="1" applyFont="1" applyFill="1" applyAlignment="1">
      <alignment horizontal="center"/>
    </xf>
    <xf numFmtId="0" fontId="38" fillId="12" borderId="14" xfId="0" applyFont="1" applyFill="1" applyBorder="1" applyAlignment="1">
      <alignment horizontal="center"/>
    </xf>
    <xf numFmtId="0" fontId="38" fillId="12" borderId="10" xfId="0" applyFont="1" applyFill="1" applyBorder="1" applyAlignment="1">
      <alignment horizontal="center"/>
    </xf>
    <xf numFmtId="0" fontId="34" fillId="2" borderId="0" xfId="0" applyFont="1" applyFill="1" applyAlignment="1">
      <alignment horizontal="center"/>
    </xf>
    <xf numFmtId="168" fontId="1" fillId="2" borderId="0" xfId="0" applyNumberFormat="1" applyFont="1" applyFill="1" applyAlignment="1">
      <alignment horizontal="center"/>
    </xf>
    <xf numFmtId="0" fontId="30" fillId="2" borderId="9" xfId="2" applyFont="1" applyFill="1" applyBorder="1" applyAlignment="1">
      <alignment horizontal="center" vertical="top" wrapText="1"/>
    </xf>
    <xf numFmtId="0" fontId="30" fillId="2" borderId="11" xfId="2" applyFont="1" applyFill="1" applyBorder="1" applyAlignment="1">
      <alignment horizontal="center" vertical="top" wrapText="1"/>
    </xf>
    <xf numFmtId="0" fontId="30" fillId="2" borderId="10" xfId="2" applyFont="1" applyFill="1" applyBorder="1" applyAlignment="1">
      <alignment horizontal="center" vertical="top" wrapText="1"/>
    </xf>
    <xf numFmtId="0" fontId="16" fillId="2" borderId="1" xfId="2" applyFont="1" applyFill="1" applyBorder="1" applyAlignment="1">
      <alignment horizontal="left" vertical="center" wrapText="1"/>
    </xf>
    <xf numFmtId="0" fontId="16" fillId="2" borderId="2" xfId="2" applyFont="1" applyFill="1" applyBorder="1" applyAlignment="1">
      <alignment horizontal="left" vertical="center" wrapText="1"/>
    </xf>
    <xf numFmtId="0" fontId="16" fillId="2" borderId="3" xfId="2" applyFont="1" applyFill="1" applyBorder="1" applyAlignment="1">
      <alignment horizontal="left" vertical="center" wrapText="1"/>
    </xf>
    <xf numFmtId="0" fontId="16" fillId="2" borderId="4" xfId="2" applyFont="1" applyFill="1" applyBorder="1" applyAlignment="1">
      <alignment horizontal="left" vertical="center" wrapText="1"/>
    </xf>
    <xf numFmtId="0" fontId="16" fillId="2" borderId="0" xfId="2" applyFont="1" applyFill="1" applyBorder="1" applyAlignment="1">
      <alignment horizontal="left" vertical="center" wrapText="1"/>
    </xf>
    <xf numFmtId="0" fontId="16" fillId="2" borderId="5" xfId="2" applyFont="1" applyFill="1" applyBorder="1" applyAlignment="1">
      <alignment horizontal="left" vertical="center" wrapText="1"/>
    </xf>
    <xf numFmtId="0" fontId="16" fillId="2" borderId="6" xfId="2" applyFont="1" applyFill="1" applyBorder="1" applyAlignment="1">
      <alignment horizontal="left" vertical="center" wrapText="1"/>
    </xf>
    <xf numFmtId="0" fontId="16" fillId="2" borderId="7" xfId="2" applyFont="1" applyFill="1" applyBorder="1" applyAlignment="1">
      <alignment horizontal="left" vertical="center" wrapText="1"/>
    </xf>
    <xf numFmtId="0" fontId="16" fillId="2" borderId="8" xfId="2" applyFont="1" applyFill="1" applyBorder="1" applyAlignment="1">
      <alignment horizontal="left" vertical="center" wrapText="1"/>
    </xf>
    <xf numFmtId="0" fontId="15" fillId="2" borderId="9" xfId="2" applyFill="1" applyBorder="1" applyAlignment="1">
      <alignment horizontal="center"/>
    </xf>
    <xf numFmtId="0" fontId="15" fillId="2" borderId="11" xfId="2" applyFill="1" applyBorder="1" applyAlignment="1">
      <alignment horizontal="center"/>
    </xf>
    <xf numFmtId="0" fontId="15" fillId="2" borderId="1" xfId="2" applyFill="1" applyBorder="1" applyAlignment="1">
      <alignment horizontal="left" vertical="center" wrapText="1"/>
    </xf>
    <xf numFmtId="0" fontId="15" fillId="2" borderId="2" xfId="2" applyFill="1" applyBorder="1" applyAlignment="1">
      <alignment horizontal="left" vertical="center" wrapText="1"/>
    </xf>
    <xf numFmtId="0" fontId="15" fillId="2" borderId="3" xfId="2" applyFill="1" applyBorder="1" applyAlignment="1">
      <alignment horizontal="left" vertical="center" wrapText="1"/>
    </xf>
    <xf numFmtId="0" fontId="15" fillId="2" borderId="4" xfId="2" applyFill="1" applyBorder="1" applyAlignment="1">
      <alignment horizontal="left" vertical="center" wrapText="1"/>
    </xf>
    <xf numFmtId="0" fontId="15" fillId="2" borderId="0" xfId="2" applyFill="1" applyBorder="1" applyAlignment="1">
      <alignment horizontal="left" vertical="center" wrapText="1"/>
    </xf>
    <xf numFmtId="0" fontId="15" fillId="2" borderId="5" xfId="2" applyFill="1" applyBorder="1" applyAlignment="1">
      <alignment horizontal="left" vertical="center" wrapText="1"/>
    </xf>
    <xf numFmtId="0" fontId="15" fillId="2" borderId="6" xfId="2" applyFill="1" applyBorder="1" applyAlignment="1">
      <alignment horizontal="left" vertical="center" wrapText="1"/>
    </xf>
    <xf numFmtId="0" fontId="15" fillId="2" borderId="7" xfId="2" applyFill="1" applyBorder="1" applyAlignment="1">
      <alignment horizontal="left" vertical="center" wrapText="1"/>
    </xf>
    <xf numFmtId="0" fontId="15" fillId="2" borderId="8" xfId="2" applyFill="1" applyBorder="1" applyAlignment="1">
      <alignment horizontal="left" vertical="center" wrapText="1"/>
    </xf>
    <xf numFmtId="0" fontId="7" fillId="2" borderId="1" xfId="0" applyFont="1" applyFill="1" applyBorder="1" applyAlignment="1">
      <alignment horizontal="left" vertical="center" wrapText="1"/>
    </xf>
    <xf numFmtId="0" fontId="7" fillId="2" borderId="2" xfId="0" applyFont="1" applyFill="1" applyBorder="1" applyAlignment="1">
      <alignment horizontal="left" vertical="center" wrapText="1"/>
    </xf>
    <xf numFmtId="0" fontId="7" fillId="2" borderId="3" xfId="0"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2" borderId="0" xfId="0" applyFont="1" applyFill="1" applyBorder="1" applyAlignment="1">
      <alignment horizontal="left" vertical="center" wrapText="1"/>
    </xf>
    <xf numFmtId="0" fontId="7" fillId="2" borderId="5" xfId="0" applyFont="1" applyFill="1" applyBorder="1" applyAlignment="1">
      <alignment horizontal="left" vertical="center" wrapText="1"/>
    </xf>
    <xf numFmtId="0" fontId="7" fillId="2" borderId="6" xfId="0" applyFont="1" applyFill="1" applyBorder="1" applyAlignment="1">
      <alignment horizontal="left" vertical="center" wrapText="1"/>
    </xf>
    <xf numFmtId="0" fontId="7" fillId="2" borderId="7" xfId="0" applyFont="1" applyFill="1" applyBorder="1" applyAlignment="1">
      <alignment horizontal="left" vertical="center" wrapText="1"/>
    </xf>
    <xf numFmtId="0" fontId="7" fillId="2" borderId="8"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0"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2" borderId="8"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2" borderId="2" xfId="0" applyFont="1" applyFill="1" applyBorder="1" applyAlignment="1">
      <alignment horizontal="left" vertical="center" wrapText="1"/>
    </xf>
    <xf numFmtId="0" fontId="6" fillId="2" borderId="3" xfId="0" applyFont="1" applyFill="1" applyBorder="1" applyAlignment="1">
      <alignment horizontal="left" vertical="center" wrapText="1"/>
    </xf>
    <xf numFmtId="0" fontId="6" fillId="2" borderId="4" xfId="0" applyFont="1" applyFill="1" applyBorder="1" applyAlignment="1">
      <alignment horizontal="left" vertical="center" wrapText="1"/>
    </xf>
    <xf numFmtId="0" fontId="6" fillId="2" borderId="0" xfId="0" applyFont="1" applyFill="1" applyBorder="1" applyAlignment="1">
      <alignment horizontal="left" vertical="center" wrapText="1"/>
    </xf>
    <xf numFmtId="0" fontId="6" fillId="2" borderId="5" xfId="0" applyFont="1" applyFill="1" applyBorder="1" applyAlignment="1">
      <alignment horizontal="left" vertical="center" wrapText="1"/>
    </xf>
    <xf numFmtId="0" fontId="6" fillId="2" borderId="6" xfId="0" applyFont="1" applyFill="1" applyBorder="1" applyAlignment="1">
      <alignment horizontal="left" vertical="center" wrapText="1"/>
    </xf>
    <xf numFmtId="0" fontId="6" fillId="2" borderId="7" xfId="0" applyFont="1" applyFill="1" applyBorder="1" applyAlignment="1">
      <alignment horizontal="left" vertical="center" wrapText="1"/>
    </xf>
    <xf numFmtId="0" fontId="6" fillId="2" borderId="8" xfId="0" applyFont="1" applyFill="1" applyBorder="1" applyAlignment="1">
      <alignment horizontal="left" vertical="center" wrapText="1"/>
    </xf>
    <xf numFmtId="0" fontId="5" fillId="2" borderId="1" xfId="2" applyFont="1" applyFill="1" applyBorder="1" applyAlignment="1">
      <alignment horizontal="left" vertical="center" wrapText="1"/>
    </xf>
    <xf numFmtId="0" fontId="5" fillId="2" borderId="2" xfId="2" applyFont="1" applyFill="1" applyBorder="1" applyAlignment="1">
      <alignment horizontal="left" vertical="center" wrapText="1"/>
    </xf>
    <xf numFmtId="0" fontId="5" fillId="2" borderId="3" xfId="2" applyFont="1" applyFill="1" applyBorder="1" applyAlignment="1">
      <alignment horizontal="left" vertical="center" wrapText="1"/>
    </xf>
    <xf numFmtId="0" fontId="5" fillId="2" borderId="4" xfId="2" applyFont="1" applyFill="1" applyBorder="1" applyAlignment="1">
      <alignment horizontal="left" vertical="center" wrapText="1"/>
    </xf>
    <xf numFmtId="0" fontId="5" fillId="2" borderId="0" xfId="2" applyFont="1" applyFill="1" applyBorder="1" applyAlignment="1">
      <alignment horizontal="left" vertical="center" wrapText="1"/>
    </xf>
    <xf numFmtId="0" fontId="5" fillId="2" borderId="5" xfId="2" applyFont="1" applyFill="1" applyBorder="1" applyAlignment="1">
      <alignment horizontal="left" vertical="center" wrapText="1"/>
    </xf>
    <xf numFmtId="0" fontId="5" fillId="2" borderId="6" xfId="2" applyFont="1" applyFill="1" applyBorder="1" applyAlignment="1">
      <alignment horizontal="left" vertical="center" wrapText="1"/>
    </xf>
    <xf numFmtId="0" fontId="5" fillId="2" borderId="7" xfId="2" applyFont="1" applyFill="1" applyBorder="1" applyAlignment="1">
      <alignment horizontal="left" vertical="center" wrapText="1"/>
    </xf>
    <xf numFmtId="0" fontId="5" fillId="2" borderId="8" xfId="2" applyFont="1" applyFill="1" applyBorder="1" applyAlignment="1">
      <alignment horizontal="left" vertical="center" wrapText="1"/>
    </xf>
    <xf numFmtId="0" fontId="6" fillId="2" borderId="1" xfId="2" applyFont="1" applyFill="1" applyBorder="1" applyAlignment="1">
      <alignment horizontal="left" vertical="center" wrapText="1"/>
    </xf>
    <xf numFmtId="0" fontId="6" fillId="2" borderId="2" xfId="2" applyFont="1" applyFill="1" applyBorder="1" applyAlignment="1">
      <alignment horizontal="left" vertical="center" wrapText="1"/>
    </xf>
    <xf numFmtId="0" fontId="6" fillId="2" borderId="3" xfId="2" applyFont="1" applyFill="1" applyBorder="1" applyAlignment="1">
      <alignment horizontal="left" vertical="center" wrapText="1"/>
    </xf>
    <xf numFmtId="0" fontId="6" fillId="2" borderId="4" xfId="2" applyFont="1" applyFill="1" applyBorder="1" applyAlignment="1">
      <alignment horizontal="left" vertical="center" wrapText="1"/>
    </xf>
    <xf numFmtId="0" fontId="6" fillId="2" borderId="0" xfId="2" applyFont="1" applyFill="1" applyBorder="1" applyAlignment="1">
      <alignment horizontal="left" vertical="center" wrapText="1"/>
    </xf>
    <xf numFmtId="0" fontId="6" fillId="2" borderId="5" xfId="2" applyFont="1" applyFill="1" applyBorder="1" applyAlignment="1">
      <alignment horizontal="left" vertical="center" wrapText="1"/>
    </xf>
    <xf numFmtId="0" fontId="6" fillId="2" borderId="6" xfId="2" applyFont="1" applyFill="1" applyBorder="1" applyAlignment="1">
      <alignment horizontal="left" vertical="center" wrapText="1"/>
    </xf>
    <xf numFmtId="0" fontId="6" fillId="2" borderId="7" xfId="2" applyFont="1" applyFill="1" applyBorder="1" applyAlignment="1">
      <alignment horizontal="left" vertical="center" wrapText="1"/>
    </xf>
    <xf numFmtId="0" fontId="6" fillId="2" borderId="8" xfId="2"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2" borderId="7" xfId="0" applyFont="1" applyFill="1" applyBorder="1" applyAlignment="1">
      <alignment horizontal="left" vertical="center" wrapText="1"/>
    </xf>
    <xf numFmtId="0" fontId="2" fillId="2" borderId="8" xfId="0" applyFont="1" applyFill="1" applyBorder="1" applyAlignment="1">
      <alignment horizontal="left"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0" xfId="0" applyFill="1" applyBorder="1" applyAlignment="1">
      <alignment horizontal="left"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15" fillId="2" borderId="1" xfId="2" applyFont="1" applyFill="1" applyBorder="1" applyAlignment="1">
      <alignment horizontal="left" vertical="center" wrapText="1"/>
    </xf>
    <xf numFmtId="0" fontId="15" fillId="2" borderId="2" xfId="2" applyFont="1" applyFill="1" applyBorder="1" applyAlignment="1">
      <alignment horizontal="left" vertical="center" wrapText="1"/>
    </xf>
    <xf numFmtId="0" fontId="15" fillId="2" borderId="3" xfId="2" applyFont="1" applyFill="1" applyBorder="1" applyAlignment="1">
      <alignment horizontal="left" vertical="center" wrapText="1"/>
    </xf>
    <xf numFmtId="0" fontId="15" fillId="2" borderId="4" xfId="2" applyFont="1" applyFill="1" applyBorder="1" applyAlignment="1">
      <alignment horizontal="left" vertical="center" wrapText="1"/>
    </xf>
    <xf numFmtId="0" fontId="15" fillId="2" borderId="0" xfId="2" applyFont="1" applyFill="1" applyBorder="1" applyAlignment="1">
      <alignment horizontal="left" vertical="center" wrapText="1"/>
    </xf>
    <xf numFmtId="0" fontId="15" fillId="2" borderId="5" xfId="2" applyFont="1" applyFill="1" applyBorder="1" applyAlignment="1">
      <alignment horizontal="left" vertical="center" wrapText="1"/>
    </xf>
    <xf numFmtId="0" fontId="15" fillId="2" borderId="6" xfId="2" applyFont="1" applyFill="1" applyBorder="1" applyAlignment="1">
      <alignment horizontal="left" vertical="center" wrapText="1"/>
    </xf>
    <xf numFmtId="0" fontId="15" fillId="2" borderId="7" xfId="2" applyFont="1" applyFill="1" applyBorder="1" applyAlignment="1">
      <alignment horizontal="left" vertical="center" wrapText="1"/>
    </xf>
    <xf numFmtId="0" fontId="15" fillId="2" borderId="8" xfId="2" applyFont="1" applyFill="1" applyBorder="1" applyAlignment="1">
      <alignment horizontal="left" vertical="center" wrapText="1"/>
    </xf>
    <xf numFmtId="0" fontId="0" fillId="2" borderId="6" xfId="0" applyFill="1" applyBorder="1" applyAlignment="1">
      <alignment horizontal="left"/>
    </xf>
    <xf numFmtId="0" fontId="0" fillId="2" borderId="7" xfId="0" applyFill="1" applyBorder="1" applyAlignment="1">
      <alignment horizontal="left"/>
    </xf>
    <xf numFmtId="0" fontId="0" fillId="2" borderId="8" xfId="0" applyFill="1" applyBorder="1" applyAlignment="1">
      <alignment horizontal="left"/>
    </xf>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2" borderId="27" xfId="0" applyFill="1" applyBorder="1" applyAlignment="1">
      <alignment horizontal="center" vertical="center" wrapText="1"/>
    </xf>
    <xf numFmtId="0" fontId="0" fillId="2" borderId="28" xfId="0" applyFill="1" applyBorder="1" applyAlignment="1">
      <alignment horizontal="center" vertical="center" wrapText="1"/>
    </xf>
    <xf numFmtId="0" fontId="0" fillId="2" borderId="29" xfId="0" applyFill="1" applyBorder="1" applyAlignment="1">
      <alignment horizontal="center" vertical="center" wrapText="1"/>
    </xf>
    <xf numFmtId="0" fontId="0" fillId="2" borderId="9" xfId="0" applyFill="1" applyBorder="1" applyAlignment="1">
      <alignment horizontal="left"/>
    </xf>
    <xf numFmtId="0" fontId="0" fillId="2" borderId="10" xfId="0" applyFill="1" applyBorder="1" applyAlignment="1">
      <alignment horizontal="left"/>
    </xf>
    <xf numFmtId="0" fontId="0" fillId="2" borderId="11" xfId="0" applyFill="1" applyBorder="1" applyAlignment="1">
      <alignment horizontal="left"/>
    </xf>
    <xf numFmtId="0" fontId="12" fillId="2" borderId="27" xfId="0" applyFont="1" applyFill="1" applyBorder="1" applyAlignment="1">
      <alignment horizontal="center" vertical="center" wrapText="1"/>
    </xf>
    <xf numFmtId="0" fontId="12" fillId="2" borderId="28" xfId="0" applyFont="1" applyFill="1" applyBorder="1" applyAlignment="1">
      <alignment horizontal="center" vertical="center" wrapText="1"/>
    </xf>
    <xf numFmtId="0" fontId="12" fillId="2" borderId="29"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8" xfId="0" applyFill="1" applyBorder="1" applyAlignment="1">
      <alignment horizontal="center" vertical="center" wrapText="1"/>
    </xf>
    <xf numFmtId="0" fontId="0" fillId="2" borderId="2" xfId="0" applyFill="1" applyBorder="1" applyAlignment="1">
      <alignment horizontal="center" vertical="center" wrapText="1"/>
    </xf>
    <xf numFmtId="0" fontId="0" fillId="2" borderId="0" xfId="0" applyFill="1" applyBorder="1" applyAlignment="1">
      <alignment horizontal="center" vertical="center" wrapText="1"/>
    </xf>
    <xf numFmtId="0" fontId="0" fillId="2" borderId="7" xfId="0" applyFill="1" applyBorder="1" applyAlignment="1">
      <alignment horizontal="center" vertical="center" wrapText="1"/>
    </xf>
    <xf numFmtId="0" fontId="0" fillId="2" borderId="0" xfId="0" applyFill="1" applyAlignment="1">
      <alignment horizontal="center" vertical="center"/>
    </xf>
    <xf numFmtId="0" fontId="17" fillId="2" borderId="1" xfId="2" applyFont="1" applyFill="1" applyBorder="1" applyAlignment="1">
      <alignment horizontal="left" vertical="center" wrapText="1"/>
    </xf>
    <xf numFmtId="0" fontId="17" fillId="2" borderId="2" xfId="2" applyFont="1" applyFill="1" applyBorder="1" applyAlignment="1">
      <alignment horizontal="left" vertical="center" wrapText="1"/>
    </xf>
    <xf numFmtId="0" fontId="17" fillId="2" borderId="3" xfId="2" applyFont="1" applyFill="1" applyBorder="1" applyAlignment="1">
      <alignment horizontal="left" vertical="center" wrapText="1"/>
    </xf>
    <xf numFmtId="0" fontId="17" fillId="2" borderId="4" xfId="2" applyFont="1" applyFill="1" applyBorder="1" applyAlignment="1">
      <alignment horizontal="left" vertical="center" wrapText="1"/>
    </xf>
    <xf numFmtId="0" fontId="17" fillId="2" borderId="0" xfId="2" applyFont="1" applyFill="1" applyBorder="1" applyAlignment="1">
      <alignment horizontal="left" vertical="center" wrapText="1"/>
    </xf>
    <xf numFmtId="0" fontId="17" fillId="2" borderId="5" xfId="2" applyFont="1" applyFill="1" applyBorder="1" applyAlignment="1">
      <alignment horizontal="left" vertical="center" wrapText="1"/>
    </xf>
    <xf numFmtId="0" fontId="17" fillId="2" borderId="6" xfId="2" applyFont="1" applyFill="1" applyBorder="1" applyAlignment="1">
      <alignment horizontal="left" vertical="center" wrapText="1"/>
    </xf>
    <xf numFmtId="0" fontId="17" fillId="2" borderId="7" xfId="2" applyFont="1" applyFill="1" applyBorder="1" applyAlignment="1">
      <alignment horizontal="left" vertical="center" wrapText="1"/>
    </xf>
    <xf numFmtId="0" fontId="17" fillId="2" borderId="8" xfId="2" applyFont="1" applyFill="1" applyBorder="1" applyAlignment="1">
      <alignment horizontal="left" vertical="center" wrapText="1"/>
    </xf>
    <xf numFmtId="0" fontId="29" fillId="2" borderId="0" xfId="2" applyFont="1" applyFill="1" applyAlignment="1">
      <alignment horizontal="center"/>
    </xf>
    <xf numFmtId="0" fontId="29" fillId="2" borderId="0" xfId="2" applyFont="1" applyFill="1" applyAlignment="1">
      <alignment horizontal="center" vertical="center" wrapText="1"/>
    </xf>
    <xf numFmtId="0" fontId="16" fillId="2" borderId="27" xfId="2" applyFont="1" applyFill="1" applyBorder="1" applyAlignment="1">
      <alignment horizontal="center" vertical="center"/>
    </xf>
    <xf numFmtId="0" fontId="16" fillId="2" borderId="28" xfId="2" applyFont="1" applyFill="1" applyBorder="1" applyAlignment="1">
      <alignment horizontal="center" vertical="center"/>
    </xf>
    <xf numFmtId="0" fontId="16" fillId="2" borderId="29" xfId="2" applyFont="1" applyFill="1" applyBorder="1" applyAlignment="1">
      <alignment horizontal="center" vertical="center"/>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15" fillId="2" borderId="1" xfId="2" applyFont="1" applyFill="1" applyBorder="1" applyAlignment="1"/>
    <xf numFmtId="0" fontId="15" fillId="2" borderId="2" xfId="2" applyFont="1" applyFill="1" applyBorder="1" applyAlignment="1"/>
    <xf numFmtId="0" fontId="15" fillId="2" borderId="3" xfId="2" applyFont="1" applyFill="1" applyBorder="1" applyAlignment="1"/>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9" xfId="0" applyFont="1" applyFill="1" applyBorder="1" applyAlignment="1">
      <alignment horizontal="center" vertical="center"/>
    </xf>
    <xf numFmtId="0" fontId="1" fillId="8" borderId="14" xfId="0" applyFont="1" applyFill="1" applyBorder="1" applyAlignment="1">
      <alignment horizontal="center"/>
    </xf>
    <xf numFmtId="0" fontId="1" fillId="6" borderId="14" xfId="0" applyFont="1" applyFill="1" applyBorder="1" applyAlignment="1">
      <alignment horizontal="center"/>
    </xf>
    <xf numFmtId="0" fontId="1" fillId="7" borderId="14" xfId="0" applyFont="1" applyFill="1" applyBorder="1" applyAlignment="1">
      <alignment horizontal="center"/>
    </xf>
  </cellXfs>
  <cellStyles count="3">
    <cellStyle name="Normal" xfId="0" builtinId="0"/>
    <cellStyle name="Normal 2" xfId="2"/>
    <cellStyle name="Porcentaje" xfId="1" builtinId="5"/>
  </cellStyles>
  <dxfs count="10">
    <dxf>
      <fill>
        <patternFill>
          <bgColor theme="0"/>
        </patternFill>
      </fill>
    </dxf>
    <dxf>
      <fill>
        <patternFill patternType="solid">
          <bgColor indexed="22"/>
        </patternFill>
      </fill>
    </dxf>
    <dxf>
      <fill>
        <patternFill patternType="solid">
          <bgColor indexed="22"/>
        </patternFill>
      </fill>
    </dxf>
    <dxf>
      <font>
        <b/>
      </font>
    </dxf>
    <dxf>
      <font>
        <b/>
      </font>
    </dxf>
    <dxf>
      <fill>
        <patternFill>
          <bgColor theme="0"/>
        </patternFill>
      </fill>
    </dxf>
    <dxf>
      <fill>
        <patternFill patternType="solid">
          <bgColor indexed="22"/>
        </patternFill>
      </fill>
    </dxf>
    <dxf>
      <fill>
        <patternFill patternType="solid">
          <bgColor indexed="22"/>
        </patternFill>
      </fill>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ES"/>
              <a:t>Histograma</a:t>
            </a:r>
          </a:p>
        </c:rich>
      </c:tx>
      <c:layout>
        <c:manualLayout>
          <c:xMode val="edge"/>
          <c:yMode val="edge"/>
          <c:x val="0.40412371134020619"/>
          <c:y val="3.3163265306122451E-2"/>
        </c:manualLayout>
      </c:layout>
      <c:overlay val="0"/>
      <c:spPr>
        <a:noFill/>
        <a:ln w="25400">
          <a:noFill/>
        </a:ln>
      </c:spPr>
    </c:title>
    <c:autoTitleDeleted val="0"/>
    <c:plotArea>
      <c:layout>
        <c:manualLayout>
          <c:layoutTarget val="inner"/>
          <c:xMode val="edge"/>
          <c:yMode val="edge"/>
          <c:x val="0.11958762886597939"/>
          <c:y val="0.17857142857142858"/>
          <c:w val="0.66804123711340202"/>
          <c:h val="0.64540816326530615"/>
        </c:manualLayout>
      </c:layout>
      <c:barChart>
        <c:barDir val="col"/>
        <c:grouping val="clustered"/>
        <c:varyColors val="0"/>
        <c:ser>
          <c:idx val="0"/>
          <c:order val="0"/>
          <c:tx>
            <c:v>Frecuencia</c:v>
          </c:tx>
          <c:spPr>
            <a:solidFill>
              <a:srgbClr val="9999FF"/>
            </a:solidFill>
            <a:ln w="12700">
              <a:solidFill>
                <a:srgbClr val="000000"/>
              </a:solidFill>
              <a:prstDash val="solid"/>
            </a:ln>
          </c:spPr>
          <c:invertIfNegative val="0"/>
          <c:cat>
            <c:numLit>
              <c:formatCode>General</c:formatCode>
              <c:ptCount val="5"/>
              <c:pt idx="0">
                <c:v>18</c:v>
              </c:pt>
              <c:pt idx="1">
                <c:v>19</c:v>
              </c:pt>
              <c:pt idx="2">
                <c:v>20</c:v>
              </c:pt>
              <c:pt idx="3">
                <c:v>21</c:v>
              </c:pt>
              <c:pt idx="4">
                <c:v>22</c:v>
              </c:pt>
            </c:numLit>
          </c:cat>
          <c:val>
            <c:numLit>
              <c:formatCode>General</c:formatCode>
              <c:ptCount val="5"/>
              <c:pt idx="0">
                <c:v>5</c:v>
              </c:pt>
              <c:pt idx="1">
                <c:v>3</c:v>
              </c:pt>
              <c:pt idx="2">
                <c:v>7</c:v>
              </c:pt>
              <c:pt idx="3">
                <c:v>4</c:v>
              </c:pt>
              <c:pt idx="4">
                <c:v>1</c:v>
              </c:pt>
            </c:numLit>
          </c:val>
        </c:ser>
        <c:dLbls>
          <c:showLegendKey val="0"/>
          <c:showVal val="0"/>
          <c:showCatName val="0"/>
          <c:showSerName val="0"/>
          <c:showPercent val="0"/>
          <c:showBubbleSize val="0"/>
        </c:dLbls>
        <c:gapWidth val="150"/>
        <c:axId val="133192704"/>
        <c:axId val="131988800"/>
      </c:barChart>
      <c:catAx>
        <c:axId val="13319270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s-ES"/>
                  <a:t>Valores X</a:t>
                </a:r>
              </a:p>
            </c:rich>
          </c:tx>
          <c:layout>
            <c:manualLayout>
              <c:xMode val="edge"/>
              <c:yMode val="edge"/>
              <c:x val="0.38762886597938145"/>
              <c:y val="0.90306122448979587"/>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ES"/>
          </a:p>
        </c:txPr>
        <c:crossAx val="131988800"/>
        <c:crosses val="autoZero"/>
        <c:auto val="1"/>
        <c:lblAlgn val="ctr"/>
        <c:lblOffset val="100"/>
        <c:tickLblSkip val="1"/>
        <c:tickMarkSkip val="1"/>
        <c:noMultiLvlLbl val="0"/>
      </c:catAx>
      <c:valAx>
        <c:axId val="131988800"/>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s-ES"/>
                  <a:t>Frecuencia</a:t>
                </a:r>
              </a:p>
            </c:rich>
          </c:tx>
          <c:layout>
            <c:manualLayout>
              <c:xMode val="edge"/>
              <c:yMode val="edge"/>
              <c:x val="3.2989690721649485E-2"/>
              <c:y val="0.40561224489795916"/>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ES"/>
          </a:p>
        </c:txPr>
        <c:crossAx val="133192704"/>
        <c:crosses val="autoZero"/>
        <c:crossBetween val="between"/>
      </c:valAx>
      <c:spPr>
        <a:solidFill>
          <a:srgbClr val="C0C0C0"/>
        </a:solidFill>
        <a:ln w="12700">
          <a:solidFill>
            <a:srgbClr val="808080"/>
          </a:solidFill>
          <a:prstDash val="solid"/>
        </a:ln>
      </c:spPr>
    </c:plotArea>
    <c:legend>
      <c:legendPos val="r"/>
      <c:layout>
        <c:manualLayout>
          <c:xMode val="edge"/>
          <c:yMode val="edge"/>
          <c:x val="0.81030927835051547"/>
          <c:y val="0.47448979591836737"/>
          <c:w val="0.17319587628865979"/>
          <c:h val="5.6122448979591837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s-ES"/>
              <a:t>PERIODO Curva de regresión ajustada</a:t>
            </a:r>
          </a:p>
        </c:rich>
      </c:tx>
      <c:layout>
        <c:manualLayout>
          <c:xMode val="edge"/>
          <c:yMode val="edge"/>
          <c:x val="0.19889502762430938"/>
          <c:y val="3.6900435490002832E-2"/>
        </c:manualLayout>
      </c:layout>
      <c:overlay val="0"/>
      <c:spPr>
        <a:noFill/>
        <a:ln w="25400">
          <a:noFill/>
        </a:ln>
      </c:spPr>
    </c:title>
    <c:autoTitleDeleted val="0"/>
    <c:plotArea>
      <c:layout>
        <c:manualLayout>
          <c:layoutTarget val="inner"/>
          <c:xMode val="edge"/>
          <c:yMode val="edge"/>
          <c:x val="0.16298342541436464"/>
          <c:y val="0.21033248229301613"/>
          <c:w val="0.56353591160220995"/>
          <c:h val="0.5571965758990427"/>
        </c:manualLayout>
      </c:layout>
      <c:scatterChart>
        <c:scatterStyle val="lineMarker"/>
        <c:varyColors val="0"/>
        <c:ser>
          <c:idx val="0"/>
          <c:order val="0"/>
          <c:tx>
            <c:v>SERVICIOS</c:v>
          </c:tx>
          <c:spPr>
            <a:ln w="28575">
              <a:noFill/>
            </a:ln>
          </c:spPr>
          <c:marker>
            <c:symbol val="diamond"/>
            <c:size val="5"/>
            <c:spPr>
              <a:solidFill>
                <a:srgbClr val="000080"/>
              </a:solidFill>
              <a:ln>
                <a:solidFill>
                  <a:srgbClr val="000080"/>
                </a:solidFill>
                <a:prstDash val="solid"/>
              </a:ln>
            </c:spPr>
          </c:marker>
          <c:xVal>
            <c:numRef>
              <c:f>'Regresión Cuadrática Soluc.'!$B$16:$B$36</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xVal>
          <c:yVal>
            <c:numRef>
              <c:f>'Correlaciones y Covarianzas Sol'!#¡REF!</c:f>
              <c:numCache>
                <c:formatCode>General</c:formatCode>
                <c:ptCount val="1"/>
                <c:pt idx="0">
                  <c:v>1</c:v>
                </c:pt>
              </c:numCache>
            </c:numRef>
          </c:yVal>
          <c:smooth val="0"/>
        </c:ser>
        <c:ser>
          <c:idx val="1"/>
          <c:order val="1"/>
          <c:tx>
            <c:v>Pronóstico SERVICIOS</c:v>
          </c:tx>
          <c:spPr>
            <a:ln w="28575">
              <a:noFill/>
            </a:ln>
          </c:spPr>
          <c:marker>
            <c:symbol val="square"/>
            <c:size val="5"/>
            <c:spPr>
              <a:solidFill>
                <a:srgbClr val="FF00FF"/>
              </a:solidFill>
              <a:ln>
                <a:solidFill>
                  <a:srgbClr val="FF00FF"/>
                </a:solidFill>
                <a:prstDash val="solid"/>
              </a:ln>
            </c:spPr>
          </c:marker>
          <c:xVal>
            <c:numRef>
              <c:f>'Regresión Cuadrática Soluc.'!$B$16:$B$36</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xVal>
          <c:yVal>
            <c:numRef>
              <c:f>'Regresión Cuadrática Soluc.'!$K$41:$K$61</c:f>
              <c:numCache>
                <c:formatCode>General</c:formatCode>
                <c:ptCount val="21"/>
                <c:pt idx="0">
                  <c:v>47.431341991341945</c:v>
                </c:pt>
                <c:pt idx="1">
                  <c:v>48.22001731601727</c:v>
                </c:pt>
                <c:pt idx="2">
                  <c:v>49.008692640692601</c:v>
                </c:pt>
                <c:pt idx="3">
                  <c:v>49.797367965367926</c:v>
                </c:pt>
                <c:pt idx="4">
                  <c:v>50.586043290043257</c:v>
                </c:pt>
                <c:pt idx="5">
                  <c:v>51.374718614718589</c:v>
                </c:pt>
                <c:pt idx="6">
                  <c:v>52.163393939393913</c:v>
                </c:pt>
                <c:pt idx="7">
                  <c:v>52.952069264069245</c:v>
                </c:pt>
                <c:pt idx="8">
                  <c:v>53.740744588744569</c:v>
                </c:pt>
                <c:pt idx="9">
                  <c:v>54.5294199134199</c:v>
                </c:pt>
                <c:pt idx="10">
                  <c:v>55.318095238095225</c:v>
                </c:pt>
                <c:pt idx="11">
                  <c:v>56.106770562770556</c:v>
                </c:pt>
                <c:pt idx="12">
                  <c:v>56.895445887445888</c:v>
                </c:pt>
                <c:pt idx="13">
                  <c:v>57.684121212121212</c:v>
                </c:pt>
                <c:pt idx="14">
                  <c:v>58.472796536796544</c:v>
                </c:pt>
                <c:pt idx="15">
                  <c:v>59.261471861471868</c:v>
                </c:pt>
                <c:pt idx="16">
                  <c:v>60.0501471861472</c:v>
                </c:pt>
                <c:pt idx="17">
                  <c:v>60.838822510822524</c:v>
                </c:pt>
                <c:pt idx="18">
                  <c:v>61.627497835497856</c:v>
                </c:pt>
                <c:pt idx="19">
                  <c:v>62.416173160173187</c:v>
                </c:pt>
                <c:pt idx="20">
                  <c:v>63.204848484848512</c:v>
                </c:pt>
              </c:numCache>
            </c:numRef>
          </c:yVal>
          <c:smooth val="0"/>
        </c:ser>
        <c:dLbls>
          <c:showLegendKey val="0"/>
          <c:showVal val="0"/>
          <c:showCatName val="0"/>
          <c:showSerName val="0"/>
          <c:showPercent val="0"/>
          <c:showBubbleSize val="0"/>
        </c:dLbls>
        <c:axId val="227544448"/>
        <c:axId val="227545024"/>
      </c:scatterChart>
      <c:valAx>
        <c:axId val="22754444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s-ES"/>
                  <a:t>PERIODO</a:t>
                </a:r>
              </a:p>
            </c:rich>
          </c:tx>
          <c:layout>
            <c:manualLayout>
              <c:xMode val="edge"/>
              <c:yMode val="edge"/>
              <c:x val="0.37569060773480661"/>
              <c:y val="0.8671602340150664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ES"/>
          </a:p>
        </c:txPr>
        <c:crossAx val="227545024"/>
        <c:crosses val="autoZero"/>
        <c:crossBetween val="midCat"/>
      </c:valAx>
      <c:valAx>
        <c:axId val="227545024"/>
        <c:scaling>
          <c:orientation val="minMax"/>
          <c:min val="40"/>
        </c:scaling>
        <c:delete val="0"/>
        <c:axPos val="l"/>
        <c:title>
          <c:tx>
            <c:rich>
              <a:bodyPr/>
              <a:lstStyle/>
              <a:p>
                <a:pPr>
                  <a:defRPr sz="800" b="1" i="0" u="none" strike="noStrike" baseline="0">
                    <a:solidFill>
                      <a:srgbClr val="000000"/>
                    </a:solidFill>
                    <a:latin typeface="Arial"/>
                    <a:ea typeface="Arial"/>
                    <a:cs typeface="Arial"/>
                  </a:defRPr>
                </a:pPr>
                <a:r>
                  <a:rPr lang="es-ES"/>
                  <a:t>SERVICIOS</a:t>
                </a:r>
              </a:p>
            </c:rich>
          </c:tx>
          <c:layout>
            <c:manualLayout>
              <c:xMode val="edge"/>
              <c:yMode val="edge"/>
              <c:x val="4.4198895027624308E-2"/>
              <c:y val="0.37638444199802884"/>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ES"/>
          </a:p>
        </c:txPr>
        <c:crossAx val="227544448"/>
        <c:crosses val="autoZero"/>
        <c:crossBetween val="midCat"/>
      </c:valAx>
      <c:spPr>
        <a:solidFill>
          <a:srgbClr val="C0C0C0"/>
        </a:solidFill>
        <a:ln w="12700">
          <a:solidFill>
            <a:srgbClr val="808080"/>
          </a:solidFill>
          <a:prstDash val="solid"/>
        </a:ln>
      </c:spPr>
    </c:plotArea>
    <c:legend>
      <c:legendPos val="r"/>
      <c:layout>
        <c:manualLayout>
          <c:xMode val="edge"/>
          <c:yMode val="edge"/>
          <c:x val="0.77900552486187846"/>
          <c:y val="0.36531431135102799"/>
          <c:w val="0.19889502762430938"/>
          <c:h val="0.2472329177830189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s-ES"/>
              <a:t>Gráfico de probabilidad normal</a:t>
            </a:r>
          </a:p>
        </c:rich>
      </c:tx>
      <c:layout>
        <c:manualLayout>
          <c:xMode val="edge"/>
          <c:yMode val="edge"/>
          <c:x val="0.23907455012853471"/>
          <c:y val="4.8485135447061123E-2"/>
        </c:manualLayout>
      </c:layout>
      <c:overlay val="0"/>
      <c:spPr>
        <a:noFill/>
        <a:ln w="25400">
          <a:noFill/>
        </a:ln>
      </c:spPr>
    </c:title>
    <c:autoTitleDeleted val="0"/>
    <c:plotArea>
      <c:layout>
        <c:manualLayout>
          <c:layoutTarget val="inner"/>
          <c:xMode val="edge"/>
          <c:yMode val="edge"/>
          <c:x val="0.15167095115681234"/>
          <c:y val="0.32727466426766255"/>
          <c:w val="0.78406169665809766"/>
          <c:h val="0.29091081268236674"/>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xVal>
            <c:numRef>
              <c:f>'Regresión Cuadrática Soluc.'!$O$41:$O$61</c:f>
              <c:numCache>
                <c:formatCode>General</c:formatCode>
                <c:ptCount val="21"/>
                <c:pt idx="0">
                  <c:v>2.3809523809523809</c:v>
                </c:pt>
                <c:pt idx="1">
                  <c:v>7.1428571428571423</c:v>
                </c:pt>
                <c:pt idx="2">
                  <c:v>11.904761904761905</c:v>
                </c:pt>
                <c:pt idx="3">
                  <c:v>16.666666666666664</c:v>
                </c:pt>
                <c:pt idx="4">
                  <c:v>21.428571428571427</c:v>
                </c:pt>
                <c:pt idx="5">
                  <c:v>26.19047619047619</c:v>
                </c:pt>
                <c:pt idx="6">
                  <c:v>30.952380952380949</c:v>
                </c:pt>
                <c:pt idx="7">
                  <c:v>35.714285714285715</c:v>
                </c:pt>
                <c:pt idx="8">
                  <c:v>40.476190476190474</c:v>
                </c:pt>
                <c:pt idx="9">
                  <c:v>45.238095238095234</c:v>
                </c:pt>
                <c:pt idx="10">
                  <c:v>50</c:v>
                </c:pt>
                <c:pt idx="11">
                  <c:v>54.761904761904759</c:v>
                </c:pt>
                <c:pt idx="12">
                  <c:v>59.523809523809518</c:v>
                </c:pt>
                <c:pt idx="13">
                  <c:v>64.285714285714292</c:v>
                </c:pt>
                <c:pt idx="14">
                  <c:v>69.047619047619051</c:v>
                </c:pt>
                <c:pt idx="15">
                  <c:v>73.80952380952381</c:v>
                </c:pt>
                <c:pt idx="16">
                  <c:v>78.571428571428569</c:v>
                </c:pt>
                <c:pt idx="17">
                  <c:v>83.333333333333329</c:v>
                </c:pt>
                <c:pt idx="18">
                  <c:v>88.095238095238088</c:v>
                </c:pt>
                <c:pt idx="19">
                  <c:v>92.857142857142861</c:v>
                </c:pt>
                <c:pt idx="20">
                  <c:v>97.61904761904762</c:v>
                </c:pt>
              </c:numCache>
            </c:numRef>
          </c:xVal>
          <c:yVal>
            <c:numRef>
              <c:f>'Regresión Cuadrática Soluc.'!$P$41:$P$61</c:f>
              <c:numCache>
                <c:formatCode>General</c:formatCode>
                <c:ptCount val="21"/>
                <c:pt idx="0">
                  <c:v>47.23</c:v>
                </c:pt>
                <c:pt idx="1">
                  <c:v>48</c:v>
                </c:pt>
                <c:pt idx="2">
                  <c:v>48.01</c:v>
                </c:pt>
                <c:pt idx="3">
                  <c:v>48.06</c:v>
                </c:pt>
                <c:pt idx="4">
                  <c:v>48.99</c:v>
                </c:pt>
                <c:pt idx="5">
                  <c:v>50.71</c:v>
                </c:pt>
                <c:pt idx="6">
                  <c:v>51.85</c:v>
                </c:pt>
                <c:pt idx="7">
                  <c:v>53.06</c:v>
                </c:pt>
                <c:pt idx="8">
                  <c:v>54.25</c:v>
                </c:pt>
                <c:pt idx="9">
                  <c:v>55.62</c:v>
                </c:pt>
                <c:pt idx="10">
                  <c:v>57.04</c:v>
                </c:pt>
                <c:pt idx="11">
                  <c:v>58.61</c:v>
                </c:pt>
                <c:pt idx="12">
                  <c:v>58.79</c:v>
                </c:pt>
                <c:pt idx="13">
                  <c:v>59.24</c:v>
                </c:pt>
                <c:pt idx="14">
                  <c:v>59.43</c:v>
                </c:pt>
                <c:pt idx="15">
                  <c:v>59.68</c:v>
                </c:pt>
                <c:pt idx="16">
                  <c:v>59.81</c:v>
                </c:pt>
                <c:pt idx="17">
                  <c:v>59.96</c:v>
                </c:pt>
                <c:pt idx="18">
                  <c:v>60.43</c:v>
                </c:pt>
                <c:pt idx="19">
                  <c:v>61.09</c:v>
                </c:pt>
                <c:pt idx="20">
                  <c:v>61.82</c:v>
                </c:pt>
              </c:numCache>
            </c:numRef>
          </c:yVal>
          <c:smooth val="0"/>
        </c:ser>
        <c:dLbls>
          <c:showLegendKey val="0"/>
          <c:showVal val="0"/>
          <c:showCatName val="0"/>
          <c:showSerName val="0"/>
          <c:showPercent val="0"/>
          <c:showBubbleSize val="0"/>
        </c:dLbls>
        <c:axId val="227546752"/>
        <c:axId val="227547328"/>
      </c:scatterChart>
      <c:valAx>
        <c:axId val="227546752"/>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s-ES"/>
                  <a:t>Muestra percentil</a:t>
                </a:r>
              </a:p>
            </c:rich>
          </c:tx>
          <c:layout>
            <c:manualLayout>
              <c:xMode val="edge"/>
              <c:yMode val="edge"/>
              <c:x val="0.41131105398457585"/>
              <c:y val="0.78182280908386059"/>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ES"/>
          </a:p>
        </c:txPr>
        <c:crossAx val="227547328"/>
        <c:crosses val="autoZero"/>
        <c:crossBetween val="midCat"/>
      </c:valAx>
      <c:valAx>
        <c:axId val="227547328"/>
        <c:scaling>
          <c:orientation val="minMax"/>
          <c:min val="40"/>
        </c:scaling>
        <c:delete val="0"/>
        <c:axPos val="l"/>
        <c:title>
          <c:tx>
            <c:rich>
              <a:bodyPr/>
              <a:lstStyle/>
              <a:p>
                <a:pPr>
                  <a:defRPr sz="800" b="1" i="0" u="none" strike="noStrike" baseline="0">
                    <a:solidFill>
                      <a:srgbClr val="000000"/>
                    </a:solidFill>
                    <a:latin typeface="Arial"/>
                    <a:ea typeface="Arial"/>
                    <a:cs typeface="Arial"/>
                  </a:defRPr>
                </a:pPr>
                <a:r>
                  <a:rPr lang="es-ES"/>
                  <a:t>SERVICIOS</a:t>
                </a:r>
              </a:p>
            </c:rich>
          </c:tx>
          <c:layout>
            <c:manualLayout>
              <c:xMode val="edge"/>
              <c:yMode val="edge"/>
              <c:x val="4.1131105398457581E-2"/>
              <c:y val="0.29091081268236674"/>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ES"/>
          </a:p>
        </c:txPr>
        <c:crossAx val="227546752"/>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s-ES"/>
              <a:t>PERIODO Gráfico de los residuales</a:t>
            </a:r>
          </a:p>
        </c:rich>
      </c:tx>
      <c:layout>
        <c:manualLayout>
          <c:xMode val="edge"/>
          <c:yMode val="edge"/>
          <c:x val="0.30208394792469873"/>
          <c:y val="5.6911020952592678E-2"/>
        </c:manualLayout>
      </c:layout>
      <c:overlay val="0"/>
      <c:spPr>
        <a:noFill/>
        <a:ln w="25400">
          <a:noFill/>
        </a:ln>
      </c:spPr>
    </c:title>
    <c:autoTitleDeleted val="0"/>
    <c:plotArea>
      <c:layout>
        <c:manualLayout>
          <c:layoutTarget val="inner"/>
          <c:xMode val="edge"/>
          <c:yMode val="edge"/>
          <c:x val="0.11875024159798502"/>
          <c:y val="0.4146374383688895"/>
          <c:w val="0.83541836632968414"/>
          <c:h val="0.21138379210962993"/>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xVal>
            <c:numRef>
              <c:f>'Regresión Cuadrática Soluc.'!$B$16:$B$36</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xVal>
          <c:yVal>
            <c:numRef>
              <c:f>'Regresión Cuadrática Soluc.'!$L$91:$L$111</c:f>
              <c:numCache>
                <c:formatCode>General</c:formatCode>
                <c:ptCount val="21"/>
                <c:pt idx="0">
                  <c:v>1.7550479954828262</c:v>
                </c:pt>
                <c:pt idx="1">
                  <c:v>1.1594556747600606</c:v>
                </c:pt>
                <c:pt idx="2">
                  <c:v>-0.16435590953665979</c:v>
                </c:pt>
                <c:pt idx="3">
                  <c:v>-1.3563867574073356</c:v>
                </c:pt>
                <c:pt idx="4">
                  <c:v>-1.6166368688519626</c:v>
                </c:pt>
                <c:pt idx="5">
                  <c:v>-1.0251062438705461</c:v>
                </c:pt>
                <c:pt idx="6">
                  <c:v>-0.95179488246308352</c:v>
                </c:pt>
                <c:pt idx="7">
                  <c:v>-0.74670278462956929</c:v>
                </c:pt>
                <c:pt idx="8">
                  <c:v>-0.49982995037001388</c:v>
                </c:pt>
                <c:pt idx="9">
                  <c:v>-1.1176379684414428E-2</c:v>
                </c:pt>
                <c:pt idx="10">
                  <c:v>0.5892579274272336</c:v>
                </c:pt>
                <c:pt idx="11">
                  <c:v>1.4014729709649316</c:v>
                </c:pt>
                <c:pt idx="12">
                  <c:v>1.3354687509286762</c:v>
                </c:pt>
                <c:pt idx="13">
                  <c:v>1.27124526731847</c:v>
                </c:pt>
                <c:pt idx="14">
                  <c:v>1.978802520134316</c:v>
                </c:pt>
                <c:pt idx="15">
                  <c:v>-0.19185949062380558</c:v>
                </c:pt>
                <c:pt idx="16">
                  <c:v>-1.2807407649558726</c:v>
                </c:pt>
                <c:pt idx="17">
                  <c:v>-0.77784130286189423</c:v>
                </c:pt>
                <c:pt idx="18">
                  <c:v>-0.82316110434186385</c:v>
                </c:pt>
                <c:pt idx="19">
                  <c:v>-0.61670016939579142</c:v>
                </c:pt>
                <c:pt idx="20">
                  <c:v>0.57154150197633413</c:v>
                </c:pt>
              </c:numCache>
            </c:numRef>
          </c:yVal>
          <c:smooth val="0"/>
        </c:ser>
        <c:dLbls>
          <c:showLegendKey val="0"/>
          <c:showVal val="0"/>
          <c:showCatName val="0"/>
          <c:showSerName val="0"/>
          <c:showPercent val="0"/>
          <c:showBubbleSize val="0"/>
        </c:dLbls>
        <c:axId val="228229120"/>
        <c:axId val="228229696"/>
      </c:scatterChart>
      <c:valAx>
        <c:axId val="22822912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s-ES"/>
                  <a:t>PERIODO</a:t>
                </a:r>
              </a:p>
            </c:rich>
          </c:tx>
          <c:layout>
            <c:manualLayout>
              <c:xMode val="edge"/>
              <c:yMode val="edge"/>
              <c:x val="0.48333431667951798"/>
              <c:y val="0.7073226889822232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ES"/>
          </a:p>
        </c:txPr>
        <c:crossAx val="228229696"/>
        <c:crosses val="autoZero"/>
        <c:crossBetween val="midCat"/>
      </c:valAx>
      <c:valAx>
        <c:axId val="22822969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s-ES"/>
                  <a:t>Residuos</a:t>
                </a:r>
              </a:p>
            </c:rich>
          </c:tx>
          <c:layout>
            <c:manualLayout>
              <c:xMode val="edge"/>
              <c:yMode val="edge"/>
              <c:x val="3.3333401150311588E-2"/>
              <c:y val="0.2926852506133337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ES"/>
          </a:p>
        </c:txPr>
        <c:crossAx val="228229120"/>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spPr>
              <a:ln>
                <a:solidFill>
                  <a:schemeClr val="accent6">
                    <a:lumMod val="75000"/>
                  </a:schemeClr>
                </a:solidFill>
              </a:ln>
            </c:spPr>
            <c:trendlineType val="linear"/>
            <c:dispRSqr val="1"/>
            <c:dispEq val="1"/>
            <c:trendlineLbl>
              <c:layout>
                <c:manualLayout>
                  <c:x val="0.39263123359580054"/>
                  <c:y val="-1.8993146689997083E-2"/>
                </c:manualLayout>
              </c:layout>
              <c:numFmt formatCode="General" sourceLinked="0"/>
              <c:txPr>
                <a:bodyPr/>
                <a:lstStyle/>
                <a:p>
                  <a:pPr>
                    <a:defRPr>
                      <a:solidFill>
                        <a:schemeClr val="accent6">
                          <a:lumMod val="75000"/>
                        </a:schemeClr>
                      </a:solidFill>
                    </a:defRPr>
                  </a:pPr>
                  <a:endParaRPr lang="es-ES"/>
                </a:p>
              </c:txPr>
            </c:trendlineLbl>
          </c:trendline>
          <c:xVal>
            <c:numRef>
              <c:f>'Regresión Cuadrática Soluc.'!$F$16:$F$36</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xVal>
          <c:yVal>
            <c:numRef>
              <c:f>'Regresión Cuadrática Soluc.'!$G$16:$G$36</c:f>
              <c:numCache>
                <c:formatCode>General</c:formatCode>
                <c:ptCount val="21"/>
                <c:pt idx="0">
                  <c:v>47.23</c:v>
                </c:pt>
                <c:pt idx="1">
                  <c:v>48.01</c:v>
                </c:pt>
                <c:pt idx="2">
                  <c:v>48</c:v>
                </c:pt>
                <c:pt idx="3">
                  <c:v>48.06</c:v>
                </c:pt>
                <c:pt idx="4">
                  <c:v>48.99</c:v>
                </c:pt>
                <c:pt idx="5">
                  <c:v>50.71</c:v>
                </c:pt>
                <c:pt idx="6">
                  <c:v>51.85</c:v>
                </c:pt>
                <c:pt idx="7">
                  <c:v>53.06</c:v>
                </c:pt>
                <c:pt idx="8">
                  <c:v>54.25</c:v>
                </c:pt>
                <c:pt idx="9">
                  <c:v>55.62</c:v>
                </c:pt>
                <c:pt idx="10">
                  <c:v>57.04</c:v>
                </c:pt>
                <c:pt idx="11">
                  <c:v>58.61</c:v>
                </c:pt>
                <c:pt idx="12">
                  <c:v>59.24</c:v>
                </c:pt>
                <c:pt idx="13">
                  <c:v>59.81</c:v>
                </c:pt>
                <c:pt idx="14">
                  <c:v>61.09</c:v>
                </c:pt>
                <c:pt idx="15">
                  <c:v>59.43</c:v>
                </c:pt>
                <c:pt idx="16">
                  <c:v>58.79</c:v>
                </c:pt>
                <c:pt idx="17">
                  <c:v>59.68</c:v>
                </c:pt>
                <c:pt idx="18">
                  <c:v>59.96</c:v>
                </c:pt>
                <c:pt idx="19">
                  <c:v>60.43</c:v>
                </c:pt>
                <c:pt idx="20">
                  <c:v>61.82</c:v>
                </c:pt>
              </c:numCache>
            </c:numRef>
          </c:yVal>
          <c:smooth val="0"/>
        </c:ser>
        <c:dLbls>
          <c:showLegendKey val="0"/>
          <c:showVal val="0"/>
          <c:showCatName val="0"/>
          <c:showSerName val="0"/>
          <c:showPercent val="0"/>
          <c:showBubbleSize val="0"/>
        </c:dLbls>
        <c:axId val="228231424"/>
        <c:axId val="228232000"/>
      </c:scatterChart>
      <c:valAx>
        <c:axId val="228231424"/>
        <c:scaling>
          <c:orientation val="minMax"/>
        </c:scaling>
        <c:delete val="0"/>
        <c:axPos val="b"/>
        <c:numFmt formatCode="General" sourceLinked="1"/>
        <c:majorTickMark val="out"/>
        <c:minorTickMark val="none"/>
        <c:tickLblPos val="nextTo"/>
        <c:crossAx val="228232000"/>
        <c:crosses val="autoZero"/>
        <c:crossBetween val="midCat"/>
      </c:valAx>
      <c:valAx>
        <c:axId val="228232000"/>
        <c:scaling>
          <c:orientation val="minMax"/>
          <c:max val="65"/>
          <c:min val="40"/>
        </c:scaling>
        <c:delete val="0"/>
        <c:axPos val="l"/>
        <c:majorGridlines/>
        <c:numFmt formatCode="General" sourceLinked="1"/>
        <c:majorTickMark val="out"/>
        <c:minorTickMark val="none"/>
        <c:tickLblPos val="nextTo"/>
        <c:crossAx val="228231424"/>
        <c:crosses val="autoZero"/>
        <c:crossBetween val="midCat"/>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spPr>
              <a:ln w="28575">
                <a:solidFill>
                  <a:srgbClr val="FF0000"/>
                </a:solidFill>
              </a:ln>
            </c:spPr>
            <c:trendlineType val="linear"/>
            <c:dispRSqr val="1"/>
            <c:dispEq val="1"/>
            <c:trendlineLbl>
              <c:layout>
                <c:manualLayout>
                  <c:x val="0.46939632545931759"/>
                  <c:y val="-3.1660283709672478E-2"/>
                </c:manualLayout>
              </c:layout>
              <c:numFmt formatCode="General" sourceLinked="0"/>
              <c:txPr>
                <a:bodyPr/>
                <a:lstStyle/>
                <a:p>
                  <a:pPr>
                    <a:defRPr b="1">
                      <a:solidFill>
                        <a:srgbClr val="FF0000"/>
                      </a:solidFill>
                    </a:defRPr>
                  </a:pPr>
                  <a:endParaRPr lang="es-ES"/>
                </a:p>
              </c:txPr>
            </c:trendlineLbl>
          </c:trendline>
          <c:xVal>
            <c:numRef>
              <c:f>'Contraste de Hipótesis 5 Soluc.'!$B$17:$B$26</c:f>
              <c:numCache>
                <c:formatCode>General</c:formatCode>
                <c:ptCount val="10"/>
                <c:pt idx="0">
                  <c:v>15.3</c:v>
                </c:pt>
                <c:pt idx="1">
                  <c:v>17.8</c:v>
                </c:pt>
                <c:pt idx="2">
                  <c:v>20.7</c:v>
                </c:pt>
                <c:pt idx="3">
                  <c:v>25.1</c:v>
                </c:pt>
                <c:pt idx="4">
                  <c:v>16.399999999999999</c:v>
                </c:pt>
                <c:pt idx="5">
                  <c:v>21.6</c:v>
                </c:pt>
                <c:pt idx="6">
                  <c:v>19.600000000000001</c:v>
                </c:pt>
                <c:pt idx="7">
                  <c:v>18.8</c:v>
                </c:pt>
                <c:pt idx="8">
                  <c:v>20.2</c:v>
                </c:pt>
                <c:pt idx="9">
                  <c:v>19.399999999999999</c:v>
                </c:pt>
              </c:numCache>
            </c:numRef>
          </c:xVal>
          <c:yVal>
            <c:numRef>
              <c:f>'Contraste de Hipótesis 5 Soluc.'!$C$17:$C$26</c:f>
              <c:numCache>
                <c:formatCode>General</c:formatCode>
                <c:ptCount val="10"/>
                <c:pt idx="0">
                  <c:v>30.5</c:v>
                </c:pt>
                <c:pt idx="1">
                  <c:v>32.6</c:v>
                </c:pt>
                <c:pt idx="2">
                  <c:v>38.299999999999997</c:v>
                </c:pt>
                <c:pt idx="3">
                  <c:v>45.7</c:v>
                </c:pt>
                <c:pt idx="4">
                  <c:v>33.6</c:v>
                </c:pt>
                <c:pt idx="5">
                  <c:v>42.2</c:v>
                </c:pt>
                <c:pt idx="6">
                  <c:v>37.5</c:v>
                </c:pt>
                <c:pt idx="7">
                  <c:v>38.1</c:v>
                </c:pt>
                <c:pt idx="8">
                  <c:v>41.6</c:v>
                </c:pt>
                <c:pt idx="9">
                  <c:v>40.4</c:v>
                </c:pt>
              </c:numCache>
            </c:numRef>
          </c:yVal>
          <c:smooth val="0"/>
        </c:ser>
        <c:dLbls>
          <c:showLegendKey val="0"/>
          <c:showVal val="0"/>
          <c:showCatName val="0"/>
          <c:showSerName val="0"/>
          <c:showPercent val="0"/>
          <c:showBubbleSize val="0"/>
        </c:dLbls>
        <c:axId val="228414528"/>
        <c:axId val="228415104"/>
      </c:scatterChart>
      <c:valAx>
        <c:axId val="228414528"/>
        <c:scaling>
          <c:orientation val="minMax"/>
          <c:min val="10"/>
        </c:scaling>
        <c:delete val="0"/>
        <c:axPos val="b"/>
        <c:numFmt formatCode="General" sourceLinked="1"/>
        <c:majorTickMark val="out"/>
        <c:minorTickMark val="none"/>
        <c:tickLblPos val="nextTo"/>
        <c:crossAx val="228415104"/>
        <c:crosses val="autoZero"/>
        <c:crossBetween val="midCat"/>
      </c:valAx>
      <c:valAx>
        <c:axId val="228415104"/>
        <c:scaling>
          <c:orientation val="minMax"/>
          <c:min val="25"/>
        </c:scaling>
        <c:delete val="0"/>
        <c:axPos val="l"/>
        <c:majorGridlines/>
        <c:numFmt formatCode="General" sourceLinked="1"/>
        <c:majorTickMark val="out"/>
        <c:minorTickMark val="none"/>
        <c:tickLblPos val="nextTo"/>
        <c:crossAx val="22841452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Dispersión Peso -vs- Altura y k=5</a:t>
            </a:r>
            <a:r>
              <a:rPr lang="es-ES" baseline="0"/>
              <a:t> vecinos más cercanos</a:t>
            </a:r>
          </a:p>
        </c:rich>
      </c:tx>
      <c:overlay val="0"/>
      <c:spPr>
        <a:noFill/>
        <a:ln>
          <a:noFill/>
        </a:ln>
        <a:effectLst/>
      </c:sp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Pt>
            <c:idx val="0"/>
            <c:marker>
              <c:spPr>
                <a:solidFill>
                  <a:schemeClr val="accent2">
                    <a:lumMod val="75000"/>
                  </a:schemeClr>
                </a:solid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5-D300-4580-BD61-BA99E95C607D}"/>
              </c:ext>
            </c:extLst>
          </c:dPt>
          <c:dPt>
            <c:idx val="1"/>
            <c:marker>
              <c:spPr>
                <a:solidFill>
                  <a:schemeClr val="accent2">
                    <a:lumMod val="75000"/>
                  </a:schemeClr>
                </a:solid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4-D300-4580-BD61-BA99E95C607D}"/>
              </c:ext>
            </c:extLst>
          </c:dPt>
          <c:dPt>
            <c:idx val="2"/>
            <c:marker>
              <c:spPr>
                <a:solidFill>
                  <a:schemeClr val="accent2">
                    <a:lumMod val="75000"/>
                  </a:schemeClr>
                </a:solid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7-D300-4580-BD61-BA99E95C607D}"/>
              </c:ext>
            </c:extLst>
          </c:dPt>
          <c:dPt>
            <c:idx val="3"/>
            <c:marker>
              <c:spPr>
                <a:solidFill>
                  <a:schemeClr val="accent2">
                    <a:lumMod val="75000"/>
                  </a:schemeClr>
                </a:solid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6-D300-4580-BD61-BA99E95C607D}"/>
              </c:ext>
            </c:extLst>
          </c:dPt>
          <c:dPt>
            <c:idx val="4"/>
            <c:marker>
              <c:spPr>
                <a:solidFill>
                  <a:schemeClr val="accent2">
                    <a:lumMod val="75000"/>
                  </a:schemeClr>
                </a:solid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3-D300-4580-BD61-BA99E95C607D}"/>
              </c:ext>
            </c:extLst>
          </c:dPt>
          <c:dPt>
            <c:idx val="5"/>
            <c:marker>
              <c:spPr>
                <a:solidFill>
                  <a:schemeClr val="accent2">
                    <a:lumMod val="75000"/>
                  </a:schemeClr>
                </a:solid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1-D300-4580-BD61-BA99E95C607D}"/>
              </c:ext>
            </c:extLst>
          </c:dPt>
          <c:dPt>
            <c:idx val="6"/>
            <c:marker>
              <c:spPr>
                <a:solidFill>
                  <a:schemeClr val="accent2">
                    <a:lumMod val="75000"/>
                  </a:schemeClr>
                </a:solid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2-D300-4580-BD61-BA99E95C607D}"/>
              </c:ext>
            </c:extLst>
          </c:dPt>
          <c:dPt>
            <c:idx val="18"/>
            <c:marker>
              <c:spPr>
                <a:solidFill>
                  <a:srgbClr val="FFFF00"/>
                </a:solid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8-D300-4580-BD61-BA99E95C607D}"/>
              </c:ext>
            </c:extLst>
          </c:dPt>
          <c:xVal>
            <c:numRef>
              <c:f>'VECINOS CERCANOS'!$L$2:$L$20</c:f>
              <c:numCache>
                <c:formatCode>General</c:formatCode>
                <c:ptCount val="19"/>
                <c:pt idx="0">
                  <c:v>58</c:v>
                </c:pt>
                <c:pt idx="1">
                  <c:v>59</c:v>
                </c:pt>
                <c:pt idx="2">
                  <c:v>63</c:v>
                </c:pt>
                <c:pt idx="3">
                  <c:v>59</c:v>
                </c:pt>
                <c:pt idx="4">
                  <c:v>60</c:v>
                </c:pt>
                <c:pt idx="5">
                  <c:v>60</c:v>
                </c:pt>
                <c:pt idx="6">
                  <c:v>61</c:v>
                </c:pt>
                <c:pt idx="7">
                  <c:v>64</c:v>
                </c:pt>
                <c:pt idx="8">
                  <c:v>64</c:v>
                </c:pt>
                <c:pt idx="9">
                  <c:v>61</c:v>
                </c:pt>
                <c:pt idx="10">
                  <c:v>62</c:v>
                </c:pt>
                <c:pt idx="11">
                  <c:v>65</c:v>
                </c:pt>
                <c:pt idx="12">
                  <c:v>62</c:v>
                </c:pt>
                <c:pt idx="13">
                  <c:v>63</c:v>
                </c:pt>
                <c:pt idx="14">
                  <c:v>66</c:v>
                </c:pt>
                <c:pt idx="15">
                  <c:v>63</c:v>
                </c:pt>
                <c:pt idx="16">
                  <c:v>64</c:v>
                </c:pt>
                <c:pt idx="17">
                  <c:v>68</c:v>
                </c:pt>
                <c:pt idx="18">
                  <c:v>61</c:v>
                </c:pt>
              </c:numCache>
            </c:numRef>
          </c:xVal>
          <c:yVal>
            <c:numRef>
              <c:f>'VECINOS CERCANOS'!$M$2:$M$20</c:f>
              <c:numCache>
                <c:formatCode>General</c:formatCode>
                <c:ptCount val="19"/>
                <c:pt idx="0">
                  <c:v>158</c:v>
                </c:pt>
                <c:pt idx="1">
                  <c:v>158</c:v>
                </c:pt>
                <c:pt idx="2">
                  <c:v>158</c:v>
                </c:pt>
                <c:pt idx="3">
                  <c:v>160</c:v>
                </c:pt>
                <c:pt idx="4">
                  <c:v>160</c:v>
                </c:pt>
                <c:pt idx="5">
                  <c:v>163</c:v>
                </c:pt>
                <c:pt idx="6">
                  <c:v>163</c:v>
                </c:pt>
                <c:pt idx="7">
                  <c:v>160</c:v>
                </c:pt>
                <c:pt idx="8">
                  <c:v>163</c:v>
                </c:pt>
                <c:pt idx="9">
                  <c:v>165</c:v>
                </c:pt>
                <c:pt idx="10">
                  <c:v>165</c:v>
                </c:pt>
                <c:pt idx="11">
                  <c:v>165</c:v>
                </c:pt>
                <c:pt idx="12">
                  <c:v>168</c:v>
                </c:pt>
                <c:pt idx="13">
                  <c:v>168</c:v>
                </c:pt>
                <c:pt idx="14">
                  <c:v>168</c:v>
                </c:pt>
                <c:pt idx="15">
                  <c:v>170</c:v>
                </c:pt>
                <c:pt idx="16">
                  <c:v>170</c:v>
                </c:pt>
                <c:pt idx="17">
                  <c:v>170</c:v>
                </c:pt>
                <c:pt idx="18">
                  <c:v>161</c:v>
                </c:pt>
              </c:numCache>
            </c:numRef>
          </c:yVal>
          <c:smooth val="0"/>
          <c:extLst xmlns:c16r2="http://schemas.microsoft.com/office/drawing/2015/06/chart">
            <c:ext xmlns:c16="http://schemas.microsoft.com/office/drawing/2014/chart" uri="{C3380CC4-5D6E-409C-BE32-E72D297353CC}">
              <c16:uniqueId val="{00000000-D300-4580-BD61-BA99E95C607D}"/>
            </c:ext>
          </c:extLst>
        </c:ser>
        <c:dLbls>
          <c:showLegendKey val="0"/>
          <c:showVal val="0"/>
          <c:showCatName val="0"/>
          <c:showSerName val="0"/>
          <c:showPercent val="0"/>
          <c:showBubbleSize val="0"/>
        </c:dLbls>
        <c:axId val="228446720"/>
        <c:axId val="228447296"/>
      </c:scatterChart>
      <c:valAx>
        <c:axId val="22844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28447296"/>
        <c:crosses val="autoZero"/>
        <c:crossBetween val="midCat"/>
      </c:valAx>
      <c:valAx>
        <c:axId val="2284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284467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s-ES"/>
              <a:t>CURVA DE LORENZ</a:t>
            </a:r>
          </a:p>
        </c:rich>
      </c:tx>
      <c:layout>
        <c:manualLayout>
          <c:xMode val="edge"/>
          <c:yMode val="edge"/>
          <c:x val="0.33514794381721891"/>
          <c:y val="1.5458599589944874E-2"/>
        </c:manualLayout>
      </c:layout>
      <c:overlay val="0"/>
      <c:spPr>
        <a:noFill/>
        <a:ln w="25400">
          <a:noFill/>
        </a:ln>
      </c:spPr>
    </c:title>
    <c:autoTitleDeleted val="0"/>
    <c:plotArea>
      <c:layout>
        <c:manualLayout>
          <c:layoutTarget val="inner"/>
          <c:xMode val="edge"/>
          <c:yMode val="edge"/>
          <c:x val="0.13921531932463521"/>
          <c:y val="0.10202713718954365"/>
          <c:w val="0.73732558012677163"/>
          <c:h val="0.7451072746266677"/>
        </c:manualLayout>
      </c:layout>
      <c:scatterChart>
        <c:scatterStyle val="smoothMarker"/>
        <c:varyColors val="0"/>
        <c:ser>
          <c:idx val="0"/>
          <c:order val="0"/>
          <c:tx>
            <c:strRef>
              <c:f>'Gini - Lorenz Soluc.'!$C$16</c:f>
              <c:strCache>
                <c:ptCount val="1"/>
                <c:pt idx="0">
                  <c:v>EMPRESA A</c:v>
                </c:pt>
              </c:strCache>
            </c:strRef>
          </c:tx>
          <c:spPr>
            <a:ln w="25400">
              <a:solidFill>
                <a:srgbClr val="000080"/>
              </a:solidFill>
              <a:prstDash val="solid"/>
            </a:ln>
          </c:spPr>
          <c:marker>
            <c:symbol val="none"/>
          </c:marker>
          <c:xVal>
            <c:numRef>
              <c:f>'Gini - Lorenz Soluc.'!$H$20:$H$25</c:f>
              <c:numCache>
                <c:formatCode>0.00</c:formatCode>
                <c:ptCount val="6"/>
                <c:pt idx="0" formatCode="General">
                  <c:v>0</c:v>
                </c:pt>
                <c:pt idx="1">
                  <c:v>15</c:v>
                </c:pt>
                <c:pt idx="2" formatCode="General">
                  <c:v>35</c:v>
                </c:pt>
                <c:pt idx="3" formatCode="General">
                  <c:v>65</c:v>
                </c:pt>
                <c:pt idx="4" formatCode="General">
                  <c:v>85</c:v>
                </c:pt>
                <c:pt idx="5" formatCode="General">
                  <c:v>100</c:v>
                </c:pt>
              </c:numCache>
            </c:numRef>
          </c:xVal>
          <c:yVal>
            <c:numRef>
              <c:f>'Gini - Lorenz Soluc.'!$I$20:$I$25</c:f>
              <c:numCache>
                <c:formatCode>0.00</c:formatCode>
                <c:ptCount val="6"/>
                <c:pt idx="0" formatCode="General">
                  <c:v>0</c:v>
                </c:pt>
                <c:pt idx="1">
                  <c:v>5.7007125890736345</c:v>
                </c:pt>
                <c:pt idx="2">
                  <c:v>15.201900237529692</c:v>
                </c:pt>
                <c:pt idx="3">
                  <c:v>32.304038004750595</c:v>
                </c:pt>
                <c:pt idx="4">
                  <c:v>46.555819477434682</c:v>
                </c:pt>
                <c:pt idx="5">
                  <c:v>100</c:v>
                </c:pt>
              </c:numCache>
            </c:numRef>
          </c:yVal>
          <c:smooth val="1"/>
        </c:ser>
        <c:ser>
          <c:idx val="1"/>
          <c:order val="1"/>
          <c:spPr>
            <a:ln w="25400">
              <a:solidFill>
                <a:srgbClr val="FF0000"/>
              </a:solidFill>
              <a:prstDash val="solid"/>
            </a:ln>
          </c:spPr>
          <c:marker>
            <c:symbol val="square"/>
            <c:size val="5"/>
            <c:spPr>
              <a:solidFill>
                <a:srgbClr val="FF0000"/>
              </a:solidFill>
              <a:ln>
                <a:solidFill>
                  <a:srgbClr val="FF0000"/>
                </a:solidFill>
                <a:prstDash val="solid"/>
              </a:ln>
            </c:spPr>
          </c:marker>
          <c:xVal>
            <c:numRef>
              <c:f>'Gini - Lorenz Soluc.'!$N$19:$N$20</c:f>
              <c:numCache>
                <c:formatCode>General</c:formatCode>
                <c:ptCount val="2"/>
                <c:pt idx="0">
                  <c:v>0</c:v>
                </c:pt>
                <c:pt idx="1">
                  <c:v>100</c:v>
                </c:pt>
              </c:numCache>
            </c:numRef>
          </c:xVal>
          <c:yVal>
            <c:numRef>
              <c:f>'Gini - Lorenz Soluc.'!$O$19:$O$20</c:f>
              <c:numCache>
                <c:formatCode>General</c:formatCode>
                <c:ptCount val="2"/>
                <c:pt idx="0">
                  <c:v>0</c:v>
                </c:pt>
                <c:pt idx="1">
                  <c:v>100</c:v>
                </c:pt>
              </c:numCache>
            </c:numRef>
          </c:yVal>
          <c:smooth val="1"/>
        </c:ser>
        <c:ser>
          <c:idx val="2"/>
          <c:order val="2"/>
          <c:tx>
            <c:strRef>
              <c:f>'Gini - Lorenz Soluc.'!$C$31</c:f>
              <c:strCache>
                <c:ptCount val="1"/>
                <c:pt idx="0">
                  <c:v>EMPRESA B</c:v>
                </c:pt>
              </c:strCache>
            </c:strRef>
          </c:tx>
          <c:spPr>
            <a:ln w="25400">
              <a:solidFill>
                <a:srgbClr val="FFFF00"/>
              </a:solidFill>
              <a:prstDash val="solid"/>
            </a:ln>
          </c:spPr>
          <c:marker>
            <c:symbol val="none"/>
          </c:marker>
          <c:xVal>
            <c:numRef>
              <c:f>'Gini - Lorenz Soluc.'!$H$35:$H$40</c:f>
              <c:numCache>
                <c:formatCode>0.00</c:formatCode>
                <c:ptCount val="6"/>
                <c:pt idx="0" formatCode="General">
                  <c:v>0</c:v>
                </c:pt>
                <c:pt idx="1">
                  <c:v>10</c:v>
                </c:pt>
                <c:pt idx="2" formatCode="General">
                  <c:v>40</c:v>
                </c:pt>
                <c:pt idx="3" formatCode="General">
                  <c:v>75</c:v>
                </c:pt>
                <c:pt idx="4" formatCode="General">
                  <c:v>99</c:v>
                </c:pt>
                <c:pt idx="5" formatCode="General">
                  <c:v>100</c:v>
                </c:pt>
              </c:numCache>
            </c:numRef>
          </c:xVal>
          <c:yVal>
            <c:numRef>
              <c:f>'Gini - Lorenz Soluc.'!$I$35:$I$40</c:f>
              <c:numCache>
                <c:formatCode>0.00</c:formatCode>
                <c:ptCount val="6"/>
                <c:pt idx="0" formatCode="General">
                  <c:v>0</c:v>
                </c:pt>
                <c:pt idx="1">
                  <c:v>6.4777327935222671</c:v>
                </c:pt>
                <c:pt idx="2">
                  <c:v>30.76923076923077</c:v>
                </c:pt>
                <c:pt idx="3">
                  <c:v>64.777327935222672</c:v>
                </c:pt>
                <c:pt idx="4">
                  <c:v>93.927125506072869</c:v>
                </c:pt>
                <c:pt idx="5">
                  <c:v>100</c:v>
                </c:pt>
              </c:numCache>
            </c:numRef>
          </c:yVal>
          <c:smooth val="1"/>
        </c:ser>
        <c:dLbls>
          <c:showLegendKey val="0"/>
          <c:showVal val="0"/>
          <c:showCatName val="0"/>
          <c:showSerName val="0"/>
          <c:showPercent val="0"/>
          <c:showBubbleSize val="0"/>
        </c:dLbls>
        <c:axId val="132318336"/>
        <c:axId val="132318912"/>
      </c:scatterChart>
      <c:valAx>
        <c:axId val="132318336"/>
        <c:scaling>
          <c:orientation val="minMax"/>
          <c:max val="100"/>
        </c:scaling>
        <c:delete val="0"/>
        <c:axPos val="b"/>
        <c:title>
          <c:tx>
            <c:rich>
              <a:bodyPr/>
              <a:lstStyle/>
              <a:p>
                <a:pPr>
                  <a:defRPr sz="975" b="1" i="0" u="none" strike="noStrike" baseline="0">
                    <a:solidFill>
                      <a:srgbClr val="000000"/>
                    </a:solidFill>
                    <a:latin typeface="Arial"/>
                    <a:ea typeface="Arial"/>
                    <a:cs typeface="Arial"/>
                  </a:defRPr>
                </a:pPr>
                <a:r>
                  <a:rPr lang="es-ES"/>
                  <a:t>pi</a:t>
                </a:r>
              </a:p>
            </c:rich>
          </c:tx>
          <c:layout>
            <c:manualLayout>
              <c:xMode val="edge"/>
              <c:yMode val="edge"/>
              <c:x val="0.47436327508952997"/>
              <c:y val="0.915152414458832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s-ES"/>
          </a:p>
        </c:txPr>
        <c:crossAx val="132318912"/>
        <c:crosses val="autoZero"/>
        <c:crossBetween val="midCat"/>
      </c:valAx>
      <c:valAx>
        <c:axId val="132318912"/>
        <c:scaling>
          <c:orientation val="minMax"/>
          <c:max val="100"/>
        </c:scaling>
        <c:delete val="0"/>
        <c:axPos val="l"/>
        <c:majorGridlines>
          <c:spPr>
            <a:ln w="3175">
              <a:solidFill>
                <a:srgbClr val="000000"/>
              </a:solidFill>
              <a:prstDash val="solid"/>
            </a:ln>
          </c:spPr>
        </c:majorGridlines>
        <c:title>
          <c:tx>
            <c:rich>
              <a:bodyPr rot="0" vert="horz"/>
              <a:lstStyle/>
              <a:p>
                <a:pPr algn="ctr">
                  <a:defRPr sz="975" b="1" i="0" u="none" strike="noStrike" baseline="0">
                    <a:solidFill>
                      <a:srgbClr val="000000"/>
                    </a:solidFill>
                    <a:latin typeface="Arial"/>
                    <a:ea typeface="Arial"/>
                    <a:cs typeface="Arial"/>
                  </a:defRPr>
                </a:pPr>
                <a:r>
                  <a:rPr lang="es-ES"/>
                  <a:t>qi</a:t>
                </a:r>
              </a:p>
            </c:rich>
          </c:tx>
          <c:layout>
            <c:manualLayout>
              <c:xMode val="edge"/>
              <c:yMode val="edge"/>
              <c:x val="1.2890384363559763E-2"/>
              <c:y val="0.1082105162386616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s-ES"/>
          </a:p>
        </c:txPr>
        <c:crossAx val="132318336"/>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s-ES"/>
    </a:p>
  </c:txPr>
  <c:printSettings>
    <c:headerFooter alignWithMargins="0"/>
    <c:pageMargins b="1" l="0.750000000000002" r="0.750000000000002" t="1" header="0" footer="0"/>
    <c:pageSetup paperSize="9" orientation="landscape" horizontalDpi="-2" verticalDpi="30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s-ES"/>
              <a:t>Histograma</a:t>
            </a:r>
          </a:p>
        </c:rich>
      </c:tx>
      <c:layout>
        <c:manualLayout>
          <c:xMode val="edge"/>
          <c:yMode val="edge"/>
          <c:x val="0.40549217702623708"/>
          <c:y val="4.1475945399306109E-2"/>
        </c:manualLayout>
      </c:layout>
      <c:overlay val="0"/>
      <c:spPr>
        <a:noFill/>
        <a:ln w="25400">
          <a:noFill/>
        </a:ln>
      </c:spPr>
    </c:title>
    <c:autoTitleDeleted val="0"/>
    <c:plotArea>
      <c:layout>
        <c:manualLayout>
          <c:layoutTarget val="inner"/>
          <c:xMode val="edge"/>
          <c:yMode val="edge"/>
          <c:x val="0.16164890840910803"/>
          <c:y val="0.25346411077353731"/>
          <c:w val="0.58905958149081739"/>
          <c:h val="0.38710882372685701"/>
        </c:manualLayout>
      </c:layout>
      <c:barChart>
        <c:barDir val="col"/>
        <c:grouping val="clustered"/>
        <c:varyColors val="0"/>
        <c:ser>
          <c:idx val="0"/>
          <c:order val="0"/>
          <c:tx>
            <c:v>Frecuencia</c:v>
          </c:tx>
          <c:spPr>
            <a:solidFill>
              <a:srgbClr val="9999FF"/>
            </a:solidFill>
            <a:ln w="12700">
              <a:solidFill>
                <a:srgbClr val="000000"/>
              </a:solidFill>
              <a:prstDash val="solid"/>
            </a:ln>
          </c:spPr>
          <c:invertIfNegative val="0"/>
          <c:cat>
            <c:strLit>
              <c:ptCount val="11"/>
              <c:pt idx="0">
                <c:v>14,9</c:v>
              </c:pt>
              <c:pt idx="1">
                <c:v>15,13</c:v>
              </c:pt>
              <c:pt idx="2">
                <c:v>15,36</c:v>
              </c:pt>
              <c:pt idx="3">
                <c:v>15,59</c:v>
              </c:pt>
              <c:pt idx="4">
                <c:v>15,82</c:v>
              </c:pt>
              <c:pt idx="5">
                <c:v>16,05</c:v>
              </c:pt>
              <c:pt idx="6">
                <c:v>16,28</c:v>
              </c:pt>
              <c:pt idx="7">
                <c:v>16,51</c:v>
              </c:pt>
              <c:pt idx="8">
                <c:v>16,74</c:v>
              </c:pt>
              <c:pt idx="9">
                <c:v>16,97</c:v>
              </c:pt>
              <c:pt idx="10">
                <c:v>y mayor...</c:v>
              </c:pt>
            </c:strLit>
          </c:cat>
          <c:val>
            <c:numLit>
              <c:formatCode>General</c:formatCode>
              <c:ptCount val="11"/>
              <c:pt idx="0">
                <c:v>1</c:v>
              </c:pt>
              <c:pt idx="1">
                <c:v>1</c:v>
              </c:pt>
              <c:pt idx="2">
                <c:v>1</c:v>
              </c:pt>
              <c:pt idx="3">
                <c:v>1</c:v>
              </c:pt>
              <c:pt idx="4">
                <c:v>6</c:v>
              </c:pt>
              <c:pt idx="5">
                <c:v>7</c:v>
              </c:pt>
              <c:pt idx="6">
                <c:v>36</c:v>
              </c:pt>
              <c:pt idx="7">
                <c:v>20</c:v>
              </c:pt>
              <c:pt idx="8">
                <c:v>6</c:v>
              </c:pt>
              <c:pt idx="9">
                <c:v>12</c:v>
              </c:pt>
              <c:pt idx="10">
                <c:v>9</c:v>
              </c:pt>
            </c:numLit>
          </c:val>
        </c:ser>
        <c:dLbls>
          <c:showLegendKey val="0"/>
          <c:showVal val="0"/>
          <c:showCatName val="0"/>
          <c:showSerName val="0"/>
          <c:showPercent val="0"/>
          <c:showBubbleSize val="0"/>
        </c:dLbls>
        <c:gapWidth val="150"/>
        <c:axId val="198537216"/>
        <c:axId val="132321216"/>
      </c:barChart>
      <c:catAx>
        <c:axId val="198537216"/>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s-ES"/>
                  <a:t>Clase</a:t>
                </a:r>
              </a:p>
            </c:rich>
          </c:tx>
          <c:layout>
            <c:manualLayout>
              <c:xMode val="edge"/>
              <c:yMode val="edge"/>
              <c:x val="0.40823198903317109"/>
              <c:y val="0.83412734636382291"/>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ES"/>
          </a:p>
        </c:txPr>
        <c:crossAx val="132321216"/>
        <c:crosses val="autoZero"/>
        <c:auto val="1"/>
        <c:lblAlgn val="ctr"/>
        <c:lblOffset val="100"/>
        <c:tickLblSkip val="3"/>
        <c:tickMarkSkip val="1"/>
        <c:noMultiLvlLbl val="0"/>
      </c:catAx>
      <c:valAx>
        <c:axId val="13232121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s-ES"/>
                  <a:t>Frecuencia</a:t>
                </a:r>
              </a:p>
            </c:rich>
          </c:tx>
          <c:layout>
            <c:manualLayout>
              <c:xMode val="edge"/>
              <c:yMode val="edge"/>
              <c:x val="4.383699211094455E-2"/>
              <c:y val="0.29954849455054411"/>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ES"/>
          </a:p>
        </c:txPr>
        <c:crossAx val="198537216"/>
        <c:crosses val="autoZero"/>
        <c:crossBetween val="between"/>
      </c:valAx>
      <c:spPr>
        <a:solidFill>
          <a:srgbClr val="C0C0C0"/>
        </a:solidFill>
        <a:ln w="12700">
          <a:solidFill>
            <a:srgbClr val="808080"/>
          </a:solidFill>
          <a:prstDash val="solid"/>
        </a:ln>
      </c:spPr>
    </c:plotArea>
    <c:legend>
      <c:legendPos val="r"/>
      <c:layout>
        <c:manualLayout>
          <c:xMode val="edge"/>
          <c:yMode val="edge"/>
          <c:x val="0.7808464219761998"/>
          <c:y val="0.40093413885995904"/>
          <c:w val="0.19726646449925048"/>
          <c:h val="9.216876755401357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s-ES"/>
              <a:t>Histograma</a:t>
            </a:r>
          </a:p>
        </c:rich>
      </c:tx>
      <c:layout>
        <c:manualLayout>
          <c:xMode val="edge"/>
          <c:yMode val="edge"/>
          <c:x val="0.40053050397877982"/>
          <c:y val="4.52262416237477E-2"/>
        </c:manualLayout>
      </c:layout>
      <c:overlay val="0"/>
      <c:spPr>
        <a:noFill/>
        <a:ln w="25400">
          <a:noFill/>
        </a:ln>
      </c:spPr>
    </c:title>
    <c:autoTitleDeleted val="0"/>
    <c:plotArea>
      <c:layout>
        <c:manualLayout>
          <c:layoutTarget val="inner"/>
          <c:xMode val="edge"/>
          <c:yMode val="edge"/>
          <c:x val="0.15649867374005305"/>
          <c:y val="0.28140772565887462"/>
          <c:w val="0.37931034482758619"/>
          <c:h val="0.25125689790970945"/>
        </c:manualLayout>
      </c:layout>
      <c:barChart>
        <c:barDir val="col"/>
        <c:grouping val="clustered"/>
        <c:varyColors val="0"/>
        <c:ser>
          <c:idx val="0"/>
          <c:order val="0"/>
          <c:tx>
            <c:v>Frecuencia</c:v>
          </c:tx>
          <c:spPr>
            <a:solidFill>
              <a:srgbClr val="9999FF"/>
            </a:solidFill>
            <a:ln w="12700">
              <a:solidFill>
                <a:srgbClr val="000000"/>
              </a:solidFill>
              <a:prstDash val="solid"/>
            </a:ln>
          </c:spPr>
          <c:invertIfNegative val="0"/>
          <c:cat>
            <c:strRef>
              <c:f>'Contingencia y Marginales Soluc'!$D$28:$D$33</c:f>
              <c:strCache>
                <c:ptCount val="6"/>
                <c:pt idx="0">
                  <c:v>66</c:v>
                </c:pt>
                <c:pt idx="1">
                  <c:v>67,6</c:v>
                </c:pt>
                <c:pt idx="2">
                  <c:v>69,2</c:v>
                </c:pt>
                <c:pt idx="3">
                  <c:v>70,8</c:v>
                </c:pt>
                <c:pt idx="4">
                  <c:v>72,4</c:v>
                </c:pt>
                <c:pt idx="5">
                  <c:v>y mayor...</c:v>
                </c:pt>
              </c:strCache>
            </c:strRef>
          </c:cat>
          <c:val>
            <c:numRef>
              <c:f>'Contingencia y Marginales Soluc'!$E$28:$E$33</c:f>
              <c:numCache>
                <c:formatCode>General</c:formatCode>
                <c:ptCount val="6"/>
                <c:pt idx="0">
                  <c:v>6</c:v>
                </c:pt>
                <c:pt idx="1">
                  <c:v>0</c:v>
                </c:pt>
                <c:pt idx="2">
                  <c:v>7</c:v>
                </c:pt>
                <c:pt idx="3">
                  <c:v>4</c:v>
                </c:pt>
                <c:pt idx="4">
                  <c:v>7</c:v>
                </c:pt>
                <c:pt idx="5">
                  <c:v>9</c:v>
                </c:pt>
              </c:numCache>
            </c:numRef>
          </c:val>
        </c:ser>
        <c:dLbls>
          <c:showLegendKey val="0"/>
          <c:showVal val="0"/>
          <c:showCatName val="0"/>
          <c:showSerName val="0"/>
          <c:showPercent val="0"/>
          <c:showBubbleSize val="0"/>
        </c:dLbls>
        <c:gapWidth val="150"/>
        <c:axId val="198539264"/>
        <c:axId val="132322944"/>
      </c:barChart>
      <c:lineChart>
        <c:grouping val="standard"/>
        <c:varyColors val="0"/>
        <c:ser>
          <c:idx val="1"/>
          <c:order val="1"/>
          <c:tx>
            <c:v>% acumulado</c:v>
          </c:tx>
          <c:spPr>
            <a:ln w="12700">
              <a:solidFill>
                <a:srgbClr val="FF00FF"/>
              </a:solidFill>
              <a:prstDash val="solid"/>
            </a:ln>
          </c:spPr>
          <c:marker>
            <c:symbol val="square"/>
            <c:size val="5"/>
            <c:spPr>
              <a:solidFill>
                <a:srgbClr val="FF00FF"/>
              </a:solidFill>
              <a:ln>
                <a:solidFill>
                  <a:srgbClr val="FF00FF"/>
                </a:solidFill>
                <a:prstDash val="solid"/>
              </a:ln>
            </c:spPr>
          </c:marker>
          <c:cat>
            <c:strRef>
              <c:f>'Contingencia y Marginales Soluc'!$D$28:$D$33</c:f>
              <c:strCache>
                <c:ptCount val="6"/>
                <c:pt idx="0">
                  <c:v>66</c:v>
                </c:pt>
                <c:pt idx="1">
                  <c:v>67,6</c:v>
                </c:pt>
                <c:pt idx="2">
                  <c:v>69,2</c:v>
                </c:pt>
                <c:pt idx="3">
                  <c:v>70,8</c:v>
                </c:pt>
                <c:pt idx="4">
                  <c:v>72,4</c:v>
                </c:pt>
                <c:pt idx="5">
                  <c:v>y mayor...</c:v>
                </c:pt>
              </c:strCache>
            </c:strRef>
          </c:cat>
          <c:val>
            <c:numRef>
              <c:f>'Contingencia y Marginales Soluc'!$F$28:$F$33</c:f>
              <c:numCache>
                <c:formatCode>.00%</c:formatCode>
                <c:ptCount val="6"/>
                <c:pt idx="0">
                  <c:v>0.18181818181818182</c:v>
                </c:pt>
                <c:pt idx="1">
                  <c:v>0.18181818181818182</c:v>
                </c:pt>
                <c:pt idx="2">
                  <c:v>0.39393939393939392</c:v>
                </c:pt>
                <c:pt idx="3">
                  <c:v>0.51515151515151514</c:v>
                </c:pt>
                <c:pt idx="4">
                  <c:v>0.72727272727272729</c:v>
                </c:pt>
                <c:pt idx="5">
                  <c:v>1</c:v>
                </c:pt>
              </c:numCache>
            </c:numRef>
          </c:val>
          <c:smooth val="0"/>
        </c:ser>
        <c:dLbls>
          <c:showLegendKey val="0"/>
          <c:showVal val="0"/>
          <c:showCatName val="0"/>
          <c:showSerName val="0"/>
          <c:showPercent val="0"/>
          <c:showBubbleSize val="0"/>
        </c:dLbls>
        <c:marker val="1"/>
        <c:smooth val="0"/>
        <c:axId val="198541312"/>
        <c:axId val="132323520"/>
      </c:lineChart>
      <c:catAx>
        <c:axId val="19853926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s-ES"/>
                  <a:t>Clase</a:t>
                </a:r>
              </a:p>
            </c:rich>
          </c:tx>
          <c:layout>
            <c:manualLayout>
              <c:xMode val="edge"/>
              <c:yMode val="edge"/>
              <c:x val="0.29973474801061006"/>
              <c:y val="0.8190974871856527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s-ES"/>
          </a:p>
        </c:txPr>
        <c:crossAx val="132322944"/>
        <c:crosses val="autoZero"/>
        <c:auto val="1"/>
        <c:lblAlgn val="ctr"/>
        <c:lblOffset val="100"/>
        <c:tickLblSkip val="1"/>
        <c:tickMarkSkip val="1"/>
        <c:noMultiLvlLbl val="0"/>
      </c:catAx>
      <c:valAx>
        <c:axId val="132322944"/>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s-ES"/>
                  <a:t>Frecuencia</a:t>
                </a:r>
              </a:p>
            </c:rich>
          </c:tx>
          <c:layout>
            <c:manualLayout>
              <c:xMode val="edge"/>
              <c:yMode val="edge"/>
              <c:x val="4.2440318302387266E-2"/>
              <c:y val="0.2462317599515152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ES"/>
          </a:p>
        </c:txPr>
        <c:crossAx val="198539264"/>
        <c:crosses val="autoZero"/>
        <c:crossBetween val="between"/>
      </c:valAx>
      <c:catAx>
        <c:axId val="198541312"/>
        <c:scaling>
          <c:orientation val="minMax"/>
        </c:scaling>
        <c:delete val="1"/>
        <c:axPos val="b"/>
        <c:majorTickMark val="out"/>
        <c:minorTickMark val="none"/>
        <c:tickLblPos val="nextTo"/>
        <c:crossAx val="132323520"/>
        <c:crosses val="autoZero"/>
        <c:auto val="1"/>
        <c:lblAlgn val="ctr"/>
        <c:lblOffset val="100"/>
        <c:noMultiLvlLbl val="0"/>
      </c:catAx>
      <c:valAx>
        <c:axId val="132323520"/>
        <c:scaling>
          <c:orientation val="minMax"/>
        </c:scaling>
        <c:delete val="0"/>
        <c:axPos val="r"/>
        <c:numFmt formatCode=".0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ES"/>
          </a:p>
        </c:txPr>
        <c:crossAx val="198541312"/>
        <c:crosses val="max"/>
        <c:crossBetween val="between"/>
      </c:valAx>
      <c:spPr>
        <a:solidFill>
          <a:srgbClr val="C0C0C0"/>
        </a:solidFill>
        <a:ln w="12700">
          <a:solidFill>
            <a:srgbClr val="808080"/>
          </a:solidFill>
          <a:prstDash val="solid"/>
        </a:ln>
      </c:spPr>
    </c:plotArea>
    <c:legend>
      <c:legendPos val="r"/>
      <c:layout>
        <c:manualLayout>
          <c:xMode val="edge"/>
          <c:yMode val="edge"/>
          <c:x val="0.70557029177718833"/>
          <c:y val="0.31155855340803973"/>
          <c:w val="0.27320954907161804"/>
          <c:h val="0.1959803803695733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paperSize="9" orientation="landscape" horizontalDpi="2438" verticalDpi="2438"/>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s-ES"/>
              <a:t>Histograma</a:t>
            </a:r>
          </a:p>
        </c:rich>
      </c:tx>
      <c:layout>
        <c:manualLayout>
          <c:xMode val="edge"/>
          <c:yMode val="edge"/>
          <c:x val="0.3994719315061061"/>
          <c:y val="4.687523841979177E-2"/>
        </c:manualLayout>
      </c:layout>
      <c:overlay val="0"/>
      <c:spPr>
        <a:noFill/>
        <a:ln w="25400">
          <a:noFill/>
        </a:ln>
      </c:spPr>
    </c:title>
    <c:autoTitleDeleted val="0"/>
    <c:plotArea>
      <c:layout>
        <c:manualLayout>
          <c:layoutTarget val="inner"/>
          <c:xMode val="edge"/>
          <c:yMode val="edge"/>
          <c:x val="0.15608505933020039"/>
          <c:y val="0.28645979034317193"/>
          <c:w val="0.38095336514489592"/>
          <c:h val="0.22916783227453752"/>
        </c:manualLayout>
      </c:layout>
      <c:barChart>
        <c:barDir val="col"/>
        <c:grouping val="clustered"/>
        <c:varyColors val="0"/>
        <c:ser>
          <c:idx val="0"/>
          <c:order val="0"/>
          <c:tx>
            <c:v>Frecuencia</c:v>
          </c:tx>
          <c:spPr>
            <a:solidFill>
              <a:srgbClr val="9999FF"/>
            </a:solidFill>
            <a:ln w="12700">
              <a:solidFill>
                <a:srgbClr val="000000"/>
              </a:solidFill>
              <a:prstDash val="solid"/>
            </a:ln>
          </c:spPr>
          <c:invertIfNegative val="0"/>
          <c:cat>
            <c:strRef>
              <c:f>'Contingencia y Marginales Soluc'!$D$39:$D$44</c:f>
              <c:strCache>
                <c:ptCount val="6"/>
                <c:pt idx="0">
                  <c:v>0</c:v>
                </c:pt>
                <c:pt idx="1">
                  <c:v>4</c:v>
                </c:pt>
                <c:pt idx="2">
                  <c:v>8</c:v>
                </c:pt>
                <c:pt idx="3">
                  <c:v>12</c:v>
                </c:pt>
                <c:pt idx="4">
                  <c:v>16</c:v>
                </c:pt>
                <c:pt idx="5">
                  <c:v>y mayor...</c:v>
                </c:pt>
              </c:strCache>
            </c:strRef>
          </c:cat>
          <c:val>
            <c:numRef>
              <c:f>'Contingencia y Marginales Soluc'!$E$39:$E$44</c:f>
              <c:numCache>
                <c:formatCode>General</c:formatCode>
                <c:ptCount val="6"/>
                <c:pt idx="0">
                  <c:v>8</c:v>
                </c:pt>
                <c:pt idx="1">
                  <c:v>0</c:v>
                </c:pt>
                <c:pt idx="2">
                  <c:v>8</c:v>
                </c:pt>
                <c:pt idx="3">
                  <c:v>4</c:v>
                </c:pt>
                <c:pt idx="4">
                  <c:v>5</c:v>
                </c:pt>
                <c:pt idx="5">
                  <c:v>8</c:v>
                </c:pt>
              </c:numCache>
            </c:numRef>
          </c:val>
        </c:ser>
        <c:dLbls>
          <c:showLegendKey val="0"/>
          <c:showVal val="0"/>
          <c:showCatName val="0"/>
          <c:showSerName val="0"/>
          <c:showPercent val="0"/>
          <c:showBubbleSize val="0"/>
        </c:dLbls>
        <c:gapWidth val="150"/>
        <c:axId val="198543360"/>
        <c:axId val="201056256"/>
      </c:barChart>
      <c:lineChart>
        <c:grouping val="standard"/>
        <c:varyColors val="0"/>
        <c:ser>
          <c:idx val="1"/>
          <c:order val="1"/>
          <c:tx>
            <c:v>% acumulado</c:v>
          </c:tx>
          <c:spPr>
            <a:ln w="12700">
              <a:solidFill>
                <a:srgbClr val="FF00FF"/>
              </a:solidFill>
              <a:prstDash val="solid"/>
            </a:ln>
          </c:spPr>
          <c:marker>
            <c:symbol val="square"/>
            <c:size val="5"/>
            <c:spPr>
              <a:solidFill>
                <a:srgbClr val="FF00FF"/>
              </a:solidFill>
              <a:ln>
                <a:solidFill>
                  <a:srgbClr val="FF00FF"/>
                </a:solidFill>
                <a:prstDash val="solid"/>
              </a:ln>
            </c:spPr>
          </c:marker>
          <c:cat>
            <c:strRef>
              <c:f>'Contingencia y Marginales Soluc'!$D$39:$D$44</c:f>
              <c:strCache>
                <c:ptCount val="6"/>
                <c:pt idx="0">
                  <c:v>0</c:v>
                </c:pt>
                <c:pt idx="1">
                  <c:v>4</c:v>
                </c:pt>
                <c:pt idx="2">
                  <c:v>8</c:v>
                </c:pt>
                <c:pt idx="3">
                  <c:v>12</c:v>
                </c:pt>
                <c:pt idx="4">
                  <c:v>16</c:v>
                </c:pt>
                <c:pt idx="5">
                  <c:v>y mayor...</c:v>
                </c:pt>
              </c:strCache>
            </c:strRef>
          </c:cat>
          <c:val>
            <c:numRef>
              <c:f>'Contingencia y Marginales Soluc'!$F$39:$F$44</c:f>
              <c:numCache>
                <c:formatCode>.00%</c:formatCode>
                <c:ptCount val="6"/>
                <c:pt idx="0">
                  <c:v>0.24242424242424243</c:v>
                </c:pt>
                <c:pt idx="1">
                  <c:v>0.24242424242424243</c:v>
                </c:pt>
                <c:pt idx="2">
                  <c:v>0.48484848484848486</c:v>
                </c:pt>
                <c:pt idx="3">
                  <c:v>0.60606060606060608</c:v>
                </c:pt>
                <c:pt idx="4">
                  <c:v>0.75757575757575757</c:v>
                </c:pt>
                <c:pt idx="5">
                  <c:v>1</c:v>
                </c:pt>
              </c:numCache>
            </c:numRef>
          </c:val>
          <c:smooth val="0"/>
        </c:ser>
        <c:dLbls>
          <c:showLegendKey val="0"/>
          <c:showVal val="0"/>
          <c:showCatName val="0"/>
          <c:showSerName val="0"/>
          <c:showPercent val="0"/>
          <c:showBubbleSize val="0"/>
        </c:dLbls>
        <c:marker val="1"/>
        <c:smooth val="0"/>
        <c:axId val="198544384"/>
        <c:axId val="201056832"/>
      </c:lineChart>
      <c:catAx>
        <c:axId val="19854336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s-ES"/>
                  <a:t>Clase</a:t>
                </a:r>
              </a:p>
            </c:rich>
          </c:tx>
          <c:layout>
            <c:manualLayout>
              <c:xMode val="edge"/>
              <c:yMode val="edge"/>
              <c:x val="0.30158808073970927"/>
              <c:y val="0.8125041326097239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s-ES"/>
          </a:p>
        </c:txPr>
        <c:crossAx val="201056256"/>
        <c:crosses val="autoZero"/>
        <c:auto val="1"/>
        <c:lblAlgn val="ctr"/>
        <c:lblOffset val="100"/>
        <c:tickLblSkip val="1"/>
        <c:tickMarkSkip val="1"/>
        <c:noMultiLvlLbl val="0"/>
      </c:catAx>
      <c:valAx>
        <c:axId val="20105625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s-ES"/>
                  <a:t>Frecuencia</a:t>
                </a:r>
              </a:p>
            </c:rich>
          </c:tx>
          <c:layout>
            <c:manualLayout>
              <c:xMode val="edge"/>
              <c:yMode val="edge"/>
              <c:x val="4.2328151682766213E-2"/>
              <c:y val="0.23437619209895882"/>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ES"/>
          </a:p>
        </c:txPr>
        <c:crossAx val="198543360"/>
        <c:crosses val="autoZero"/>
        <c:crossBetween val="between"/>
      </c:valAx>
      <c:catAx>
        <c:axId val="198544384"/>
        <c:scaling>
          <c:orientation val="minMax"/>
        </c:scaling>
        <c:delete val="1"/>
        <c:axPos val="b"/>
        <c:majorTickMark val="out"/>
        <c:minorTickMark val="none"/>
        <c:tickLblPos val="nextTo"/>
        <c:crossAx val="201056832"/>
        <c:crosses val="autoZero"/>
        <c:auto val="1"/>
        <c:lblAlgn val="ctr"/>
        <c:lblOffset val="100"/>
        <c:noMultiLvlLbl val="0"/>
      </c:catAx>
      <c:valAx>
        <c:axId val="201056832"/>
        <c:scaling>
          <c:orientation val="minMax"/>
        </c:scaling>
        <c:delete val="0"/>
        <c:axPos val="r"/>
        <c:numFmt formatCode=".0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ES"/>
          </a:p>
        </c:txPr>
        <c:crossAx val="198544384"/>
        <c:crosses val="max"/>
        <c:crossBetween val="between"/>
      </c:valAx>
      <c:spPr>
        <a:solidFill>
          <a:srgbClr val="C0C0C0"/>
        </a:solidFill>
        <a:ln w="12700">
          <a:solidFill>
            <a:srgbClr val="808080"/>
          </a:solidFill>
          <a:prstDash val="solid"/>
        </a:ln>
      </c:spPr>
    </c:plotArea>
    <c:legend>
      <c:legendPos val="r"/>
      <c:layout>
        <c:manualLayout>
          <c:xMode val="edge"/>
          <c:yMode val="edge"/>
          <c:x val="0.70635103120616116"/>
          <c:y val="0.30208486981643584"/>
          <c:w val="0.27248747645780746"/>
          <c:h val="0.20312603315243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3606751329996794"/>
                  <c:y val="3.0753455818022746E-2"/>
                </c:manualLayout>
              </c:layout>
              <c:numFmt formatCode="General" sourceLinked="0"/>
            </c:trendlineLbl>
          </c:trendline>
          <c:xVal>
            <c:numRef>
              <c:f>'Mod Regresión Lineal Simp Sol '!$C$13:$C$26</c:f>
              <c:numCache>
                <c:formatCode>General</c:formatCode>
                <c:ptCount val="14"/>
                <c:pt idx="0">
                  <c:v>447</c:v>
                </c:pt>
                <c:pt idx="1">
                  <c:v>460</c:v>
                </c:pt>
                <c:pt idx="2">
                  <c:v>481</c:v>
                </c:pt>
                <c:pt idx="3">
                  <c:v>498</c:v>
                </c:pt>
                <c:pt idx="4">
                  <c:v>513</c:v>
                </c:pt>
                <c:pt idx="5">
                  <c:v>512</c:v>
                </c:pt>
                <c:pt idx="6">
                  <c:v>526</c:v>
                </c:pt>
                <c:pt idx="7">
                  <c:v>559</c:v>
                </c:pt>
                <c:pt idx="8">
                  <c:v>585</c:v>
                </c:pt>
                <c:pt idx="9">
                  <c:v>614</c:v>
                </c:pt>
                <c:pt idx="10">
                  <c:v>645</c:v>
                </c:pt>
                <c:pt idx="11">
                  <c:v>675</c:v>
                </c:pt>
                <c:pt idx="12">
                  <c:v>711</c:v>
                </c:pt>
                <c:pt idx="13">
                  <c:v>719</c:v>
                </c:pt>
              </c:numCache>
            </c:numRef>
          </c:xVal>
          <c:yVal>
            <c:numRef>
              <c:f>'Mod Regresión Lineal Simp Sol '!$D$13:$D$26</c:f>
              <c:numCache>
                <c:formatCode>General</c:formatCode>
                <c:ptCount val="14"/>
                <c:pt idx="0">
                  <c:v>13</c:v>
                </c:pt>
                <c:pt idx="1">
                  <c:v>21</c:v>
                </c:pt>
                <c:pt idx="2">
                  <c:v>24</c:v>
                </c:pt>
                <c:pt idx="3">
                  <c:v>16</c:v>
                </c:pt>
                <c:pt idx="4">
                  <c:v>24</c:v>
                </c:pt>
                <c:pt idx="5">
                  <c:v>20</c:v>
                </c:pt>
                <c:pt idx="6">
                  <c:v>15</c:v>
                </c:pt>
                <c:pt idx="7">
                  <c:v>34</c:v>
                </c:pt>
                <c:pt idx="8">
                  <c:v>33</c:v>
                </c:pt>
                <c:pt idx="9">
                  <c:v>33</c:v>
                </c:pt>
                <c:pt idx="10">
                  <c:v>39</c:v>
                </c:pt>
                <c:pt idx="11">
                  <c:v>43</c:v>
                </c:pt>
                <c:pt idx="12">
                  <c:v>50</c:v>
                </c:pt>
                <c:pt idx="13">
                  <c:v>47</c:v>
                </c:pt>
              </c:numCache>
            </c:numRef>
          </c:yVal>
          <c:smooth val="0"/>
        </c:ser>
        <c:dLbls>
          <c:showLegendKey val="0"/>
          <c:showVal val="0"/>
          <c:showCatName val="0"/>
          <c:showSerName val="0"/>
          <c:showPercent val="0"/>
          <c:showBubbleSize val="0"/>
        </c:dLbls>
        <c:axId val="201058560"/>
        <c:axId val="201059136"/>
      </c:scatterChart>
      <c:valAx>
        <c:axId val="201058560"/>
        <c:scaling>
          <c:orientation val="minMax"/>
        </c:scaling>
        <c:delete val="0"/>
        <c:axPos val="b"/>
        <c:numFmt formatCode="General" sourceLinked="1"/>
        <c:majorTickMark val="out"/>
        <c:minorTickMark val="none"/>
        <c:tickLblPos val="nextTo"/>
        <c:crossAx val="201059136"/>
        <c:crosses val="autoZero"/>
        <c:crossBetween val="midCat"/>
      </c:valAx>
      <c:valAx>
        <c:axId val="201059136"/>
        <c:scaling>
          <c:orientation val="minMax"/>
        </c:scaling>
        <c:delete val="0"/>
        <c:axPos val="l"/>
        <c:majorGridlines/>
        <c:numFmt formatCode="General" sourceLinked="1"/>
        <c:majorTickMark val="out"/>
        <c:minorTickMark val="none"/>
        <c:tickLblPos val="nextTo"/>
        <c:crossAx val="20105856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exp"/>
            <c:dispRSqr val="1"/>
            <c:dispEq val="1"/>
            <c:trendlineLbl>
              <c:layout>
                <c:manualLayout>
                  <c:x val="0.44134492563429573"/>
                  <c:y val="5.8483158355205601E-2"/>
                </c:manualLayout>
              </c:layout>
              <c:numFmt formatCode="General" sourceLinked="0"/>
            </c:trendlineLbl>
          </c:trendline>
          <c:xVal>
            <c:numRef>
              <c:f>'Regresión Logarítmica Soluc.'!$C$13:$C$17</c:f>
              <c:numCache>
                <c:formatCode>General</c:formatCode>
                <c:ptCount val="5"/>
                <c:pt idx="0">
                  <c:v>0</c:v>
                </c:pt>
                <c:pt idx="1">
                  <c:v>50</c:v>
                </c:pt>
                <c:pt idx="2">
                  <c:v>100</c:v>
                </c:pt>
                <c:pt idx="3">
                  <c:v>150</c:v>
                </c:pt>
                <c:pt idx="4">
                  <c:v>200</c:v>
                </c:pt>
              </c:numCache>
            </c:numRef>
          </c:xVal>
          <c:yVal>
            <c:numRef>
              <c:f>'Regresión Logarítmica Soluc.'!$D$13:$D$17</c:f>
              <c:numCache>
                <c:formatCode>General</c:formatCode>
                <c:ptCount val="5"/>
                <c:pt idx="0">
                  <c:v>125</c:v>
                </c:pt>
                <c:pt idx="1">
                  <c:v>187</c:v>
                </c:pt>
                <c:pt idx="2">
                  <c:v>274</c:v>
                </c:pt>
                <c:pt idx="3">
                  <c:v>423</c:v>
                </c:pt>
                <c:pt idx="4">
                  <c:v>594</c:v>
                </c:pt>
              </c:numCache>
            </c:numRef>
          </c:yVal>
          <c:smooth val="0"/>
        </c:ser>
        <c:dLbls>
          <c:showLegendKey val="0"/>
          <c:showVal val="0"/>
          <c:showCatName val="0"/>
          <c:showSerName val="0"/>
          <c:showPercent val="0"/>
          <c:showBubbleSize val="0"/>
        </c:dLbls>
        <c:axId val="201060864"/>
        <c:axId val="201061440"/>
      </c:scatterChart>
      <c:valAx>
        <c:axId val="201060864"/>
        <c:scaling>
          <c:orientation val="minMax"/>
        </c:scaling>
        <c:delete val="0"/>
        <c:axPos val="b"/>
        <c:numFmt formatCode="General" sourceLinked="1"/>
        <c:majorTickMark val="out"/>
        <c:minorTickMark val="none"/>
        <c:tickLblPos val="nextTo"/>
        <c:crossAx val="201061440"/>
        <c:crosses val="autoZero"/>
        <c:crossBetween val="midCat"/>
      </c:valAx>
      <c:valAx>
        <c:axId val="201061440"/>
        <c:scaling>
          <c:orientation val="minMax"/>
        </c:scaling>
        <c:delete val="0"/>
        <c:axPos val="l"/>
        <c:majorGridlines/>
        <c:numFmt formatCode="General" sourceLinked="1"/>
        <c:majorTickMark val="out"/>
        <c:minorTickMark val="none"/>
        <c:tickLblPos val="nextTo"/>
        <c:crossAx val="20106086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42836679790026244"/>
                  <c:y val="8.7488334791484393E-2"/>
                </c:manualLayout>
              </c:layout>
              <c:numFmt formatCode="General" sourceLinked="0"/>
            </c:trendlineLbl>
          </c:trendline>
          <c:xVal>
            <c:numRef>
              <c:f>'Regresión Logarítmica Soluc.'!$C$13:$C$17</c:f>
              <c:numCache>
                <c:formatCode>General</c:formatCode>
                <c:ptCount val="5"/>
                <c:pt idx="0">
                  <c:v>0</c:v>
                </c:pt>
                <c:pt idx="1">
                  <c:v>50</c:v>
                </c:pt>
                <c:pt idx="2">
                  <c:v>100</c:v>
                </c:pt>
                <c:pt idx="3">
                  <c:v>150</c:v>
                </c:pt>
                <c:pt idx="4">
                  <c:v>200</c:v>
                </c:pt>
              </c:numCache>
            </c:numRef>
          </c:xVal>
          <c:yVal>
            <c:numRef>
              <c:f>'Regresión Logarítmica Soluc.'!$E$13:$E$17</c:f>
              <c:numCache>
                <c:formatCode>General</c:formatCode>
                <c:ptCount val="5"/>
                <c:pt idx="0">
                  <c:v>4.8283169850828447</c:v>
                </c:pt>
                <c:pt idx="1">
                  <c:v>5.2311121355763825</c:v>
                </c:pt>
                <c:pt idx="2">
                  <c:v>5.6131318820764875</c:v>
                </c:pt>
                <c:pt idx="3">
                  <c:v>6.0473762468303462</c:v>
                </c:pt>
                <c:pt idx="4">
                  <c:v>6.3868836155172684</c:v>
                </c:pt>
              </c:numCache>
            </c:numRef>
          </c:yVal>
          <c:smooth val="0"/>
        </c:ser>
        <c:dLbls>
          <c:showLegendKey val="0"/>
          <c:showVal val="0"/>
          <c:showCatName val="0"/>
          <c:showSerName val="0"/>
          <c:showPercent val="0"/>
          <c:showBubbleSize val="0"/>
        </c:dLbls>
        <c:axId val="201063168"/>
        <c:axId val="201063744"/>
      </c:scatterChart>
      <c:valAx>
        <c:axId val="201063168"/>
        <c:scaling>
          <c:orientation val="minMax"/>
        </c:scaling>
        <c:delete val="0"/>
        <c:axPos val="b"/>
        <c:numFmt formatCode="General" sourceLinked="1"/>
        <c:majorTickMark val="out"/>
        <c:minorTickMark val="none"/>
        <c:tickLblPos val="nextTo"/>
        <c:crossAx val="201063744"/>
        <c:crosses val="autoZero"/>
        <c:crossBetween val="midCat"/>
      </c:valAx>
      <c:valAx>
        <c:axId val="201063744"/>
        <c:scaling>
          <c:orientation val="minMax"/>
        </c:scaling>
        <c:delete val="0"/>
        <c:axPos val="l"/>
        <c:majorGridlines/>
        <c:numFmt formatCode="General" sourceLinked="1"/>
        <c:majorTickMark val="out"/>
        <c:minorTickMark val="none"/>
        <c:tickLblPos val="nextTo"/>
        <c:crossAx val="20106316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s-ES"/>
              <a:t>PERIODO Gráfico de los residuales</a:t>
            </a:r>
          </a:p>
        </c:rich>
      </c:tx>
      <c:layout>
        <c:manualLayout>
          <c:xMode val="edge"/>
          <c:yMode val="edge"/>
          <c:x val="0.21336760925449871"/>
          <c:y val="5.4422130249058308E-2"/>
        </c:manualLayout>
      </c:layout>
      <c:overlay val="0"/>
      <c:spPr>
        <a:noFill/>
        <a:ln w="25400">
          <a:noFill/>
        </a:ln>
      </c:spPr>
    </c:title>
    <c:autoTitleDeleted val="0"/>
    <c:plotArea>
      <c:layout>
        <c:manualLayout>
          <c:layoutTarget val="inner"/>
          <c:xMode val="edge"/>
          <c:yMode val="edge"/>
          <c:x val="0.14652956298200515"/>
          <c:y val="0.36734937918114358"/>
          <c:w val="0.79691516709511567"/>
          <c:h val="0.31973001521321759"/>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xVal>
            <c:numRef>
              <c:f>'Regresión Cuadrática Soluc.'!$B$16:$B$36</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xVal>
          <c:yVal>
            <c:numRef>
              <c:f>'Regresión Cuadrática Soluc.'!$L$41:$L$61</c:f>
              <c:numCache>
                <c:formatCode>General</c:formatCode>
                <c:ptCount val="21"/>
                <c:pt idx="0">
                  <c:v>-0.2013419913419483</c:v>
                </c:pt>
                <c:pt idx="1">
                  <c:v>-0.21001731601727158</c:v>
                </c:pt>
                <c:pt idx="2">
                  <c:v>-1.0086926406926011</c:v>
                </c:pt>
                <c:pt idx="3">
                  <c:v>-1.7373679653679233</c:v>
                </c:pt>
                <c:pt idx="4">
                  <c:v>-1.5960432900432551</c:v>
                </c:pt>
                <c:pt idx="5">
                  <c:v>-0.66471861471858773</c:v>
                </c:pt>
                <c:pt idx="6">
                  <c:v>-0.31339393939391158</c:v>
                </c:pt>
                <c:pt idx="7">
                  <c:v>0.10793073593075775</c:v>
                </c:pt>
                <c:pt idx="8">
                  <c:v>0.50925541125543106</c:v>
                </c:pt>
                <c:pt idx="9">
                  <c:v>1.090580086580097</c:v>
                </c:pt>
                <c:pt idx="10">
                  <c:v>1.7219047619047743</c:v>
                </c:pt>
                <c:pt idx="11">
                  <c:v>2.503229437229443</c:v>
                </c:pt>
                <c:pt idx="12">
                  <c:v>2.3445541125541141</c:v>
                </c:pt>
                <c:pt idx="13">
                  <c:v>2.1258787878787899</c:v>
                </c:pt>
                <c:pt idx="14">
                  <c:v>2.6172034632034595</c:v>
                </c:pt>
                <c:pt idx="15">
                  <c:v>0.16852813852813142</c:v>
                </c:pt>
                <c:pt idx="16">
                  <c:v>-1.2601471861472007</c:v>
                </c:pt>
                <c:pt idx="17">
                  <c:v>-1.1588225108225245</c:v>
                </c:pt>
                <c:pt idx="18">
                  <c:v>-1.6674978354978549</c:v>
                </c:pt>
                <c:pt idx="19">
                  <c:v>-1.9861731601731876</c:v>
                </c:pt>
                <c:pt idx="20">
                  <c:v>-1.3848484848485114</c:v>
                </c:pt>
              </c:numCache>
            </c:numRef>
          </c:yVal>
          <c:smooth val="0"/>
        </c:ser>
        <c:dLbls>
          <c:showLegendKey val="0"/>
          <c:showVal val="0"/>
          <c:showCatName val="0"/>
          <c:showSerName val="0"/>
          <c:showPercent val="0"/>
          <c:showBubbleSize val="0"/>
        </c:dLbls>
        <c:axId val="227542144"/>
        <c:axId val="227542720"/>
      </c:scatterChart>
      <c:valAx>
        <c:axId val="22754214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s-ES"/>
                  <a:t>PERIODO</a:t>
                </a:r>
              </a:p>
            </c:rich>
          </c:tx>
          <c:layout>
            <c:manualLayout>
              <c:xMode val="edge"/>
              <c:yMode val="edge"/>
              <c:x val="0.48071979434447298"/>
              <c:y val="0.75510705720568405"/>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ES"/>
          </a:p>
        </c:txPr>
        <c:crossAx val="227542720"/>
        <c:crosses val="autoZero"/>
        <c:crossBetween val="midCat"/>
      </c:valAx>
      <c:valAx>
        <c:axId val="227542720"/>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s-ES"/>
                  <a:t>Residuos</a:t>
                </a:r>
              </a:p>
            </c:rich>
          </c:tx>
          <c:layout>
            <c:manualLayout>
              <c:xMode val="edge"/>
              <c:yMode val="edge"/>
              <c:x val="4.1131105398457581E-2"/>
              <c:y val="0.33333554777548213"/>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ES"/>
          </a:p>
        </c:txPr>
        <c:crossAx val="227542144"/>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3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32.png"/><Relationship Id="rId1" Type="http://schemas.openxmlformats.org/officeDocument/2006/relationships/image" Target="../media/image31.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33.png"/><Relationship Id="rId4" Type="http://schemas.openxmlformats.org/officeDocument/2006/relationships/image" Target="../media/image36.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7.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0.png"/><Relationship Id="rId2" Type="http://schemas.openxmlformats.org/officeDocument/2006/relationships/image" Target="../media/image39.png"/><Relationship Id="rId1" Type="http://schemas.openxmlformats.org/officeDocument/2006/relationships/image" Target="../media/image38.png"/><Relationship Id="rId4" Type="http://schemas.openxmlformats.org/officeDocument/2006/relationships/image" Target="../media/image41.png"/></Relationships>
</file>

<file path=xl/drawings/_rels/drawing15.xml.rels><?xml version="1.0" encoding="UTF-8" standalone="yes"?>
<Relationships xmlns="http://schemas.openxmlformats.org/package/2006/relationships"><Relationship Id="rId3" Type="http://schemas.openxmlformats.org/officeDocument/2006/relationships/image" Target="../media/image43.png"/><Relationship Id="rId2" Type="http://schemas.openxmlformats.org/officeDocument/2006/relationships/image" Target="../media/image40.png"/><Relationship Id="rId1" Type="http://schemas.openxmlformats.org/officeDocument/2006/relationships/image" Target="../media/image4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44.png"/></Relationships>
</file>

<file path=xl/drawings/_rels/drawing17.xml.rels><?xml version="1.0" encoding="UTF-8" standalone="yes"?>
<Relationships xmlns="http://schemas.openxmlformats.org/package/2006/relationships"><Relationship Id="rId3" Type="http://schemas.openxmlformats.org/officeDocument/2006/relationships/image" Target="../media/image46.png"/><Relationship Id="rId2" Type="http://schemas.openxmlformats.org/officeDocument/2006/relationships/image" Target="../media/image45.png"/><Relationship Id="rId1" Type="http://schemas.openxmlformats.org/officeDocument/2006/relationships/chart" Target="../charts/chart14.xml"/></Relationships>
</file>

<file path=xl/drawings/_rels/drawing18.xml.rels><?xml version="1.0" encoding="UTF-8" standalone="yes"?>
<Relationships xmlns="http://schemas.openxmlformats.org/package/2006/relationships"><Relationship Id="rId2" Type="http://schemas.openxmlformats.org/officeDocument/2006/relationships/image" Target="../media/image48.png"/><Relationship Id="rId1" Type="http://schemas.openxmlformats.org/officeDocument/2006/relationships/image" Target="../media/image47.png"/></Relationships>
</file>

<file path=xl/drawings/_rels/drawing19.xml.rels><?xml version="1.0" encoding="UTF-8" standalone="yes"?>
<Relationships xmlns="http://schemas.openxmlformats.org/package/2006/relationships"><Relationship Id="rId1" Type="http://schemas.openxmlformats.org/officeDocument/2006/relationships/image" Target="../media/image49.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3" Type="http://schemas.openxmlformats.org/officeDocument/2006/relationships/image" Target="../media/image52.png"/><Relationship Id="rId2" Type="http://schemas.openxmlformats.org/officeDocument/2006/relationships/image" Target="../media/image51.png"/><Relationship Id="rId1" Type="http://schemas.openxmlformats.org/officeDocument/2006/relationships/image" Target="../media/image50.png"/></Relationships>
</file>

<file path=xl/drawings/_rels/drawing21.xml.rels><?xml version="1.0" encoding="UTF-8" standalone="yes"?>
<Relationships xmlns="http://schemas.openxmlformats.org/package/2006/relationships"><Relationship Id="rId3" Type="http://schemas.openxmlformats.org/officeDocument/2006/relationships/image" Target="../media/image55.png"/><Relationship Id="rId7" Type="http://schemas.openxmlformats.org/officeDocument/2006/relationships/image" Target="../media/image59.png"/><Relationship Id="rId2" Type="http://schemas.openxmlformats.org/officeDocument/2006/relationships/image" Target="../media/image54.png"/><Relationship Id="rId1" Type="http://schemas.openxmlformats.org/officeDocument/2006/relationships/image" Target="../media/image53.png"/><Relationship Id="rId6" Type="http://schemas.openxmlformats.org/officeDocument/2006/relationships/image" Target="../media/image58.png"/><Relationship Id="rId5" Type="http://schemas.openxmlformats.org/officeDocument/2006/relationships/image" Target="../media/image57.png"/><Relationship Id="rId4" Type="http://schemas.openxmlformats.org/officeDocument/2006/relationships/image" Target="../media/image56.png"/></Relationships>
</file>

<file path=xl/drawings/_rels/drawing22.xml.rels><?xml version="1.0" encoding="UTF-8" standalone="yes"?>
<Relationships xmlns="http://schemas.openxmlformats.org/package/2006/relationships"><Relationship Id="rId3" Type="http://schemas.openxmlformats.org/officeDocument/2006/relationships/image" Target="../media/image55.png"/><Relationship Id="rId7" Type="http://schemas.openxmlformats.org/officeDocument/2006/relationships/image" Target="../media/image59.png"/><Relationship Id="rId2" Type="http://schemas.openxmlformats.org/officeDocument/2006/relationships/image" Target="../media/image54.png"/><Relationship Id="rId1" Type="http://schemas.openxmlformats.org/officeDocument/2006/relationships/image" Target="../media/image53.png"/><Relationship Id="rId6" Type="http://schemas.openxmlformats.org/officeDocument/2006/relationships/image" Target="../media/image58.png"/><Relationship Id="rId5" Type="http://schemas.openxmlformats.org/officeDocument/2006/relationships/image" Target="../media/image57.png"/><Relationship Id="rId4" Type="http://schemas.openxmlformats.org/officeDocument/2006/relationships/image" Target="../media/image56.png"/></Relationships>
</file>

<file path=xl/drawings/_rels/drawing2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4.xml.rels><?xml version="1.0" encoding="UTF-8" standalone="yes"?>
<Relationships xmlns="http://schemas.openxmlformats.org/package/2006/relationships"><Relationship Id="rId1" Type="http://schemas.openxmlformats.org/officeDocument/2006/relationships/image" Target="../media/image60.png"/></Relationships>
</file>

<file path=xl/drawings/_rels/drawing25.xml.rels><?xml version="1.0" encoding="UTF-8" standalone="yes"?>
<Relationships xmlns="http://schemas.openxmlformats.org/package/2006/relationships"><Relationship Id="rId3" Type="http://schemas.openxmlformats.org/officeDocument/2006/relationships/image" Target="../media/image63.png"/><Relationship Id="rId2" Type="http://schemas.openxmlformats.org/officeDocument/2006/relationships/image" Target="../media/image62.png"/><Relationship Id="rId1" Type="http://schemas.openxmlformats.org/officeDocument/2006/relationships/image" Target="../media/image61.png"/></Relationships>
</file>

<file path=xl/drawings/_rels/drawing26.xml.rels><?xml version="1.0" encoding="UTF-8" standalone="yes"?>
<Relationships xmlns="http://schemas.openxmlformats.org/package/2006/relationships"><Relationship Id="rId8" Type="http://schemas.openxmlformats.org/officeDocument/2006/relationships/image" Target="../media/image71.png"/><Relationship Id="rId3" Type="http://schemas.openxmlformats.org/officeDocument/2006/relationships/image" Target="../media/image66.png"/><Relationship Id="rId7" Type="http://schemas.openxmlformats.org/officeDocument/2006/relationships/image" Target="../media/image70.png"/><Relationship Id="rId2" Type="http://schemas.openxmlformats.org/officeDocument/2006/relationships/image" Target="../media/image65.png"/><Relationship Id="rId1" Type="http://schemas.openxmlformats.org/officeDocument/2006/relationships/image" Target="../media/image64.png"/><Relationship Id="rId6" Type="http://schemas.openxmlformats.org/officeDocument/2006/relationships/image" Target="../media/image69.png"/><Relationship Id="rId5" Type="http://schemas.openxmlformats.org/officeDocument/2006/relationships/image" Target="../media/image68.png"/><Relationship Id="rId10" Type="http://schemas.openxmlformats.org/officeDocument/2006/relationships/image" Target="../media/image73.png"/><Relationship Id="rId4" Type="http://schemas.openxmlformats.org/officeDocument/2006/relationships/image" Target="../media/image67.png"/><Relationship Id="rId9" Type="http://schemas.openxmlformats.org/officeDocument/2006/relationships/image" Target="../media/image7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74.png"/></Relationships>
</file>

<file path=xl/drawings/_rels/drawing28.xml.rels><?xml version="1.0" encoding="UTF-8" standalone="yes"?>
<Relationships xmlns="http://schemas.openxmlformats.org/package/2006/relationships"><Relationship Id="rId2" Type="http://schemas.openxmlformats.org/officeDocument/2006/relationships/image" Target="../media/image76.png"/><Relationship Id="rId1" Type="http://schemas.openxmlformats.org/officeDocument/2006/relationships/image" Target="../media/image75.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20.png"/><Relationship Id="rId7" Type="http://schemas.openxmlformats.org/officeDocument/2006/relationships/image" Target="../media/image24.png"/><Relationship Id="rId12" Type="http://schemas.openxmlformats.org/officeDocument/2006/relationships/image" Target="../media/image29.png"/><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23.png"/><Relationship Id="rId11" Type="http://schemas.openxmlformats.org/officeDocument/2006/relationships/image" Target="../media/image28.png"/><Relationship Id="rId5" Type="http://schemas.openxmlformats.org/officeDocument/2006/relationships/image" Target="../media/image22.png"/><Relationship Id="rId10" Type="http://schemas.openxmlformats.org/officeDocument/2006/relationships/image" Target="../media/image27.png"/><Relationship Id="rId4" Type="http://schemas.openxmlformats.org/officeDocument/2006/relationships/image" Target="../media/image21.png"/><Relationship Id="rId9" Type="http://schemas.openxmlformats.org/officeDocument/2006/relationships/image" Target="../media/image26.png"/></Relationships>
</file>

<file path=xl/drawings/_rels/drawing9.xml.rels><?xml version="1.0" encoding="UTF-8" standalone="yes"?>
<Relationships xmlns="http://schemas.openxmlformats.org/package/2006/relationships"><Relationship Id="rId1" Type="http://schemas.openxmlformats.org/officeDocument/2006/relationships/image" Target="../media/image30.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8.wmf"/><Relationship Id="rId13" Type="http://schemas.openxmlformats.org/officeDocument/2006/relationships/image" Target="../media/image13.wmf"/><Relationship Id="rId3" Type="http://schemas.openxmlformats.org/officeDocument/2006/relationships/image" Target="../media/image3.wmf"/><Relationship Id="rId7" Type="http://schemas.openxmlformats.org/officeDocument/2006/relationships/image" Target="../media/image7.wmf"/><Relationship Id="rId12" Type="http://schemas.openxmlformats.org/officeDocument/2006/relationships/image" Target="../media/image12.wmf"/><Relationship Id="rId17" Type="http://schemas.openxmlformats.org/officeDocument/2006/relationships/image" Target="../media/image17.wmf"/><Relationship Id="rId2" Type="http://schemas.openxmlformats.org/officeDocument/2006/relationships/image" Target="../media/image2.wmf"/><Relationship Id="rId16" Type="http://schemas.openxmlformats.org/officeDocument/2006/relationships/image" Target="../media/image16.wmf"/><Relationship Id="rId1" Type="http://schemas.openxmlformats.org/officeDocument/2006/relationships/image" Target="../media/image1.wmf"/><Relationship Id="rId6" Type="http://schemas.openxmlformats.org/officeDocument/2006/relationships/image" Target="../media/image6.wmf"/><Relationship Id="rId11" Type="http://schemas.openxmlformats.org/officeDocument/2006/relationships/image" Target="../media/image11.wmf"/><Relationship Id="rId5" Type="http://schemas.openxmlformats.org/officeDocument/2006/relationships/image" Target="../media/image5.wmf"/><Relationship Id="rId15" Type="http://schemas.openxmlformats.org/officeDocument/2006/relationships/image" Target="../media/image15.wmf"/><Relationship Id="rId10" Type="http://schemas.openxmlformats.org/officeDocument/2006/relationships/image" Target="../media/image10.wmf"/><Relationship Id="rId4" Type="http://schemas.openxmlformats.org/officeDocument/2006/relationships/image" Target="../media/image4.wmf"/><Relationship Id="rId9" Type="http://schemas.openxmlformats.org/officeDocument/2006/relationships/image" Target="../media/image9.wmf"/><Relationship Id="rId14" Type="http://schemas.openxmlformats.org/officeDocument/2006/relationships/image" Target="../media/image14.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285750</xdr:colOff>
          <xdr:row>47</xdr:row>
          <xdr:rowOff>114300</xdr:rowOff>
        </xdr:from>
        <xdr:to>
          <xdr:col>4</xdr:col>
          <xdr:colOff>466725</xdr:colOff>
          <xdr:row>49</xdr:row>
          <xdr:rowOff>19050</xdr:rowOff>
        </xdr:to>
        <xdr:sp macro="" textlink="">
          <xdr:nvSpPr>
            <xdr:cNvPr id="14337" name="Object 1" hidden="1">
              <a:extLst>
                <a:ext uri="{63B3BB69-23CF-44E3-9099-C40C66FF867C}">
                  <a14:compatExt spid="_x0000_s143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295275</xdr:colOff>
          <xdr:row>48</xdr:row>
          <xdr:rowOff>152400</xdr:rowOff>
        </xdr:from>
        <xdr:to>
          <xdr:col>4</xdr:col>
          <xdr:colOff>476250</xdr:colOff>
          <xdr:row>50</xdr:row>
          <xdr:rowOff>28575</xdr:rowOff>
        </xdr:to>
        <xdr:sp macro="" textlink="">
          <xdr:nvSpPr>
            <xdr:cNvPr id="14338" name="Object 2" hidden="1">
              <a:extLst>
                <a:ext uri="{63B3BB69-23CF-44E3-9099-C40C66FF867C}">
                  <a14:compatExt spid="_x0000_s143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295275</xdr:colOff>
          <xdr:row>43</xdr:row>
          <xdr:rowOff>0</xdr:rowOff>
        </xdr:from>
        <xdr:to>
          <xdr:col>4</xdr:col>
          <xdr:colOff>419100</xdr:colOff>
          <xdr:row>43</xdr:row>
          <xdr:rowOff>152400</xdr:rowOff>
        </xdr:to>
        <xdr:sp macro="" textlink="">
          <xdr:nvSpPr>
            <xdr:cNvPr id="14339" name="Object 3" hidden="1">
              <a:extLst>
                <a:ext uri="{63B3BB69-23CF-44E3-9099-C40C66FF867C}">
                  <a14:compatExt spid="_x0000_s143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323850</xdr:colOff>
          <xdr:row>10</xdr:row>
          <xdr:rowOff>47625</xdr:rowOff>
        </xdr:from>
        <xdr:to>
          <xdr:col>3</xdr:col>
          <xdr:colOff>447675</xdr:colOff>
          <xdr:row>10</xdr:row>
          <xdr:rowOff>200025</xdr:rowOff>
        </xdr:to>
        <xdr:sp macro="" textlink="">
          <xdr:nvSpPr>
            <xdr:cNvPr id="14340" name="Object 4" hidden="1">
              <a:extLst>
                <a:ext uri="{63B3BB69-23CF-44E3-9099-C40C66FF867C}">
                  <a14:compatExt spid="_x0000_s143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180975</xdr:colOff>
          <xdr:row>11</xdr:row>
          <xdr:rowOff>28575</xdr:rowOff>
        </xdr:from>
        <xdr:to>
          <xdr:col>4</xdr:col>
          <xdr:colOff>523875</xdr:colOff>
          <xdr:row>12</xdr:row>
          <xdr:rowOff>9525</xdr:rowOff>
        </xdr:to>
        <xdr:sp macro="" textlink="">
          <xdr:nvSpPr>
            <xdr:cNvPr id="14341" name="Object 5" hidden="1">
              <a:extLst>
                <a:ext uri="{63B3BB69-23CF-44E3-9099-C40C66FF867C}">
                  <a14:compatExt spid="_x0000_s143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466725</xdr:colOff>
          <xdr:row>17</xdr:row>
          <xdr:rowOff>0</xdr:rowOff>
        </xdr:from>
        <xdr:to>
          <xdr:col>0</xdr:col>
          <xdr:colOff>695325</xdr:colOff>
          <xdr:row>18</xdr:row>
          <xdr:rowOff>19050</xdr:rowOff>
        </xdr:to>
        <xdr:sp macro="" textlink="">
          <xdr:nvSpPr>
            <xdr:cNvPr id="14342" name="Object 6" hidden="1">
              <a:extLst>
                <a:ext uri="{63B3BB69-23CF-44E3-9099-C40C66FF867C}">
                  <a14:compatExt spid="_x0000_s143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314325</xdr:colOff>
          <xdr:row>17</xdr:row>
          <xdr:rowOff>171450</xdr:rowOff>
        </xdr:from>
        <xdr:to>
          <xdr:col>1</xdr:col>
          <xdr:colOff>0</xdr:colOff>
          <xdr:row>19</xdr:row>
          <xdr:rowOff>66675</xdr:rowOff>
        </xdr:to>
        <xdr:sp macro="" textlink="">
          <xdr:nvSpPr>
            <xdr:cNvPr id="14343" name="Object 7" hidden="1">
              <a:extLst>
                <a:ext uri="{63B3BB69-23CF-44E3-9099-C40C66FF867C}">
                  <a14:compatExt spid="_x0000_s143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47625</xdr:colOff>
          <xdr:row>11</xdr:row>
          <xdr:rowOff>19050</xdr:rowOff>
        </xdr:from>
        <xdr:to>
          <xdr:col>5</xdr:col>
          <xdr:colOff>723900</xdr:colOff>
          <xdr:row>12</xdr:row>
          <xdr:rowOff>0</xdr:rowOff>
        </xdr:to>
        <xdr:sp macro="" textlink="">
          <xdr:nvSpPr>
            <xdr:cNvPr id="14344" name="Object 8" hidden="1">
              <a:extLst>
                <a:ext uri="{63B3BB69-23CF-44E3-9099-C40C66FF867C}">
                  <a14:compatExt spid="_x0000_s143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28575</xdr:colOff>
          <xdr:row>11</xdr:row>
          <xdr:rowOff>28575</xdr:rowOff>
        </xdr:from>
        <xdr:to>
          <xdr:col>6</xdr:col>
          <xdr:colOff>704850</xdr:colOff>
          <xdr:row>12</xdr:row>
          <xdr:rowOff>0</xdr:rowOff>
        </xdr:to>
        <xdr:sp macro="" textlink="">
          <xdr:nvSpPr>
            <xdr:cNvPr id="14345" name="Object 9" hidden="1">
              <a:extLst>
                <a:ext uri="{63B3BB69-23CF-44E3-9099-C40C66FF867C}">
                  <a14:compatExt spid="_x0000_s143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47625</xdr:colOff>
          <xdr:row>11</xdr:row>
          <xdr:rowOff>19050</xdr:rowOff>
        </xdr:from>
        <xdr:to>
          <xdr:col>7</xdr:col>
          <xdr:colOff>723900</xdr:colOff>
          <xdr:row>12</xdr:row>
          <xdr:rowOff>0</xdr:rowOff>
        </xdr:to>
        <xdr:sp macro="" textlink="">
          <xdr:nvSpPr>
            <xdr:cNvPr id="14346" name="Object 10" hidden="1">
              <a:extLst>
                <a:ext uri="{63B3BB69-23CF-44E3-9099-C40C66FF867C}">
                  <a14:compatExt spid="_x0000_s143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476250</xdr:colOff>
          <xdr:row>22</xdr:row>
          <xdr:rowOff>123825</xdr:rowOff>
        </xdr:from>
        <xdr:to>
          <xdr:col>4</xdr:col>
          <xdr:colOff>704850</xdr:colOff>
          <xdr:row>24</xdr:row>
          <xdr:rowOff>76200</xdr:rowOff>
        </xdr:to>
        <xdr:sp macro="" textlink="">
          <xdr:nvSpPr>
            <xdr:cNvPr id="14347" name="Object 11" hidden="1">
              <a:extLst>
                <a:ext uri="{63B3BB69-23CF-44E3-9099-C40C66FF867C}">
                  <a14:compatExt spid="_x0000_s143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219075</xdr:colOff>
          <xdr:row>11</xdr:row>
          <xdr:rowOff>38100</xdr:rowOff>
        </xdr:from>
        <xdr:to>
          <xdr:col>3</xdr:col>
          <xdr:colOff>552450</xdr:colOff>
          <xdr:row>11</xdr:row>
          <xdr:rowOff>238125</xdr:rowOff>
        </xdr:to>
        <xdr:sp macro="" textlink="">
          <xdr:nvSpPr>
            <xdr:cNvPr id="14348" name="Object 12" hidden="1">
              <a:extLst>
                <a:ext uri="{63B3BB69-23CF-44E3-9099-C40C66FF867C}">
                  <a14:compatExt spid="_x0000_s143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752475</xdr:colOff>
          <xdr:row>28</xdr:row>
          <xdr:rowOff>57150</xdr:rowOff>
        </xdr:from>
        <xdr:to>
          <xdr:col>3</xdr:col>
          <xdr:colOff>0</xdr:colOff>
          <xdr:row>30</xdr:row>
          <xdr:rowOff>104775</xdr:rowOff>
        </xdr:to>
        <xdr:sp macro="" textlink="">
          <xdr:nvSpPr>
            <xdr:cNvPr id="14349" name="Object 13" hidden="1">
              <a:extLst>
                <a:ext uri="{63B3BB69-23CF-44E3-9099-C40C66FF867C}">
                  <a14:compatExt spid="_x0000_s143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752475</xdr:colOff>
          <xdr:row>31</xdr:row>
          <xdr:rowOff>57150</xdr:rowOff>
        </xdr:from>
        <xdr:to>
          <xdr:col>3</xdr:col>
          <xdr:colOff>190500</xdr:colOff>
          <xdr:row>33</xdr:row>
          <xdr:rowOff>152400</xdr:rowOff>
        </xdr:to>
        <xdr:sp macro="" textlink="">
          <xdr:nvSpPr>
            <xdr:cNvPr id="14350" name="Object 14" hidden="1">
              <a:extLst>
                <a:ext uri="{63B3BB69-23CF-44E3-9099-C40C66FF867C}">
                  <a14:compatExt spid="_x0000_s143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34</xdr:row>
          <xdr:rowOff>66675</xdr:rowOff>
        </xdr:from>
        <xdr:to>
          <xdr:col>3</xdr:col>
          <xdr:colOff>419100</xdr:colOff>
          <xdr:row>37</xdr:row>
          <xdr:rowOff>0</xdr:rowOff>
        </xdr:to>
        <xdr:sp macro="" textlink="">
          <xdr:nvSpPr>
            <xdr:cNvPr id="14351" name="Object 15" hidden="1">
              <a:extLst>
                <a:ext uri="{63B3BB69-23CF-44E3-9099-C40C66FF867C}">
                  <a14:compatExt spid="_x0000_s143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285750</xdr:colOff>
          <xdr:row>10</xdr:row>
          <xdr:rowOff>28575</xdr:rowOff>
        </xdr:from>
        <xdr:to>
          <xdr:col>5</xdr:col>
          <xdr:colOff>466725</xdr:colOff>
          <xdr:row>10</xdr:row>
          <xdr:rowOff>257175</xdr:rowOff>
        </xdr:to>
        <xdr:sp macro="" textlink="">
          <xdr:nvSpPr>
            <xdr:cNvPr id="14352" name="Object 16" hidden="1">
              <a:extLst>
                <a:ext uri="{63B3BB69-23CF-44E3-9099-C40C66FF867C}">
                  <a14:compatExt spid="_x0000_s143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638175</xdr:colOff>
          <xdr:row>19</xdr:row>
          <xdr:rowOff>104775</xdr:rowOff>
        </xdr:from>
        <xdr:to>
          <xdr:col>3</xdr:col>
          <xdr:colOff>180975</xdr:colOff>
          <xdr:row>21</xdr:row>
          <xdr:rowOff>95250</xdr:rowOff>
        </xdr:to>
        <xdr:sp macro="" textlink="">
          <xdr:nvSpPr>
            <xdr:cNvPr id="14353" name="Object 17" hidden="1">
              <a:extLst>
                <a:ext uri="{63B3BB69-23CF-44E3-9099-C40C66FF867C}">
                  <a14:compatExt spid="_x0000_s143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657225</xdr:colOff>
          <xdr:row>25</xdr:row>
          <xdr:rowOff>95250</xdr:rowOff>
        </xdr:from>
        <xdr:to>
          <xdr:col>3</xdr:col>
          <xdr:colOff>161925</xdr:colOff>
          <xdr:row>27</xdr:row>
          <xdr:rowOff>28575</xdr:rowOff>
        </xdr:to>
        <xdr:sp macro="" textlink="">
          <xdr:nvSpPr>
            <xdr:cNvPr id="14354" name="Object 18" hidden="1">
              <a:extLst>
                <a:ext uri="{63B3BB69-23CF-44E3-9099-C40C66FF867C}">
                  <a14:compatExt spid="_x0000_s14354"/>
                </a:ext>
              </a:extLst>
            </xdr:cNvPr>
            <xdr:cNvSpPr/>
          </xdr:nvSpPr>
          <xdr:spPr>
            <a:xfrm>
              <a:off x="0" y="0"/>
              <a:ext cx="0" cy="0"/>
            </a:xfrm>
            <a:prstGeom prst="rect">
              <a:avLst/>
            </a:prstGeom>
          </xdr:spPr>
        </xdr:sp>
        <xdr:clientData/>
      </xdr:twoCellAnchor>
    </mc:Choice>
    <mc:Fallback/>
  </mc:AlternateContent>
  <xdr:twoCellAnchor>
    <xdr:from>
      <xdr:col>1</xdr:col>
      <xdr:colOff>0</xdr:colOff>
      <xdr:row>118</xdr:row>
      <xdr:rowOff>0</xdr:rowOff>
    </xdr:from>
    <xdr:to>
      <xdr:col>7</xdr:col>
      <xdr:colOff>47625</xdr:colOff>
      <xdr:row>141</xdr:row>
      <xdr:rowOff>9525</xdr:rowOff>
    </xdr:to>
    <xdr:graphicFrame macro="">
      <xdr:nvGraphicFramePr>
        <xdr:cNvPr id="20" name="Gráfico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11263</xdr:colOff>
      <xdr:row>14</xdr:row>
      <xdr:rowOff>1202</xdr:rowOff>
    </xdr:from>
    <xdr:to>
      <xdr:col>11</xdr:col>
      <xdr:colOff>435713</xdr:colOff>
      <xdr:row>18</xdr:row>
      <xdr:rowOff>65323</xdr:rowOff>
    </xdr:to>
    <xdr:pic>
      <xdr:nvPicPr>
        <xdr:cNvPr id="2" name="1 Imagen"/>
        <xdr:cNvPicPr>
          <a:picLocks noChangeAspect="1"/>
        </xdr:cNvPicPr>
      </xdr:nvPicPr>
      <xdr:blipFill>
        <a:blip xmlns:r="http://schemas.openxmlformats.org/officeDocument/2006/relationships" r:embed="rId1"/>
        <a:stretch>
          <a:fillRect/>
        </a:stretch>
      </xdr:blipFill>
      <xdr:spPr>
        <a:xfrm>
          <a:off x="5021413" y="2668202"/>
          <a:ext cx="3824875" cy="826121"/>
        </a:xfrm>
        <a:prstGeom prst="rect">
          <a:avLst/>
        </a:prstGeom>
        <a:ln>
          <a:solidFill>
            <a:srgbClr val="7030A0"/>
          </a:solidFill>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1064</xdr:colOff>
      <xdr:row>9</xdr:row>
      <xdr:rowOff>147057</xdr:rowOff>
    </xdr:from>
    <xdr:to>
      <xdr:col>6</xdr:col>
      <xdr:colOff>766285</xdr:colOff>
      <xdr:row>12</xdr:row>
      <xdr:rowOff>88513</xdr:rowOff>
    </xdr:to>
    <xdr:pic>
      <xdr:nvPicPr>
        <xdr:cNvPr id="2" name="1 Imagen"/>
        <xdr:cNvPicPr>
          <a:picLocks noChangeAspect="1"/>
        </xdr:cNvPicPr>
      </xdr:nvPicPr>
      <xdr:blipFill>
        <a:blip xmlns:r="http://schemas.openxmlformats.org/officeDocument/2006/relationships" r:embed="rId1"/>
        <a:stretch>
          <a:fillRect/>
        </a:stretch>
      </xdr:blipFill>
      <xdr:spPr>
        <a:xfrm>
          <a:off x="3363389" y="1861557"/>
          <a:ext cx="2374946" cy="512956"/>
        </a:xfrm>
        <a:prstGeom prst="rect">
          <a:avLst/>
        </a:prstGeom>
        <a:ln>
          <a:solidFill>
            <a:srgbClr val="7030A0"/>
          </a:solidFill>
        </a:ln>
      </xdr:spPr>
    </xdr:pic>
    <xdr:clientData/>
  </xdr:twoCellAnchor>
  <xdr:twoCellAnchor editAs="oneCell">
    <xdr:from>
      <xdr:col>7</xdr:col>
      <xdr:colOff>371476</xdr:colOff>
      <xdr:row>9</xdr:row>
      <xdr:rowOff>125830</xdr:rowOff>
    </xdr:from>
    <xdr:to>
      <xdr:col>9</xdr:col>
      <xdr:colOff>438150</xdr:colOff>
      <xdr:row>12</xdr:row>
      <xdr:rowOff>76021</xdr:rowOff>
    </xdr:to>
    <xdr:pic>
      <xdr:nvPicPr>
        <xdr:cNvPr id="3" name="2 Imagen"/>
        <xdr:cNvPicPr>
          <a:picLocks noChangeAspect="1"/>
        </xdr:cNvPicPr>
      </xdr:nvPicPr>
      <xdr:blipFill>
        <a:blip xmlns:r="http://schemas.openxmlformats.org/officeDocument/2006/relationships" r:embed="rId2"/>
        <a:stretch>
          <a:fillRect/>
        </a:stretch>
      </xdr:blipFill>
      <xdr:spPr>
        <a:xfrm>
          <a:off x="6191251" y="1840330"/>
          <a:ext cx="1771649" cy="521691"/>
        </a:xfrm>
        <a:prstGeom prst="rect">
          <a:avLst/>
        </a:prstGeom>
        <a:ln>
          <a:solidFill>
            <a:srgbClr val="7030A0"/>
          </a:solidFill>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78900</xdr:colOff>
      <xdr:row>29</xdr:row>
      <xdr:rowOff>1804</xdr:rowOff>
    </xdr:from>
    <xdr:to>
      <xdr:col>6</xdr:col>
      <xdr:colOff>986853</xdr:colOff>
      <xdr:row>32</xdr:row>
      <xdr:rowOff>160014</xdr:rowOff>
    </xdr:to>
    <xdr:pic>
      <xdr:nvPicPr>
        <xdr:cNvPr id="2" name="1 Imagen"/>
        <xdr:cNvPicPr>
          <a:picLocks noChangeAspect="1"/>
        </xdr:cNvPicPr>
      </xdr:nvPicPr>
      <xdr:blipFill>
        <a:blip xmlns:r="http://schemas.openxmlformats.org/officeDocument/2006/relationships" r:embed="rId1"/>
        <a:stretch>
          <a:fillRect/>
        </a:stretch>
      </xdr:blipFill>
      <xdr:spPr>
        <a:xfrm>
          <a:off x="78900" y="4697629"/>
          <a:ext cx="6289578" cy="643985"/>
        </a:xfrm>
        <a:prstGeom prst="rect">
          <a:avLst/>
        </a:prstGeom>
        <a:ln>
          <a:solidFill>
            <a:srgbClr val="7030A0"/>
          </a:solidFill>
        </a:ln>
      </xdr:spPr>
    </xdr:pic>
    <xdr:clientData/>
  </xdr:twoCellAnchor>
  <xdr:twoCellAnchor editAs="oneCell">
    <xdr:from>
      <xdr:col>0</xdr:col>
      <xdr:colOff>96878</xdr:colOff>
      <xdr:row>25</xdr:row>
      <xdr:rowOff>0</xdr:rowOff>
    </xdr:from>
    <xdr:to>
      <xdr:col>3</xdr:col>
      <xdr:colOff>651052</xdr:colOff>
      <xdr:row>28</xdr:row>
      <xdr:rowOff>72345</xdr:rowOff>
    </xdr:to>
    <xdr:pic>
      <xdr:nvPicPr>
        <xdr:cNvPr id="3" name="2 Imagen"/>
        <xdr:cNvPicPr>
          <a:picLocks noChangeAspect="1"/>
        </xdr:cNvPicPr>
      </xdr:nvPicPr>
      <xdr:blipFill>
        <a:blip xmlns:r="http://schemas.openxmlformats.org/officeDocument/2006/relationships" r:embed="rId2"/>
        <a:stretch>
          <a:fillRect/>
        </a:stretch>
      </xdr:blipFill>
      <xdr:spPr>
        <a:xfrm>
          <a:off x="96878" y="4485197"/>
          <a:ext cx="2525849" cy="558120"/>
        </a:xfrm>
        <a:prstGeom prst="rect">
          <a:avLst/>
        </a:prstGeom>
        <a:ln>
          <a:solidFill>
            <a:srgbClr val="7030A0"/>
          </a:solidFill>
        </a:ln>
      </xdr:spPr>
    </xdr:pic>
    <xdr:clientData/>
  </xdr:twoCellAnchor>
  <xdr:twoCellAnchor editAs="oneCell">
    <xdr:from>
      <xdr:col>0</xdr:col>
      <xdr:colOff>74776</xdr:colOff>
      <xdr:row>33</xdr:row>
      <xdr:rowOff>75977</xdr:rowOff>
    </xdr:from>
    <xdr:to>
      <xdr:col>6</xdr:col>
      <xdr:colOff>1295615</xdr:colOff>
      <xdr:row>36</xdr:row>
      <xdr:rowOff>156127</xdr:rowOff>
    </xdr:to>
    <xdr:pic>
      <xdr:nvPicPr>
        <xdr:cNvPr id="4" name="3 Imagen"/>
        <xdr:cNvPicPr>
          <a:picLocks noChangeAspect="1"/>
        </xdr:cNvPicPr>
      </xdr:nvPicPr>
      <xdr:blipFill>
        <a:blip xmlns:r="http://schemas.openxmlformats.org/officeDocument/2006/relationships" r:embed="rId3"/>
        <a:stretch>
          <a:fillRect/>
        </a:stretch>
      </xdr:blipFill>
      <xdr:spPr>
        <a:xfrm>
          <a:off x="74776" y="5419502"/>
          <a:ext cx="6602464" cy="565925"/>
        </a:xfrm>
        <a:prstGeom prst="rect">
          <a:avLst/>
        </a:prstGeom>
        <a:ln>
          <a:solidFill>
            <a:srgbClr val="7030A0"/>
          </a:solidFill>
        </a:ln>
      </xdr:spPr>
    </xdr:pic>
    <xdr:clientData/>
  </xdr:twoCellAnchor>
  <xdr:twoCellAnchor editAs="oneCell">
    <xdr:from>
      <xdr:col>0</xdr:col>
      <xdr:colOff>66956</xdr:colOff>
      <xdr:row>37</xdr:row>
      <xdr:rowOff>57104</xdr:rowOff>
    </xdr:from>
    <xdr:to>
      <xdr:col>6</xdr:col>
      <xdr:colOff>1017842</xdr:colOff>
      <xdr:row>45</xdr:row>
      <xdr:rowOff>142691</xdr:rowOff>
    </xdr:to>
    <xdr:pic>
      <xdr:nvPicPr>
        <xdr:cNvPr id="5" name="4 Imagen"/>
        <xdr:cNvPicPr>
          <a:picLocks noChangeAspect="1"/>
        </xdr:cNvPicPr>
      </xdr:nvPicPr>
      <xdr:blipFill>
        <a:blip xmlns:r="http://schemas.openxmlformats.org/officeDocument/2006/relationships" r:embed="rId4"/>
        <a:stretch>
          <a:fillRect/>
        </a:stretch>
      </xdr:blipFill>
      <xdr:spPr>
        <a:xfrm>
          <a:off x="66956" y="6048329"/>
          <a:ext cx="6332511" cy="1380987"/>
        </a:xfrm>
        <a:prstGeom prst="rect">
          <a:avLst/>
        </a:prstGeom>
        <a:ln>
          <a:solidFill>
            <a:srgbClr val="7030A0"/>
          </a:solidFill>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19353</xdr:colOff>
      <xdr:row>15</xdr:row>
      <xdr:rowOff>17091</xdr:rowOff>
    </xdr:from>
    <xdr:to>
      <xdr:col>5</xdr:col>
      <xdr:colOff>103273</xdr:colOff>
      <xdr:row>19</xdr:row>
      <xdr:rowOff>49447</xdr:rowOff>
    </xdr:to>
    <xdr:pic>
      <xdr:nvPicPr>
        <xdr:cNvPr id="2" name="1 Imagen"/>
        <xdr:cNvPicPr>
          <a:picLocks noChangeAspect="1"/>
        </xdr:cNvPicPr>
      </xdr:nvPicPr>
      <xdr:blipFill>
        <a:blip xmlns:r="http://schemas.openxmlformats.org/officeDocument/2006/relationships" r:embed="rId1"/>
        <a:stretch>
          <a:fillRect/>
        </a:stretch>
      </xdr:blipFill>
      <xdr:spPr>
        <a:xfrm>
          <a:off x="362253" y="2445966"/>
          <a:ext cx="5960845" cy="680056"/>
        </a:xfrm>
        <a:prstGeom prst="rect">
          <a:avLst/>
        </a:prstGeom>
        <a:ln>
          <a:solidFill>
            <a:srgbClr val="7030A0"/>
          </a:solidFill>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114300</xdr:colOff>
      <xdr:row>12</xdr:row>
      <xdr:rowOff>0</xdr:rowOff>
    </xdr:from>
    <xdr:to>
      <xdr:col>11</xdr:col>
      <xdr:colOff>227967</xdr:colOff>
      <xdr:row>13</xdr:row>
      <xdr:rowOff>76167</xdr:rowOff>
    </xdr:to>
    <xdr:pic>
      <xdr:nvPicPr>
        <xdr:cNvPr id="2" name="1 Imagen"/>
        <xdr:cNvPicPr>
          <a:picLocks noChangeAspect="1"/>
        </xdr:cNvPicPr>
      </xdr:nvPicPr>
      <xdr:blipFill>
        <a:blip xmlns:r="http://schemas.openxmlformats.org/officeDocument/2006/relationships" r:embed="rId1"/>
        <a:stretch>
          <a:fillRect/>
        </a:stretch>
      </xdr:blipFill>
      <xdr:spPr>
        <a:xfrm>
          <a:off x="3590925" y="2286000"/>
          <a:ext cx="5066667" cy="266667"/>
        </a:xfrm>
        <a:prstGeom prst="rect">
          <a:avLst/>
        </a:prstGeom>
        <a:ln>
          <a:solidFill>
            <a:srgbClr val="7030A0"/>
          </a:solidFill>
        </a:ln>
      </xdr:spPr>
    </xdr:pic>
    <xdr:clientData/>
  </xdr:twoCellAnchor>
  <xdr:twoCellAnchor>
    <xdr:from>
      <xdr:col>4</xdr:col>
      <xdr:colOff>52224</xdr:colOff>
      <xdr:row>26</xdr:row>
      <xdr:rowOff>6018</xdr:rowOff>
    </xdr:from>
    <xdr:to>
      <xdr:col>4</xdr:col>
      <xdr:colOff>335634</xdr:colOff>
      <xdr:row>27</xdr:row>
      <xdr:rowOff>2365</xdr:rowOff>
    </xdr:to>
    <xdr:sp macro="" textlink="">
      <xdr:nvSpPr>
        <xdr:cNvPr id="3" name="2 Flecha derecha"/>
        <xdr:cNvSpPr/>
      </xdr:nvSpPr>
      <xdr:spPr>
        <a:xfrm>
          <a:off x="3528849" y="4959018"/>
          <a:ext cx="283410" cy="18684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editAs="oneCell">
    <xdr:from>
      <xdr:col>4</xdr:col>
      <xdr:colOff>114300</xdr:colOff>
      <xdr:row>13</xdr:row>
      <xdr:rowOff>161925</xdr:rowOff>
    </xdr:from>
    <xdr:to>
      <xdr:col>11</xdr:col>
      <xdr:colOff>227967</xdr:colOff>
      <xdr:row>15</xdr:row>
      <xdr:rowOff>171401</xdr:rowOff>
    </xdr:to>
    <xdr:pic>
      <xdr:nvPicPr>
        <xdr:cNvPr id="4" name="3 Imagen"/>
        <xdr:cNvPicPr>
          <a:picLocks noChangeAspect="1"/>
        </xdr:cNvPicPr>
      </xdr:nvPicPr>
      <xdr:blipFill>
        <a:blip xmlns:r="http://schemas.openxmlformats.org/officeDocument/2006/relationships" r:embed="rId2"/>
        <a:stretch>
          <a:fillRect/>
        </a:stretch>
      </xdr:blipFill>
      <xdr:spPr>
        <a:xfrm>
          <a:off x="3590925" y="2638425"/>
          <a:ext cx="5066667" cy="390476"/>
        </a:xfrm>
        <a:prstGeom prst="rect">
          <a:avLst/>
        </a:prstGeom>
        <a:ln>
          <a:solidFill>
            <a:srgbClr val="7030A0"/>
          </a:solidFill>
        </a:ln>
      </xdr:spPr>
    </xdr:pic>
    <xdr:clientData/>
  </xdr:twoCellAnchor>
  <xdr:twoCellAnchor editAs="oneCell">
    <xdr:from>
      <xdr:col>4</xdr:col>
      <xdr:colOff>114300</xdr:colOff>
      <xdr:row>17</xdr:row>
      <xdr:rowOff>0</xdr:rowOff>
    </xdr:from>
    <xdr:to>
      <xdr:col>7</xdr:col>
      <xdr:colOff>523586</xdr:colOff>
      <xdr:row>20</xdr:row>
      <xdr:rowOff>9452</xdr:rowOff>
    </xdr:to>
    <xdr:pic>
      <xdr:nvPicPr>
        <xdr:cNvPr id="5" name="4 Imagen"/>
        <xdr:cNvPicPr>
          <a:picLocks noChangeAspect="1"/>
        </xdr:cNvPicPr>
      </xdr:nvPicPr>
      <xdr:blipFill>
        <a:blip xmlns:r="http://schemas.openxmlformats.org/officeDocument/2006/relationships" r:embed="rId3"/>
        <a:stretch>
          <a:fillRect/>
        </a:stretch>
      </xdr:blipFill>
      <xdr:spPr>
        <a:xfrm>
          <a:off x="3590925" y="3238500"/>
          <a:ext cx="2314286" cy="580952"/>
        </a:xfrm>
        <a:prstGeom prst="rect">
          <a:avLst/>
        </a:prstGeom>
        <a:ln>
          <a:solidFill>
            <a:srgbClr val="7030A0"/>
          </a:solidFill>
        </a:ln>
      </xdr:spPr>
    </xdr:pic>
    <xdr:clientData/>
  </xdr:twoCellAnchor>
  <xdr:twoCellAnchor>
    <xdr:from>
      <xdr:col>4</xdr:col>
      <xdr:colOff>52224</xdr:colOff>
      <xdr:row>30</xdr:row>
      <xdr:rowOff>186993</xdr:rowOff>
    </xdr:from>
    <xdr:to>
      <xdr:col>4</xdr:col>
      <xdr:colOff>335634</xdr:colOff>
      <xdr:row>31</xdr:row>
      <xdr:rowOff>183340</xdr:rowOff>
    </xdr:to>
    <xdr:sp macro="" textlink="">
      <xdr:nvSpPr>
        <xdr:cNvPr id="6" name="5 Flecha derecha"/>
        <xdr:cNvSpPr/>
      </xdr:nvSpPr>
      <xdr:spPr>
        <a:xfrm>
          <a:off x="3528849" y="5901993"/>
          <a:ext cx="283410" cy="18684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52224</xdr:colOff>
      <xdr:row>42</xdr:row>
      <xdr:rowOff>82218</xdr:rowOff>
    </xdr:from>
    <xdr:to>
      <xdr:col>4</xdr:col>
      <xdr:colOff>335634</xdr:colOff>
      <xdr:row>43</xdr:row>
      <xdr:rowOff>78565</xdr:rowOff>
    </xdr:to>
    <xdr:sp macro="" textlink="">
      <xdr:nvSpPr>
        <xdr:cNvPr id="7" name="6 Flecha derecha"/>
        <xdr:cNvSpPr/>
      </xdr:nvSpPr>
      <xdr:spPr>
        <a:xfrm>
          <a:off x="3528849" y="8092743"/>
          <a:ext cx="283410" cy="18684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editAs="oneCell">
    <xdr:from>
      <xdr:col>4</xdr:col>
      <xdr:colOff>361950</xdr:colOff>
      <xdr:row>48</xdr:row>
      <xdr:rowOff>0</xdr:rowOff>
    </xdr:from>
    <xdr:to>
      <xdr:col>12</xdr:col>
      <xdr:colOff>123141</xdr:colOff>
      <xdr:row>50</xdr:row>
      <xdr:rowOff>123762</xdr:rowOff>
    </xdr:to>
    <xdr:pic>
      <xdr:nvPicPr>
        <xdr:cNvPr id="8" name="7 Imagen"/>
        <xdr:cNvPicPr>
          <a:picLocks noChangeAspect="1"/>
        </xdr:cNvPicPr>
      </xdr:nvPicPr>
      <xdr:blipFill>
        <a:blip xmlns:r="http://schemas.openxmlformats.org/officeDocument/2006/relationships" r:embed="rId4"/>
        <a:stretch>
          <a:fillRect/>
        </a:stretch>
      </xdr:blipFill>
      <xdr:spPr>
        <a:xfrm>
          <a:off x="3838575" y="9172575"/>
          <a:ext cx="5476191" cy="504762"/>
        </a:xfrm>
        <a:prstGeom prst="rect">
          <a:avLst/>
        </a:prstGeom>
        <a:ln>
          <a:solidFill>
            <a:srgbClr val="7030A0"/>
          </a:solidFill>
        </a:ln>
      </xdr:spPr>
    </xdr:pic>
    <xdr:clientData/>
  </xdr:twoCellAnchor>
  <xdr:twoCellAnchor>
    <xdr:from>
      <xdr:col>4</xdr:col>
      <xdr:colOff>42699</xdr:colOff>
      <xdr:row>58</xdr:row>
      <xdr:rowOff>82218</xdr:rowOff>
    </xdr:from>
    <xdr:to>
      <xdr:col>4</xdr:col>
      <xdr:colOff>326109</xdr:colOff>
      <xdr:row>59</xdr:row>
      <xdr:rowOff>78565</xdr:rowOff>
    </xdr:to>
    <xdr:sp macro="" textlink="">
      <xdr:nvSpPr>
        <xdr:cNvPr id="9" name="8 Flecha derecha"/>
        <xdr:cNvSpPr/>
      </xdr:nvSpPr>
      <xdr:spPr>
        <a:xfrm>
          <a:off x="3519324" y="11159793"/>
          <a:ext cx="283410" cy="18684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3</xdr:col>
      <xdr:colOff>76200</xdr:colOff>
      <xdr:row>14</xdr:row>
      <xdr:rowOff>76200</xdr:rowOff>
    </xdr:from>
    <xdr:to>
      <xdr:col>6</xdr:col>
      <xdr:colOff>332706</xdr:colOff>
      <xdr:row>16</xdr:row>
      <xdr:rowOff>152343</xdr:rowOff>
    </xdr:to>
    <xdr:pic>
      <xdr:nvPicPr>
        <xdr:cNvPr id="2" name="1 Imagen"/>
        <xdr:cNvPicPr>
          <a:picLocks noChangeAspect="1"/>
        </xdr:cNvPicPr>
      </xdr:nvPicPr>
      <xdr:blipFill>
        <a:blip xmlns:r="http://schemas.openxmlformats.org/officeDocument/2006/relationships" r:embed="rId1"/>
        <a:stretch>
          <a:fillRect/>
        </a:stretch>
      </xdr:blipFill>
      <xdr:spPr>
        <a:xfrm>
          <a:off x="2362200" y="266700"/>
          <a:ext cx="5352381" cy="457143"/>
        </a:xfrm>
        <a:prstGeom prst="rect">
          <a:avLst/>
        </a:prstGeom>
        <a:ln>
          <a:solidFill>
            <a:srgbClr val="7030A0"/>
          </a:solidFill>
        </a:ln>
      </xdr:spPr>
    </xdr:pic>
    <xdr:clientData/>
  </xdr:twoCellAnchor>
  <xdr:twoCellAnchor editAs="oneCell">
    <xdr:from>
      <xdr:col>3</xdr:col>
      <xdr:colOff>66675</xdr:colOff>
      <xdr:row>17</xdr:row>
      <xdr:rowOff>57150</xdr:rowOff>
    </xdr:from>
    <xdr:to>
      <xdr:col>4</xdr:col>
      <xdr:colOff>1618961</xdr:colOff>
      <xdr:row>20</xdr:row>
      <xdr:rowOff>66602</xdr:rowOff>
    </xdr:to>
    <xdr:pic>
      <xdr:nvPicPr>
        <xdr:cNvPr id="3" name="2 Imagen"/>
        <xdr:cNvPicPr>
          <a:picLocks noChangeAspect="1"/>
        </xdr:cNvPicPr>
      </xdr:nvPicPr>
      <xdr:blipFill>
        <a:blip xmlns:r="http://schemas.openxmlformats.org/officeDocument/2006/relationships" r:embed="rId2"/>
        <a:stretch>
          <a:fillRect/>
        </a:stretch>
      </xdr:blipFill>
      <xdr:spPr>
        <a:xfrm>
          <a:off x="2409825" y="1200150"/>
          <a:ext cx="2314286" cy="580952"/>
        </a:xfrm>
        <a:prstGeom prst="rect">
          <a:avLst/>
        </a:prstGeom>
        <a:ln>
          <a:solidFill>
            <a:srgbClr val="7030A0"/>
          </a:solidFill>
        </a:ln>
      </xdr:spPr>
    </xdr:pic>
    <xdr:clientData/>
  </xdr:twoCellAnchor>
  <xdr:twoCellAnchor editAs="oneCell">
    <xdr:from>
      <xdr:col>4</xdr:col>
      <xdr:colOff>19050</xdr:colOff>
      <xdr:row>41</xdr:row>
      <xdr:rowOff>28575</xdr:rowOff>
    </xdr:from>
    <xdr:to>
      <xdr:col>6</xdr:col>
      <xdr:colOff>542318</xdr:colOff>
      <xdr:row>43</xdr:row>
      <xdr:rowOff>57099</xdr:rowOff>
    </xdr:to>
    <xdr:pic>
      <xdr:nvPicPr>
        <xdr:cNvPr id="4" name="3 Imagen"/>
        <xdr:cNvPicPr>
          <a:picLocks noChangeAspect="1"/>
        </xdr:cNvPicPr>
      </xdr:nvPicPr>
      <xdr:blipFill>
        <a:blip xmlns:r="http://schemas.openxmlformats.org/officeDocument/2006/relationships" r:embed="rId3"/>
        <a:stretch>
          <a:fillRect/>
        </a:stretch>
      </xdr:blipFill>
      <xdr:spPr>
        <a:xfrm>
          <a:off x="3124200" y="5762625"/>
          <a:ext cx="4857143" cy="409524"/>
        </a:xfrm>
        <a:prstGeom prst="rect">
          <a:avLst/>
        </a:prstGeom>
        <a:ln>
          <a:solidFill>
            <a:srgbClr val="7030A0"/>
          </a:solidFill>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11</xdr:row>
      <xdr:rowOff>0</xdr:rowOff>
    </xdr:from>
    <xdr:to>
      <xdr:col>5</xdr:col>
      <xdr:colOff>409123</xdr:colOff>
      <xdr:row>13</xdr:row>
      <xdr:rowOff>123762</xdr:rowOff>
    </xdr:to>
    <xdr:pic>
      <xdr:nvPicPr>
        <xdr:cNvPr id="2" name="1 Imagen"/>
        <xdr:cNvPicPr>
          <a:picLocks noChangeAspect="1"/>
        </xdr:cNvPicPr>
      </xdr:nvPicPr>
      <xdr:blipFill>
        <a:blip xmlns:r="http://schemas.openxmlformats.org/officeDocument/2006/relationships" r:embed="rId1"/>
        <a:stretch>
          <a:fillRect/>
        </a:stretch>
      </xdr:blipFill>
      <xdr:spPr>
        <a:xfrm>
          <a:off x="762000" y="1714500"/>
          <a:ext cx="3619048" cy="504762"/>
        </a:xfrm>
        <a:prstGeom prst="rect">
          <a:avLst/>
        </a:prstGeom>
        <a:ln>
          <a:solidFill>
            <a:srgbClr val="7030A0"/>
          </a:solidFill>
        </a:ln>
      </xdr:spPr>
    </xdr:pic>
    <xdr:clientData/>
  </xdr:twoCellAnchor>
</xdr:wsDr>
</file>

<file path=xl/drawings/drawing17.xml><?xml version="1.0" encoding="utf-8"?>
<xdr:wsDr xmlns:xdr="http://schemas.openxmlformats.org/drawingml/2006/spreadsheetDrawing" xmlns:a="http://schemas.openxmlformats.org/drawingml/2006/main">
  <xdr:twoCellAnchor>
    <xdr:from>
      <xdr:col>5</xdr:col>
      <xdr:colOff>142875</xdr:colOff>
      <xdr:row>14</xdr:row>
      <xdr:rowOff>180975</xdr:rowOff>
    </xdr:from>
    <xdr:to>
      <xdr:col>10</xdr:col>
      <xdr:colOff>438150</xdr:colOff>
      <xdr:row>27</xdr:row>
      <xdr:rowOff>152400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569705</xdr:colOff>
      <xdr:row>14</xdr:row>
      <xdr:rowOff>181390</xdr:rowOff>
    </xdr:from>
    <xdr:to>
      <xdr:col>13</xdr:col>
      <xdr:colOff>287211</xdr:colOff>
      <xdr:row>19</xdr:row>
      <xdr:rowOff>94691</xdr:rowOff>
    </xdr:to>
    <xdr:pic>
      <xdr:nvPicPr>
        <xdr:cNvPr id="3" name="2 Imagen"/>
        <xdr:cNvPicPr>
          <a:picLocks noChangeAspect="1"/>
        </xdr:cNvPicPr>
      </xdr:nvPicPr>
      <xdr:blipFill>
        <a:blip xmlns:r="http://schemas.openxmlformats.org/officeDocument/2006/relationships" r:embed="rId2"/>
        <a:stretch>
          <a:fillRect/>
        </a:stretch>
      </xdr:blipFill>
      <xdr:spPr>
        <a:xfrm>
          <a:off x="8408780" y="2848390"/>
          <a:ext cx="2003506" cy="865801"/>
        </a:xfrm>
        <a:prstGeom prst="rect">
          <a:avLst/>
        </a:prstGeom>
        <a:ln>
          <a:solidFill>
            <a:srgbClr val="7030A0"/>
          </a:solidFill>
        </a:ln>
      </xdr:spPr>
    </xdr:pic>
    <xdr:clientData/>
  </xdr:twoCellAnchor>
  <xdr:twoCellAnchor editAs="oneCell">
    <xdr:from>
      <xdr:col>6</xdr:col>
      <xdr:colOff>37708</xdr:colOff>
      <xdr:row>36</xdr:row>
      <xdr:rowOff>68053</xdr:rowOff>
    </xdr:from>
    <xdr:to>
      <xdr:col>9</xdr:col>
      <xdr:colOff>438899</xdr:colOff>
      <xdr:row>40</xdr:row>
      <xdr:rowOff>5012</xdr:rowOff>
    </xdr:to>
    <xdr:pic>
      <xdr:nvPicPr>
        <xdr:cNvPr id="4"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981558" y="6926053"/>
          <a:ext cx="3220591" cy="698959"/>
        </a:xfrm>
        <a:prstGeom prst="rect">
          <a:avLst/>
        </a:prstGeom>
        <a:noFill/>
        <a:ln w="9525">
          <a:solidFill>
            <a:schemeClr val="tx1"/>
          </a:solidFill>
          <a:miter lim="800000"/>
          <a:headEnd/>
          <a:tailEnd/>
        </a:ln>
        <a:extLst>
          <a:ext uri="{909E8E84-426E-40DD-AFC4-6F175D3DCCD1}">
            <a14:hiddenFill xmlns:a14="http://schemas.microsoft.com/office/drawing/2010/main">
              <a:solidFill>
                <a:schemeClr val="accent1"/>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7</xdr:col>
      <xdr:colOff>142875</xdr:colOff>
      <xdr:row>28</xdr:row>
      <xdr:rowOff>47625</xdr:rowOff>
    </xdr:from>
    <xdr:to>
      <xdr:col>13</xdr:col>
      <xdr:colOff>361578</xdr:colOff>
      <xdr:row>32</xdr:row>
      <xdr:rowOff>76120</xdr:rowOff>
    </xdr:to>
    <xdr:pic>
      <xdr:nvPicPr>
        <xdr:cNvPr id="2" name="1 Imagen"/>
        <xdr:cNvPicPr>
          <a:picLocks noChangeAspect="1"/>
        </xdr:cNvPicPr>
      </xdr:nvPicPr>
      <xdr:blipFill>
        <a:blip xmlns:r="http://schemas.openxmlformats.org/officeDocument/2006/relationships" r:embed="rId1"/>
        <a:stretch>
          <a:fillRect/>
        </a:stretch>
      </xdr:blipFill>
      <xdr:spPr>
        <a:xfrm>
          <a:off x="6524625" y="4314825"/>
          <a:ext cx="2980953" cy="638095"/>
        </a:xfrm>
        <a:prstGeom prst="rect">
          <a:avLst/>
        </a:prstGeom>
        <a:ln>
          <a:solidFill>
            <a:srgbClr val="7030A0"/>
          </a:solidFill>
        </a:ln>
      </xdr:spPr>
    </xdr:pic>
    <xdr:clientData/>
  </xdr:twoCellAnchor>
  <xdr:twoCellAnchor editAs="oneCell">
    <xdr:from>
      <xdr:col>3</xdr:col>
      <xdr:colOff>38100</xdr:colOff>
      <xdr:row>33</xdr:row>
      <xdr:rowOff>66675</xdr:rowOff>
    </xdr:from>
    <xdr:to>
      <xdr:col>12</xdr:col>
      <xdr:colOff>46925</xdr:colOff>
      <xdr:row>37</xdr:row>
      <xdr:rowOff>38027</xdr:rowOff>
    </xdr:to>
    <xdr:pic>
      <xdr:nvPicPr>
        <xdr:cNvPr id="3" name="2 Imagen"/>
        <xdr:cNvPicPr>
          <a:picLocks noChangeAspect="1"/>
        </xdr:cNvPicPr>
      </xdr:nvPicPr>
      <xdr:blipFill>
        <a:blip xmlns:r="http://schemas.openxmlformats.org/officeDocument/2006/relationships" r:embed="rId2"/>
        <a:stretch>
          <a:fillRect/>
        </a:stretch>
      </xdr:blipFill>
      <xdr:spPr>
        <a:xfrm>
          <a:off x="3219450" y="5095875"/>
          <a:ext cx="5600000" cy="580952"/>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9</xdr:col>
      <xdr:colOff>63777</xdr:colOff>
      <xdr:row>11</xdr:row>
      <xdr:rowOff>6014</xdr:rowOff>
    </xdr:from>
    <xdr:to>
      <xdr:col>16</xdr:col>
      <xdr:colOff>345500</xdr:colOff>
      <xdr:row>33</xdr:row>
      <xdr:rowOff>88968</xdr:rowOff>
    </xdr:to>
    <xdr:pic>
      <xdr:nvPicPr>
        <xdr:cNvPr id="2" name="1 Imagen"/>
        <xdr:cNvPicPr>
          <a:picLocks noChangeAspect="1"/>
        </xdr:cNvPicPr>
      </xdr:nvPicPr>
      <xdr:blipFill>
        <a:blip xmlns:r="http://schemas.openxmlformats.org/officeDocument/2006/relationships" r:embed="rId1"/>
        <a:stretch>
          <a:fillRect/>
        </a:stretch>
      </xdr:blipFill>
      <xdr:spPr>
        <a:xfrm>
          <a:off x="9141102" y="1682414"/>
          <a:ext cx="3834548" cy="34357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304800</xdr:colOff>
      <xdr:row>21</xdr:row>
      <xdr:rowOff>76200</xdr:rowOff>
    </xdr:from>
    <xdr:to>
      <xdr:col>16</xdr:col>
      <xdr:colOff>123825</xdr:colOff>
      <xdr:row>41</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oneCell">
    <xdr:from>
      <xdr:col>3</xdr:col>
      <xdr:colOff>360292</xdr:colOff>
      <xdr:row>20</xdr:row>
      <xdr:rowOff>47680</xdr:rowOff>
    </xdr:from>
    <xdr:to>
      <xdr:col>4</xdr:col>
      <xdr:colOff>772890</xdr:colOff>
      <xdr:row>23</xdr:row>
      <xdr:rowOff>133175</xdr:rowOff>
    </xdr:to>
    <xdr:pic>
      <xdr:nvPicPr>
        <xdr:cNvPr id="2" name="1 Imagen"/>
        <xdr:cNvPicPr>
          <a:picLocks noChangeAspect="1"/>
        </xdr:cNvPicPr>
      </xdr:nvPicPr>
      <xdr:blipFill>
        <a:blip xmlns:r="http://schemas.openxmlformats.org/officeDocument/2006/relationships" r:embed="rId1"/>
        <a:stretch>
          <a:fillRect/>
        </a:stretch>
      </xdr:blipFill>
      <xdr:spPr>
        <a:xfrm>
          <a:off x="4246492" y="3857680"/>
          <a:ext cx="1593698" cy="656995"/>
        </a:xfrm>
        <a:prstGeom prst="rect">
          <a:avLst/>
        </a:prstGeom>
        <a:ln>
          <a:solidFill>
            <a:srgbClr val="7030A0"/>
          </a:solidFill>
        </a:ln>
      </xdr:spPr>
    </xdr:pic>
    <xdr:clientData/>
  </xdr:twoCellAnchor>
  <xdr:twoCellAnchor editAs="oneCell">
    <xdr:from>
      <xdr:col>3</xdr:col>
      <xdr:colOff>1535</xdr:colOff>
      <xdr:row>23</xdr:row>
      <xdr:rowOff>189539</xdr:rowOff>
    </xdr:from>
    <xdr:to>
      <xdr:col>4</xdr:col>
      <xdr:colOff>760076</xdr:colOff>
      <xdr:row>27</xdr:row>
      <xdr:rowOff>48462</xdr:rowOff>
    </xdr:to>
    <xdr:pic>
      <xdr:nvPicPr>
        <xdr:cNvPr id="3" name="2 Imagen"/>
        <xdr:cNvPicPr>
          <a:picLocks noChangeAspect="1"/>
        </xdr:cNvPicPr>
      </xdr:nvPicPr>
      <xdr:blipFill>
        <a:blip xmlns:r="http://schemas.openxmlformats.org/officeDocument/2006/relationships" r:embed="rId2"/>
        <a:stretch>
          <a:fillRect/>
        </a:stretch>
      </xdr:blipFill>
      <xdr:spPr>
        <a:xfrm>
          <a:off x="3887735" y="4571039"/>
          <a:ext cx="1939641" cy="620923"/>
        </a:xfrm>
        <a:prstGeom prst="rect">
          <a:avLst/>
        </a:prstGeom>
        <a:ln>
          <a:solidFill>
            <a:srgbClr val="7030A0"/>
          </a:solidFill>
        </a:ln>
      </xdr:spPr>
    </xdr:pic>
    <xdr:clientData/>
  </xdr:twoCellAnchor>
  <xdr:twoCellAnchor editAs="oneCell">
    <xdr:from>
      <xdr:col>0</xdr:col>
      <xdr:colOff>447675</xdr:colOff>
      <xdr:row>19</xdr:row>
      <xdr:rowOff>73818</xdr:rowOff>
    </xdr:from>
    <xdr:to>
      <xdr:col>2</xdr:col>
      <xdr:colOff>1191996</xdr:colOff>
      <xdr:row>27</xdr:row>
      <xdr:rowOff>69056</xdr:rowOff>
    </xdr:to>
    <xdr:pic>
      <xdr:nvPicPr>
        <xdr:cNvPr id="4" name="3 Imagen"/>
        <xdr:cNvPicPr>
          <a:picLocks noChangeAspect="1"/>
        </xdr:cNvPicPr>
      </xdr:nvPicPr>
      <xdr:blipFill>
        <a:blip xmlns:r="http://schemas.openxmlformats.org/officeDocument/2006/relationships" r:embed="rId3"/>
        <a:stretch>
          <a:fillRect/>
        </a:stretch>
      </xdr:blipFill>
      <xdr:spPr>
        <a:xfrm>
          <a:off x="447675" y="3693318"/>
          <a:ext cx="3363696" cy="1519238"/>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3</xdr:col>
      <xdr:colOff>514350</xdr:colOff>
      <xdr:row>25</xdr:row>
      <xdr:rowOff>0</xdr:rowOff>
    </xdr:from>
    <xdr:to>
      <xdr:col>4</xdr:col>
      <xdr:colOff>1246153</xdr:colOff>
      <xdr:row>28</xdr:row>
      <xdr:rowOff>58081</xdr:rowOff>
    </xdr:to>
    <xdr:pic>
      <xdr:nvPicPr>
        <xdr:cNvPr id="2" name="1 Imagen"/>
        <xdr:cNvPicPr>
          <a:picLocks noChangeAspect="1"/>
        </xdr:cNvPicPr>
      </xdr:nvPicPr>
      <xdr:blipFill>
        <a:blip xmlns:r="http://schemas.openxmlformats.org/officeDocument/2006/relationships" r:embed="rId1"/>
        <a:stretch>
          <a:fillRect/>
        </a:stretch>
      </xdr:blipFill>
      <xdr:spPr>
        <a:xfrm>
          <a:off x="5629275" y="1866900"/>
          <a:ext cx="1931953" cy="572431"/>
        </a:xfrm>
        <a:prstGeom prst="rect">
          <a:avLst/>
        </a:prstGeom>
        <a:ln>
          <a:solidFill>
            <a:srgbClr val="7030A0"/>
          </a:solidFill>
        </a:ln>
      </xdr:spPr>
    </xdr:pic>
    <xdr:clientData/>
  </xdr:twoCellAnchor>
  <xdr:twoCellAnchor editAs="oneCell">
    <xdr:from>
      <xdr:col>3</xdr:col>
      <xdr:colOff>762000</xdr:colOff>
      <xdr:row>28</xdr:row>
      <xdr:rowOff>123825</xdr:rowOff>
    </xdr:from>
    <xdr:to>
      <xdr:col>4</xdr:col>
      <xdr:colOff>1246226</xdr:colOff>
      <xdr:row>33</xdr:row>
      <xdr:rowOff>117889</xdr:rowOff>
    </xdr:to>
    <xdr:pic>
      <xdr:nvPicPr>
        <xdr:cNvPr id="3" name="2 Imagen"/>
        <xdr:cNvPicPr>
          <a:picLocks noChangeAspect="1"/>
        </xdr:cNvPicPr>
      </xdr:nvPicPr>
      <xdr:blipFill>
        <a:blip xmlns:r="http://schemas.openxmlformats.org/officeDocument/2006/relationships" r:embed="rId2"/>
        <a:stretch>
          <a:fillRect/>
        </a:stretch>
      </xdr:blipFill>
      <xdr:spPr>
        <a:xfrm>
          <a:off x="5876925" y="2505075"/>
          <a:ext cx="1684376" cy="889414"/>
        </a:xfrm>
        <a:prstGeom prst="rect">
          <a:avLst/>
        </a:prstGeom>
        <a:ln>
          <a:solidFill>
            <a:srgbClr val="7030A0"/>
          </a:solidFill>
        </a:ln>
      </xdr:spPr>
    </xdr:pic>
    <xdr:clientData/>
  </xdr:twoCellAnchor>
  <xdr:twoCellAnchor editAs="oneCell">
    <xdr:from>
      <xdr:col>3</xdr:col>
      <xdr:colOff>666750</xdr:colOff>
      <xdr:row>34</xdr:row>
      <xdr:rowOff>133350</xdr:rowOff>
    </xdr:from>
    <xdr:to>
      <xdr:col>4</xdr:col>
      <xdr:colOff>1245427</xdr:colOff>
      <xdr:row>39</xdr:row>
      <xdr:rowOff>97984</xdr:rowOff>
    </xdr:to>
    <xdr:pic>
      <xdr:nvPicPr>
        <xdr:cNvPr id="4" name="3 Imagen"/>
        <xdr:cNvPicPr>
          <a:picLocks noChangeAspect="1"/>
        </xdr:cNvPicPr>
      </xdr:nvPicPr>
      <xdr:blipFill>
        <a:blip xmlns:r="http://schemas.openxmlformats.org/officeDocument/2006/relationships" r:embed="rId3"/>
        <a:stretch>
          <a:fillRect/>
        </a:stretch>
      </xdr:blipFill>
      <xdr:spPr>
        <a:xfrm>
          <a:off x="5781675" y="3486150"/>
          <a:ext cx="1778827" cy="802834"/>
        </a:xfrm>
        <a:prstGeom prst="rect">
          <a:avLst/>
        </a:prstGeom>
        <a:ln>
          <a:solidFill>
            <a:srgbClr val="7030A0"/>
          </a:solidFill>
        </a:ln>
      </xdr:spPr>
    </xdr:pic>
    <xdr:clientData/>
  </xdr:twoCellAnchor>
  <xdr:twoCellAnchor editAs="oneCell">
    <xdr:from>
      <xdr:col>2</xdr:col>
      <xdr:colOff>1238250</xdr:colOff>
      <xdr:row>40</xdr:row>
      <xdr:rowOff>57150</xdr:rowOff>
    </xdr:from>
    <xdr:to>
      <xdr:col>4</xdr:col>
      <xdr:colOff>1263048</xdr:colOff>
      <xdr:row>45</xdr:row>
      <xdr:rowOff>144810</xdr:rowOff>
    </xdr:to>
    <xdr:pic>
      <xdr:nvPicPr>
        <xdr:cNvPr id="5" name="4 Imagen"/>
        <xdr:cNvPicPr>
          <a:picLocks noChangeAspect="1"/>
        </xdr:cNvPicPr>
      </xdr:nvPicPr>
      <xdr:blipFill>
        <a:blip xmlns:r="http://schemas.openxmlformats.org/officeDocument/2006/relationships" r:embed="rId4"/>
        <a:stretch>
          <a:fillRect/>
        </a:stretch>
      </xdr:blipFill>
      <xdr:spPr>
        <a:xfrm>
          <a:off x="5067300" y="4381500"/>
          <a:ext cx="2510823" cy="897285"/>
        </a:xfrm>
        <a:prstGeom prst="rect">
          <a:avLst/>
        </a:prstGeom>
        <a:ln>
          <a:solidFill>
            <a:srgbClr val="7030A0"/>
          </a:solidFill>
        </a:ln>
      </xdr:spPr>
    </xdr:pic>
    <xdr:clientData/>
  </xdr:twoCellAnchor>
  <xdr:twoCellAnchor editAs="oneCell">
    <xdr:from>
      <xdr:col>6</xdr:col>
      <xdr:colOff>190500</xdr:colOff>
      <xdr:row>24</xdr:row>
      <xdr:rowOff>152400</xdr:rowOff>
    </xdr:from>
    <xdr:to>
      <xdr:col>10</xdr:col>
      <xdr:colOff>640865</xdr:colOff>
      <xdr:row>39</xdr:row>
      <xdr:rowOff>83070</xdr:rowOff>
    </xdr:to>
    <xdr:pic>
      <xdr:nvPicPr>
        <xdr:cNvPr id="6" name="5 Imagen"/>
        <xdr:cNvPicPr>
          <a:picLocks noChangeAspect="1"/>
        </xdr:cNvPicPr>
      </xdr:nvPicPr>
      <xdr:blipFill>
        <a:blip xmlns:r="http://schemas.openxmlformats.org/officeDocument/2006/relationships" r:embed="rId5"/>
        <a:stretch>
          <a:fillRect/>
        </a:stretch>
      </xdr:blipFill>
      <xdr:spPr>
        <a:xfrm>
          <a:off x="9039225" y="1828800"/>
          <a:ext cx="4222265" cy="2530995"/>
        </a:xfrm>
        <a:prstGeom prst="rect">
          <a:avLst/>
        </a:prstGeom>
      </xdr:spPr>
    </xdr:pic>
    <xdr:clientData/>
  </xdr:twoCellAnchor>
  <xdr:twoCellAnchor editAs="oneCell">
    <xdr:from>
      <xdr:col>6</xdr:col>
      <xdr:colOff>542925</xdr:colOff>
      <xdr:row>40</xdr:row>
      <xdr:rowOff>85725</xdr:rowOff>
    </xdr:from>
    <xdr:to>
      <xdr:col>10</xdr:col>
      <xdr:colOff>602405</xdr:colOff>
      <xdr:row>54</xdr:row>
      <xdr:rowOff>115001</xdr:rowOff>
    </xdr:to>
    <xdr:pic>
      <xdr:nvPicPr>
        <xdr:cNvPr id="7" name="6 Imagen"/>
        <xdr:cNvPicPr>
          <a:picLocks noChangeAspect="1"/>
        </xdr:cNvPicPr>
      </xdr:nvPicPr>
      <xdr:blipFill>
        <a:blip xmlns:r="http://schemas.openxmlformats.org/officeDocument/2006/relationships" r:embed="rId6"/>
        <a:stretch>
          <a:fillRect/>
        </a:stretch>
      </xdr:blipFill>
      <xdr:spPr>
        <a:xfrm>
          <a:off x="10125075" y="6791325"/>
          <a:ext cx="3831380" cy="2296226"/>
        </a:xfrm>
        <a:prstGeom prst="rect">
          <a:avLst/>
        </a:prstGeom>
        <a:ln>
          <a:solidFill>
            <a:srgbClr val="7030A0"/>
          </a:solidFill>
        </a:ln>
      </xdr:spPr>
    </xdr:pic>
    <xdr:clientData/>
  </xdr:twoCellAnchor>
  <xdr:twoCellAnchor editAs="oneCell">
    <xdr:from>
      <xdr:col>2</xdr:col>
      <xdr:colOff>228600</xdr:colOff>
      <xdr:row>47</xdr:row>
      <xdr:rowOff>104775</xdr:rowOff>
    </xdr:from>
    <xdr:to>
      <xdr:col>4</xdr:col>
      <xdr:colOff>1270177</xdr:colOff>
      <xdr:row>49</xdr:row>
      <xdr:rowOff>74295</xdr:rowOff>
    </xdr:to>
    <xdr:pic>
      <xdr:nvPicPr>
        <xdr:cNvPr id="8" name="7 Imagen"/>
        <xdr:cNvPicPr>
          <a:picLocks noChangeAspect="1"/>
        </xdr:cNvPicPr>
      </xdr:nvPicPr>
      <xdr:blipFill>
        <a:blip xmlns:r="http://schemas.openxmlformats.org/officeDocument/2006/relationships" r:embed="rId7"/>
        <a:stretch>
          <a:fillRect/>
        </a:stretch>
      </xdr:blipFill>
      <xdr:spPr>
        <a:xfrm>
          <a:off x="4791075" y="7943850"/>
          <a:ext cx="3527602" cy="293370"/>
        </a:xfrm>
        <a:prstGeom prst="rect">
          <a:avLst/>
        </a:prstGeom>
        <a:ln>
          <a:solidFill>
            <a:srgbClr val="7030A0"/>
          </a:solidFill>
        </a:ln>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543560</xdr:colOff>
      <xdr:row>35</xdr:row>
      <xdr:rowOff>47107</xdr:rowOff>
    </xdr:from>
    <xdr:to>
      <xdr:col>3</xdr:col>
      <xdr:colOff>37113</xdr:colOff>
      <xdr:row>38</xdr:row>
      <xdr:rowOff>48038</xdr:rowOff>
    </xdr:to>
    <xdr:pic>
      <xdr:nvPicPr>
        <xdr:cNvPr id="3" name="2 Imagen"/>
        <xdr:cNvPicPr>
          <a:picLocks noChangeAspect="1"/>
        </xdr:cNvPicPr>
      </xdr:nvPicPr>
      <xdr:blipFill>
        <a:blip xmlns:r="http://schemas.openxmlformats.org/officeDocument/2006/relationships" r:embed="rId1"/>
        <a:stretch>
          <a:fillRect/>
        </a:stretch>
      </xdr:blipFill>
      <xdr:spPr>
        <a:xfrm>
          <a:off x="543560" y="4809607"/>
          <a:ext cx="1931953" cy="572431"/>
        </a:xfrm>
        <a:prstGeom prst="rect">
          <a:avLst/>
        </a:prstGeom>
        <a:ln>
          <a:solidFill>
            <a:srgbClr val="7030A0"/>
          </a:solidFill>
        </a:ln>
      </xdr:spPr>
    </xdr:pic>
    <xdr:clientData/>
  </xdr:twoCellAnchor>
  <xdr:twoCellAnchor editAs="oneCell">
    <xdr:from>
      <xdr:col>0</xdr:col>
      <xdr:colOff>681684</xdr:colOff>
      <xdr:row>38</xdr:row>
      <xdr:rowOff>169588</xdr:rowOff>
    </xdr:from>
    <xdr:to>
      <xdr:col>2</xdr:col>
      <xdr:colOff>689660</xdr:colOff>
      <xdr:row>43</xdr:row>
      <xdr:rowOff>106502</xdr:rowOff>
    </xdr:to>
    <xdr:pic>
      <xdr:nvPicPr>
        <xdr:cNvPr id="4" name="3 Imagen"/>
        <xdr:cNvPicPr>
          <a:picLocks noChangeAspect="1"/>
        </xdr:cNvPicPr>
      </xdr:nvPicPr>
      <xdr:blipFill>
        <a:blip xmlns:r="http://schemas.openxmlformats.org/officeDocument/2006/relationships" r:embed="rId2"/>
        <a:stretch>
          <a:fillRect/>
        </a:stretch>
      </xdr:blipFill>
      <xdr:spPr>
        <a:xfrm>
          <a:off x="681684" y="5503588"/>
          <a:ext cx="1684376" cy="889414"/>
        </a:xfrm>
        <a:prstGeom prst="rect">
          <a:avLst/>
        </a:prstGeom>
        <a:ln>
          <a:solidFill>
            <a:srgbClr val="7030A0"/>
          </a:solidFill>
        </a:ln>
      </xdr:spPr>
    </xdr:pic>
    <xdr:clientData/>
  </xdr:twoCellAnchor>
  <xdr:twoCellAnchor editAs="oneCell">
    <xdr:from>
      <xdr:col>0</xdr:col>
      <xdr:colOff>605877</xdr:colOff>
      <xdr:row>44</xdr:row>
      <xdr:rowOff>141447</xdr:rowOff>
    </xdr:from>
    <xdr:to>
      <xdr:col>2</xdr:col>
      <xdr:colOff>708304</xdr:colOff>
      <xdr:row>48</xdr:row>
      <xdr:rowOff>182281</xdr:rowOff>
    </xdr:to>
    <xdr:pic>
      <xdr:nvPicPr>
        <xdr:cNvPr id="5" name="4 Imagen"/>
        <xdr:cNvPicPr>
          <a:picLocks noChangeAspect="1"/>
        </xdr:cNvPicPr>
      </xdr:nvPicPr>
      <xdr:blipFill>
        <a:blip xmlns:r="http://schemas.openxmlformats.org/officeDocument/2006/relationships" r:embed="rId3"/>
        <a:stretch>
          <a:fillRect/>
        </a:stretch>
      </xdr:blipFill>
      <xdr:spPr>
        <a:xfrm>
          <a:off x="605877" y="6618447"/>
          <a:ext cx="1778827" cy="802834"/>
        </a:xfrm>
        <a:prstGeom prst="rect">
          <a:avLst/>
        </a:prstGeom>
        <a:ln>
          <a:solidFill>
            <a:srgbClr val="7030A0"/>
          </a:solidFill>
        </a:ln>
      </xdr:spPr>
    </xdr:pic>
    <xdr:clientData/>
  </xdr:twoCellAnchor>
  <xdr:twoCellAnchor editAs="oneCell">
    <xdr:from>
      <xdr:col>0</xdr:col>
      <xdr:colOff>82661</xdr:colOff>
      <xdr:row>49</xdr:row>
      <xdr:rowOff>103740</xdr:rowOff>
    </xdr:from>
    <xdr:to>
      <xdr:col>3</xdr:col>
      <xdr:colOff>155084</xdr:colOff>
      <xdr:row>54</xdr:row>
      <xdr:rowOff>48525</xdr:rowOff>
    </xdr:to>
    <xdr:pic>
      <xdr:nvPicPr>
        <xdr:cNvPr id="6" name="5 Imagen"/>
        <xdr:cNvPicPr>
          <a:picLocks noChangeAspect="1"/>
        </xdr:cNvPicPr>
      </xdr:nvPicPr>
      <xdr:blipFill>
        <a:blip xmlns:r="http://schemas.openxmlformats.org/officeDocument/2006/relationships" r:embed="rId4"/>
        <a:stretch>
          <a:fillRect/>
        </a:stretch>
      </xdr:blipFill>
      <xdr:spPr>
        <a:xfrm>
          <a:off x="82661" y="7533240"/>
          <a:ext cx="2510823" cy="897285"/>
        </a:xfrm>
        <a:prstGeom prst="rect">
          <a:avLst/>
        </a:prstGeom>
        <a:ln>
          <a:solidFill>
            <a:srgbClr val="7030A0"/>
          </a:solidFill>
        </a:ln>
      </xdr:spPr>
    </xdr:pic>
    <xdr:clientData/>
  </xdr:twoCellAnchor>
  <xdr:twoCellAnchor editAs="oneCell">
    <xdr:from>
      <xdr:col>5</xdr:col>
      <xdr:colOff>460193</xdr:colOff>
      <xdr:row>35</xdr:row>
      <xdr:rowOff>1073</xdr:rowOff>
    </xdr:from>
    <xdr:to>
      <xdr:col>11</xdr:col>
      <xdr:colOff>110458</xdr:colOff>
      <xdr:row>48</xdr:row>
      <xdr:rowOff>55568</xdr:rowOff>
    </xdr:to>
    <xdr:pic>
      <xdr:nvPicPr>
        <xdr:cNvPr id="7" name="6 Imagen"/>
        <xdr:cNvPicPr>
          <a:picLocks noChangeAspect="1"/>
        </xdr:cNvPicPr>
      </xdr:nvPicPr>
      <xdr:blipFill>
        <a:blip xmlns:r="http://schemas.openxmlformats.org/officeDocument/2006/relationships" r:embed="rId5"/>
        <a:stretch>
          <a:fillRect/>
        </a:stretch>
      </xdr:blipFill>
      <xdr:spPr>
        <a:xfrm>
          <a:off x="4422593" y="4763573"/>
          <a:ext cx="4222265" cy="2530995"/>
        </a:xfrm>
        <a:prstGeom prst="rect">
          <a:avLst/>
        </a:prstGeom>
      </xdr:spPr>
    </xdr:pic>
    <xdr:clientData/>
  </xdr:twoCellAnchor>
  <xdr:twoCellAnchor editAs="oneCell">
    <xdr:from>
      <xdr:col>5</xdr:col>
      <xdr:colOff>517597</xdr:colOff>
      <xdr:row>54</xdr:row>
      <xdr:rowOff>123264</xdr:rowOff>
    </xdr:from>
    <xdr:to>
      <xdr:col>10</xdr:col>
      <xdr:colOff>538977</xdr:colOff>
      <xdr:row>66</xdr:row>
      <xdr:rowOff>133490</xdr:rowOff>
    </xdr:to>
    <xdr:pic>
      <xdr:nvPicPr>
        <xdr:cNvPr id="8" name="7 Imagen"/>
        <xdr:cNvPicPr>
          <a:picLocks noChangeAspect="1"/>
        </xdr:cNvPicPr>
      </xdr:nvPicPr>
      <xdr:blipFill>
        <a:blip xmlns:r="http://schemas.openxmlformats.org/officeDocument/2006/relationships" r:embed="rId6"/>
        <a:stretch>
          <a:fillRect/>
        </a:stretch>
      </xdr:blipFill>
      <xdr:spPr>
        <a:xfrm>
          <a:off x="4479997" y="8505264"/>
          <a:ext cx="3831380" cy="2296226"/>
        </a:xfrm>
        <a:prstGeom prst="rect">
          <a:avLst/>
        </a:prstGeom>
      </xdr:spPr>
    </xdr:pic>
    <xdr:clientData/>
  </xdr:twoCellAnchor>
  <xdr:twoCellAnchor editAs="oneCell">
    <xdr:from>
      <xdr:col>0</xdr:col>
      <xdr:colOff>117093</xdr:colOff>
      <xdr:row>56</xdr:row>
      <xdr:rowOff>134278</xdr:rowOff>
    </xdr:from>
    <xdr:to>
      <xdr:col>4</xdr:col>
      <xdr:colOff>444295</xdr:colOff>
      <xdr:row>58</xdr:row>
      <xdr:rowOff>46648</xdr:rowOff>
    </xdr:to>
    <xdr:pic>
      <xdr:nvPicPr>
        <xdr:cNvPr id="9" name="8 Imagen"/>
        <xdr:cNvPicPr>
          <a:picLocks noChangeAspect="1"/>
        </xdr:cNvPicPr>
      </xdr:nvPicPr>
      <xdr:blipFill>
        <a:blip xmlns:r="http://schemas.openxmlformats.org/officeDocument/2006/relationships" r:embed="rId7"/>
        <a:stretch>
          <a:fillRect/>
        </a:stretch>
      </xdr:blipFill>
      <xdr:spPr>
        <a:xfrm>
          <a:off x="117093" y="8897278"/>
          <a:ext cx="3527602" cy="293370"/>
        </a:xfrm>
        <a:prstGeom prst="rect">
          <a:avLst/>
        </a:prstGeom>
        <a:ln>
          <a:solidFill>
            <a:srgbClr val="7030A0"/>
          </a:solidFill>
        </a:ln>
      </xdr:spPr>
    </xdr:pic>
    <xdr:clientData/>
  </xdr:twoCellAnchor>
</xdr:wsDr>
</file>

<file path=xl/drawings/drawing23.xml><?xml version="1.0" encoding="utf-8"?>
<xdr:wsDr xmlns:xdr="http://schemas.openxmlformats.org/drawingml/2006/spreadsheetDrawing" xmlns:a="http://schemas.openxmlformats.org/drawingml/2006/main">
  <xdr:twoCellAnchor>
    <xdr:from>
      <xdr:col>10</xdr:col>
      <xdr:colOff>447674</xdr:colOff>
      <xdr:row>0</xdr:row>
      <xdr:rowOff>152400</xdr:rowOff>
    </xdr:from>
    <xdr:to>
      <xdr:col>23</xdr:col>
      <xdr:colOff>47624</xdr:colOff>
      <xdr:row>20</xdr:row>
      <xdr:rowOff>114300</xdr:rowOff>
    </xdr:to>
    <xdr:graphicFrame macro="">
      <xdr:nvGraphicFramePr>
        <xdr:cNvPr id="2" name="Chart 2">
          <a:extLst>
            <a:ext uri="{FF2B5EF4-FFF2-40B4-BE49-F238E27FC236}">
              <a16:creationId xmlns:a16="http://schemas.microsoft.com/office/drawing/2014/main" xmlns="" id="{9F216E6F-32D0-4DB6-85A4-EEA63ACA1A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50641</xdr:colOff>
      <xdr:row>11</xdr:row>
      <xdr:rowOff>131171</xdr:rowOff>
    </xdr:from>
    <xdr:to>
      <xdr:col>18</xdr:col>
      <xdr:colOff>433017</xdr:colOff>
      <xdr:row>18</xdr:row>
      <xdr:rowOff>42180</xdr:rowOff>
    </xdr:to>
    <xdr:sp macro="" textlink="">
      <xdr:nvSpPr>
        <xdr:cNvPr id="3" name="Oval 3">
          <a:extLst>
            <a:ext uri="{FF2B5EF4-FFF2-40B4-BE49-F238E27FC236}">
              <a16:creationId xmlns:a16="http://schemas.microsoft.com/office/drawing/2014/main" xmlns="" id="{B1EBF816-0C0C-4A82-9F72-3E40FE5FDFFC}"/>
            </a:ext>
          </a:extLst>
        </xdr:cNvPr>
        <xdr:cNvSpPr/>
      </xdr:nvSpPr>
      <xdr:spPr>
        <a:xfrm rot="1401643">
          <a:off x="13014166" y="2226671"/>
          <a:ext cx="2211176" cy="1244509"/>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11</xdr:col>
      <xdr:colOff>41202</xdr:colOff>
      <xdr:row>8</xdr:row>
      <xdr:rowOff>45282</xdr:rowOff>
    </xdr:from>
    <xdr:to>
      <xdr:col>22</xdr:col>
      <xdr:colOff>261201</xdr:colOff>
      <xdr:row>30</xdr:row>
      <xdr:rowOff>9525</xdr:rowOff>
    </xdr:to>
    <xdr:pic>
      <xdr:nvPicPr>
        <xdr:cNvPr id="2" name="Picture 1">
          <a:extLst>
            <a:ext uri="{FF2B5EF4-FFF2-40B4-BE49-F238E27FC236}">
              <a16:creationId xmlns:a16="http://schemas.microsoft.com/office/drawing/2014/main" xmlns="" id="{A38F91E0-018C-4169-BA2F-8798704BA1CA}"/>
            </a:ext>
          </a:extLst>
        </xdr:cNvPr>
        <xdr:cNvPicPr>
          <a:picLocks noChangeAspect="1"/>
        </xdr:cNvPicPr>
      </xdr:nvPicPr>
      <xdr:blipFill>
        <a:blip xmlns:r="http://schemas.openxmlformats.org/officeDocument/2006/relationships" r:embed="rId1"/>
        <a:stretch>
          <a:fillRect/>
        </a:stretch>
      </xdr:blipFill>
      <xdr:spPr>
        <a:xfrm>
          <a:off x="4660827" y="1569282"/>
          <a:ext cx="5049174" cy="4155243"/>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426102</xdr:colOff>
      <xdr:row>6</xdr:row>
      <xdr:rowOff>187930</xdr:rowOff>
    </xdr:from>
    <xdr:to>
      <xdr:col>10</xdr:col>
      <xdr:colOff>372661</xdr:colOff>
      <xdr:row>24</xdr:row>
      <xdr:rowOff>11375</xdr:rowOff>
    </xdr:to>
    <xdr:pic>
      <xdr:nvPicPr>
        <xdr:cNvPr id="2" name="Picture 1">
          <a:extLst>
            <a:ext uri="{FF2B5EF4-FFF2-40B4-BE49-F238E27FC236}">
              <a16:creationId xmlns:a16="http://schemas.microsoft.com/office/drawing/2014/main" xmlns="" id="{8B76B33A-2D5D-4748-889A-7BA51D750D17}"/>
            </a:ext>
          </a:extLst>
        </xdr:cNvPr>
        <xdr:cNvPicPr>
          <a:picLocks noChangeAspect="1"/>
        </xdr:cNvPicPr>
      </xdr:nvPicPr>
      <xdr:blipFill>
        <a:blip xmlns:r="http://schemas.openxmlformats.org/officeDocument/2006/relationships" r:embed="rId1"/>
        <a:stretch>
          <a:fillRect/>
        </a:stretch>
      </xdr:blipFill>
      <xdr:spPr>
        <a:xfrm>
          <a:off x="426102" y="1330930"/>
          <a:ext cx="6042559" cy="3252445"/>
        </a:xfrm>
        <a:prstGeom prst="rect">
          <a:avLst/>
        </a:prstGeom>
      </xdr:spPr>
    </xdr:pic>
    <xdr:clientData/>
  </xdr:twoCellAnchor>
  <xdr:twoCellAnchor editAs="oneCell">
    <xdr:from>
      <xdr:col>11</xdr:col>
      <xdr:colOff>109154</xdr:colOff>
      <xdr:row>0</xdr:row>
      <xdr:rowOff>113819</xdr:rowOff>
    </xdr:from>
    <xdr:to>
      <xdr:col>20</xdr:col>
      <xdr:colOff>13359</xdr:colOff>
      <xdr:row>15</xdr:row>
      <xdr:rowOff>66471</xdr:rowOff>
    </xdr:to>
    <xdr:pic>
      <xdr:nvPicPr>
        <xdr:cNvPr id="3" name="Picture 2">
          <a:extLst>
            <a:ext uri="{FF2B5EF4-FFF2-40B4-BE49-F238E27FC236}">
              <a16:creationId xmlns:a16="http://schemas.microsoft.com/office/drawing/2014/main" xmlns="" id="{16C62532-9C77-4EE2-BADE-E899D8D7456F}"/>
            </a:ext>
          </a:extLst>
        </xdr:cNvPr>
        <xdr:cNvPicPr>
          <a:picLocks noChangeAspect="1"/>
        </xdr:cNvPicPr>
      </xdr:nvPicPr>
      <xdr:blipFill>
        <a:blip xmlns:r="http://schemas.openxmlformats.org/officeDocument/2006/relationships" r:embed="rId2"/>
        <a:stretch>
          <a:fillRect/>
        </a:stretch>
      </xdr:blipFill>
      <xdr:spPr>
        <a:xfrm>
          <a:off x="6814754" y="113819"/>
          <a:ext cx="5390605" cy="2810152"/>
        </a:xfrm>
        <a:prstGeom prst="rect">
          <a:avLst/>
        </a:prstGeom>
      </xdr:spPr>
    </xdr:pic>
    <xdr:clientData/>
  </xdr:twoCellAnchor>
  <xdr:twoCellAnchor editAs="oneCell">
    <xdr:from>
      <xdr:col>11</xdr:col>
      <xdr:colOff>107340</xdr:colOff>
      <xdr:row>15</xdr:row>
      <xdr:rowOff>153230</xdr:rowOff>
    </xdr:from>
    <xdr:to>
      <xdr:col>19</xdr:col>
      <xdr:colOff>577159</xdr:colOff>
      <xdr:row>30</xdr:row>
      <xdr:rowOff>188965</xdr:rowOff>
    </xdr:to>
    <xdr:pic>
      <xdr:nvPicPr>
        <xdr:cNvPr id="4" name="Picture 3">
          <a:extLst>
            <a:ext uri="{FF2B5EF4-FFF2-40B4-BE49-F238E27FC236}">
              <a16:creationId xmlns:a16="http://schemas.microsoft.com/office/drawing/2014/main" xmlns="" id="{7B67D470-5437-4EDD-A4AC-20874C471E19}"/>
            </a:ext>
          </a:extLst>
        </xdr:cNvPr>
        <xdr:cNvPicPr>
          <a:picLocks noChangeAspect="1"/>
        </xdr:cNvPicPr>
      </xdr:nvPicPr>
      <xdr:blipFill>
        <a:blip xmlns:r="http://schemas.openxmlformats.org/officeDocument/2006/relationships" r:embed="rId3"/>
        <a:stretch>
          <a:fillRect/>
        </a:stretch>
      </xdr:blipFill>
      <xdr:spPr>
        <a:xfrm>
          <a:off x="6812940" y="3010730"/>
          <a:ext cx="5346619" cy="2893235"/>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114300</xdr:colOff>
      <xdr:row>0</xdr:row>
      <xdr:rowOff>152400</xdr:rowOff>
    </xdr:from>
    <xdr:to>
      <xdr:col>6</xdr:col>
      <xdr:colOff>523367</xdr:colOff>
      <xdr:row>30</xdr:row>
      <xdr:rowOff>18352</xdr:rowOff>
    </xdr:to>
    <xdr:pic>
      <xdr:nvPicPr>
        <xdr:cNvPr id="2" name="Picture 1">
          <a:extLst>
            <a:ext uri="{FF2B5EF4-FFF2-40B4-BE49-F238E27FC236}">
              <a16:creationId xmlns:a16="http://schemas.microsoft.com/office/drawing/2014/main" xmlns="" id="{3DF4DF4F-F562-4F84-B897-EFD62E776D77}"/>
            </a:ext>
          </a:extLst>
        </xdr:cNvPr>
        <xdr:cNvPicPr>
          <a:picLocks noChangeAspect="1"/>
        </xdr:cNvPicPr>
      </xdr:nvPicPr>
      <xdr:blipFill>
        <a:blip xmlns:r="http://schemas.openxmlformats.org/officeDocument/2006/relationships" r:embed="rId1"/>
        <a:stretch>
          <a:fillRect/>
        </a:stretch>
      </xdr:blipFill>
      <xdr:spPr>
        <a:xfrm>
          <a:off x="114300" y="152400"/>
          <a:ext cx="4066667" cy="5580952"/>
        </a:xfrm>
        <a:prstGeom prst="rect">
          <a:avLst/>
        </a:prstGeom>
      </xdr:spPr>
    </xdr:pic>
    <xdr:clientData/>
  </xdr:twoCellAnchor>
  <xdr:twoCellAnchor editAs="oneCell">
    <xdr:from>
      <xdr:col>6</xdr:col>
      <xdr:colOff>580724</xdr:colOff>
      <xdr:row>1</xdr:row>
      <xdr:rowOff>46356</xdr:rowOff>
    </xdr:from>
    <xdr:to>
      <xdr:col>14</xdr:col>
      <xdr:colOff>599634</xdr:colOff>
      <xdr:row>20</xdr:row>
      <xdr:rowOff>134058</xdr:rowOff>
    </xdr:to>
    <xdr:pic>
      <xdr:nvPicPr>
        <xdr:cNvPr id="3" name="Picture 3">
          <a:extLst>
            <a:ext uri="{FF2B5EF4-FFF2-40B4-BE49-F238E27FC236}">
              <a16:creationId xmlns:a16="http://schemas.microsoft.com/office/drawing/2014/main" xmlns="" id="{1C841311-74E7-4994-81D9-111FD19E98AB}"/>
            </a:ext>
          </a:extLst>
        </xdr:cNvPr>
        <xdr:cNvPicPr>
          <a:picLocks noChangeAspect="1"/>
        </xdr:cNvPicPr>
      </xdr:nvPicPr>
      <xdr:blipFill>
        <a:blip xmlns:r="http://schemas.openxmlformats.org/officeDocument/2006/relationships" r:embed="rId2"/>
        <a:stretch>
          <a:fillRect/>
        </a:stretch>
      </xdr:blipFill>
      <xdr:spPr>
        <a:xfrm>
          <a:off x="4238324" y="236856"/>
          <a:ext cx="4895710" cy="3707202"/>
        </a:xfrm>
        <a:prstGeom prst="rect">
          <a:avLst/>
        </a:prstGeom>
      </xdr:spPr>
    </xdr:pic>
    <xdr:clientData/>
  </xdr:twoCellAnchor>
  <xdr:twoCellAnchor editAs="oneCell">
    <xdr:from>
      <xdr:col>7</xdr:col>
      <xdr:colOff>44429</xdr:colOff>
      <xdr:row>21</xdr:row>
      <xdr:rowOff>131028</xdr:rowOff>
    </xdr:from>
    <xdr:to>
      <xdr:col>14</xdr:col>
      <xdr:colOff>40351</xdr:colOff>
      <xdr:row>30</xdr:row>
      <xdr:rowOff>40062</xdr:rowOff>
    </xdr:to>
    <xdr:pic>
      <xdr:nvPicPr>
        <xdr:cNvPr id="4" name="Picture 4">
          <a:extLst>
            <a:ext uri="{FF2B5EF4-FFF2-40B4-BE49-F238E27FC236}">
              <a16:creationId xmlns:a16="http://schemas.microsoft.com/office/drawing/2014/main" xmlns="" id="{2C232728-E26B-4950-89CC-EB5D22AC06E0}"/>
            </a:ext>
          </a:extLst>
        </xdr:cNvPr>
        <xdr:cNvPicPr>
          <a:picLocks noChangeAspect="1"/>
        </xdr:cNvPicPr>
      </xdr:nvPicPr>
      <xdr:blipFill>
        <a:blip xmlns:r="http://schemas.openxmlformats.org/officeDocument/2006/relationships" r:embed="rId3"/>
        <a:stretch>
          <a:fillRect/>
        </a:stretch>
      </xdr:blipFill>
      <xdr:spPr>
        <a:xfrm>
          <a:off x="4311629" y="4131528"/>
          <a:ext cx="4263122" cy="1623534"/>
        </a:xfrm>
        <a:prstGeom prst="rect">
          <a:avLst/>
        </a:prstGeom>
      </xdr:spPr>
    </xdr:pic>
    <xdr:clientData/>
  </xdr:twoCellAnchor>
  <xdr:twoCellAnchor editAs="oneCell">
    <xdr:from>
      <xdr:col>15</xdr:col>
      <xdr:colOff>253228</xdr:colOff>
      <xdr:row>0</xdr:row>
      <xdr:rowOff>95821</xdr:rowOff>
    </xdr:from>
    <xdr:to>
      <xdr:col>22</xdr:col>
      <xdr:colOff>174376</xdr:colOff>
      <xdr:row>10</xdr:row>
      <xdr:rowOff>179919</xdr:rowOff>
    </xdr:to>
    <xdr:pic>
      <xdr:nvPicPr>
        <xdr:cNvPr id="5" name="Picture 5">
          <a:extLst>
            <a:ext uri="{FF2B5EF4-FFF2-40B4-BE49-F238E27FC236}">
              <a16:creationId xmlns:a16="http://schemas.microsoft.com/office/drawing/2014/main" xmlns="" id="{E56DB6AA-2A99-48F3-89CC-4034006946A6}"/>
            </a:ext>
          </a:extLst>
        </xdr:cNvPr>
        <xdr:cNvPicPr>
          <a:picLocks noChangeAspect="1"/>
        </xdr:cNvPicPr>
      </xdr:nvPicPr>
      <xdr:blipFill>
        <a:blip xmlns:r="http://schemas.openxmlformats.org/officeDocument/2006/relationships" r:embed="rId4"/>
        <a:stretch>
          <a:fillRect/>
        </a:stretch>
      </xdr:blipFill>
      <xdr:spPr>
        <a:xfrm>
          <a:off x="9397228" y="95821"/>
          <a:ext cx="4188348" cy="1989098"/>
        </a:xfrm>
        <a:prstGeom prst="rect">
          <a:avLst/>
        </a:prstGeom>
      </xdr:spPr>
    </xdr:pic>
    <xdr:clientData/>
  </xdr:twoCellAnchor>
  <xdr:twoCellAnchor editAs="oneCell">
    <xdr:from>
      <xdr:col>15</xdr:col>
      <xdr:colOff>272968</xdr:colOff>
      <xdr:row>11</xdr:row>
      <xdr:rowOff>34354</xdr:rowOff>
    </xdr:from>
    <xdr:to>
      <xdr:col>22</xdr:col>
      <xdr:colOff>203890</xdr:colOff>
      <xdr:row>21</xdr:row>
      <xdr:rowOff>128227</xdr:rowOff>
    </xdr:to>
    <xdr:pic>
      <xdr:nvPicPr>
        <xdr:cNvPr id="6" name="Picture 6">
          <a:extLst>
            <a:ext uri="{FF2B5EF4-FFF2-40B4-BE49-F238E27FC236}">
              <a16:creationId xmlns:a16="http://schemas.microsoft.com/office/drawing/2014/main" xmlns="" id="{EB839E2D-409B-49A7-B1A7-F9F1EDDD6E20}"/>
            </a:ext>
          </a:extLst>
        </xdr:cNvPr>
        <xdr:cNvPicPr>
          <a:picLocks noChangeAspect="1"/>
        </xdr:cNvPicPr>
      </xdr:nvPicPr>
      <xdr:blipFill>
        <a:blip xmlns:r="http://schemas.openxmlformats.org/officeDocument/2006/relationships" r:embed="rId5"/>
        <a:stretch>
          <a:fillRect/>
        </a:stretch>
      </xdr:blipFill>
      <xdr:spPr>
        <a:xfrm>
          <a:off x="9416968" y="2129854"/>
          <a:ext cx="4198122" cy="1998873"/>
        </a:xfrm>
        <a:prstGeom prst="rect">
          <a:avLst/>
        </a:prstGeom>
      </xdr:spPr>
    </xdr:pic>
    <xdr:clientData/>
  </xdr:twoCellAnchor>
  <xdr:twoCellAnchor editAs="oneCell">
    <xdr:from>
      <xdr:col>23</xdr:col>
      <xdr:colOff>690</xdr:colOff>
      <xdr:row>0</xdr:row>
      <xdr:rowOff>98035</xdr:rowOff>
    </xdr:from>
    <xdr:to>
      <xdr:col>29</xdr:col>
      <xdr:colOff>541212</xdr:colOff>
      <xdr:row>9</xdr:row>
      <xdr:rowOff>15867</xdr:rowOff>
    </xdr:to>
    <xdr:pic>
      <xdr:nvPicPr>
        <xdr:cNvPr id="7" name="Picture 7">
          <a:extLst>
            <a:ext uri="{FF2B5EF4-FFF2-40B4-BE49-F238E27FC236}">
              <a16:creationId xmlns:a16="http://schemas.microsoft.com/office/drawing/2014/main" xmlns="" id="{FB6B61D6-B5A5-437D-BA4C-32D6D644412F}"/>
            </a:ext>
          </a:extLst>
        </xdr:cNvPr>
        <xdr:cNvPicPr>
          <a:picLocks noChangeAspect="1"/>
        </xdr:cNvPicPr>
      </xdr:nvPicPr>
      <xdr:blipFill>
        <a:blip xmlns:r="http://schemas.openxmlformats.org/officeDocument/2006/relationships" r:embed="rId6"/>
        <a:stretch>
          <a:fillRect/>
        </a:stretch>
      </xdr:blipFill>
      <xdr:spPr>
        <a:xfrm>
          <a:off x="14021490" y="98035"/>
          <a:ext cx="4198122" cy="1632332"/>
        </a:xfrm>
        <a:prstGeom prst="rect">
          <a:avLst/>
        </a:prstGeom>
      </xdr:spPr>
    </xdr:pic>
    <xdr:clientData/>
  </xdr:twoCellAnchor>
  <xdr:twoCellAnchor editAs="oneCell">
    <xdr:from>
      <xdr:col>22</xdr:col>
      <xdr:colOff>599550</xdr:colOff>
      <xdr:row>10</xdr:row>
      <xdr:rowOff>133521</xdr:rowOff>
    </xdr:from>
    <xdr:to>
      <xdr:col>28</xdr:col>
      <xdr:colOff>494959</xdr:colOff>
      <xdr:row>23</xdr:row>
      <xdr:rowOff>46871</xdr:rowOff>
    </xdr:to>
    <xdr:pic>
      <xdr:nvPicPr>
        <xdr:cNvPr id="8" name="Picture 8">
          <a:extLst>
            <a:ext uri="{FF2B5EF4-FFF2-40B4-BE49-F238E27FC236}">
              <a16:creationId xmlns:a16="http://schemas.microsoft.com/office/drawing/2014/main" xmlns="" id="{71FCA854-7A95-4894-9D8E-47FC70871050}"/>
            </a:ext>
          </a:extLst>
        </xdr:cNvPr>
        <xdr:cNvPicPr>
          <a:picLocks noChangeAspect="1"/>
        </xdr:cNvPicPr>
      </xdr:nvPicPr>
      <xdr:blipFill>
        <a:blip xmlns:r="http://schemas.openxmlformats.org/officeDocument/2006/relationships" r:embed="rId7"/>
        <a:stretch>
          <a:fillRect/>
        </a:stretch>
      </xdr:blipFill>
      <xdr:spPr>
        <a:xfrm>
          <a:off x="14010750" y="2038521"/>
          <a:ext cx="3553009" cy="2389850"/>
        </a:xfrm>
        <a:prstGeom prst="rect">
          <a:avLst/>
        </a:prstGeom>
      </xdr:spPr>
    </xdr:pic>
    <xdr:clientData/>
  </xdr:twoCellAnchor>
  <xdr:twoCellAnchor editAs="oneCell">
    <xdr:from>
      <xdr:col>30</xdr:col>
      <xdr:colOff>87487</xdr:colOff>
      <xdr:row>0</xdr:row>
      <xdr:rowOff>83149</xdr:rowOff>
    </xdr:from>
    <xdr:to>
      <xdr:col>38</xdr:col>
      <xdr:colOff>521043</xdr:colOff>
      <xdr:row>18</xdr:row>
      <xdr:rowOff>78087</xdr:rowOff>
    </xdr:to>
    <xdr:pic>
      <xdr:nvPicPr>
        <xdr:cNvPr id="9" name="Picture 9">
          <a:extLst>
            <a:ext uri="{FF2B5EF4-FFF2-40B4-BE49-F238E27FC236}">
              <a16:creationId xmlns:a16="http://schemas.microsoft.com/office/drawing/2014/main" xmlns="" id="{57F5E46E-A618-4A22-92DB-7A4FA99F9155}"/>
            </a:ext>
          </a:extLst>
        </xdr:cNvPr>
        <xdr:cNvPicPr>
          <a:picLocks noChangeAspect="1"/>
        </xdr:cNvPicPr>
      </xdr:nvPicPr>
      <xdr:blipFill>
        <a:blip xmlns:r="http://schemas.openxmlformats.org/officeDocument/2006/relationships" r:embed="rId8"/>
        <a:stretch>
          <a:fillRect/>
        </a:stretch>
      </xdr:blipFill>
      <xdr:spPr>
        <a:xfrm>
          <a:off x="18375487" y="83149"/>
          <a:ext cx="5310356" cy="3423938"/>
        </a:xfrm>
        <a:prstGeom prst="rect">
          <a:avLst/>
        </a:prstGeom>
      </xdr:spPr>
    </xdr:pic>
    <xdr:clientData/>
  </xdr:twoCellAnchor>
  <xdr:twoCellAnchor editAs="oneCell">
    <xdr:from>
      <xdr:col>30</xdr:col>
      <xdr:colOff>111262</xdr:colOff>
      <xdr:row>16</xdr:row>
      <xdr:rowOff>178246</xdr:rowOff>
    </xdr:from>
    <xdr:to>
      <xdr:col>36</xdr:col>
      <xdr:colOff>468954</xdr:colOff>
      <xdr:row>30</xdr:row>
      <xdr:rowOff>154597</xdr:rowOff>
    </xdr:to>
    <xdr:pic>
      <xdr:nvPicPr>
        <xdr:cNvPr id="10" name="Picture 11">
          <a:extLst>
            <a:ext uri="{FF2B5EF4-FFF2-40B4-BE49-F238E27FC236}">
              <a16:creationId xmlns:a16="http://schemas.microsoft.com/office/drawing/2014/main" xmlns="" id="{68886BD8-E102-42A0-A485-8026813EC686}"/>
            </a:ext>
          </a:extLst>
        </xdr:cNvPr>
        <xdr:cNvPicPr>
          <a:picLocks noChangeAspect="1"/>
        </xdr:cNvPicPr>
      </xdr:nvPicPr>
      <xdr:blipFill>
        <a:blip xmlns:r="http://schemas.openxmlformats.org/officeDocument/2006/relationships" r:embed="rId9"/>
        <a:stretch>
          <a:fillRect/>
        </a:stretch>
      </xdr:blipFill>
      <xdr:spPr>
        <a:xfrm>
          <a:off x="18399262" y="3226246"/>
          <a:ext cx="4015292" cy="2643351"/>
        </a:xfrm>
        <a:prstGeom prst="rect">
          <a:avLst/>
        </a:prstGeom>
      </xdr:spPr>
    </xdr:pic>
    <xdr:clientData/>
  </xdr:twoCellAnchor>
  <xdr:twoCellAnchor editAs="oneCell">
    <xdr:from>
      <xdr:col>39</xdr:col>
      <xdr:colOff>11639</xdr:colOff>
      <xdr:row>0</xdr:row>
      <xdr:rowOff>161457</xdr:rowOff>
    </xdr:from>
    <xdr:to>
      <xdr:col>52</xdr:col>
      <xdr:colOff>130129</xdr:colOff>
      <xdr:row>29</xdr:row>
      <xdr:rowOff>152109</xdr:rowOff>
    </xdr:to>
    <xdr:pic>
      <xdr:nvPicPr>
        <xdr:cNvPr id="11" name="Picture 12">
          <a:extLst>
            <a:ext uri="{FF2B5EF4-FFF2-40B4-BE49-F238E27FC236}">
              <a16:creationId xmlns:a16="http://schemas.microsoft.com/office/drawing/2014/main" xmlns="" id="{ED4FBF23-43A1-4661-BA86-260C77F76602}"/>
            </a:ext>
          </a:extLst>
        </xdr:cNvPr>
        <xdr:cNvPicPr>
          <a:picLocks noChangeAspect="1"/>
        </xdr:cNvPicPr>
      </xdr:nvPicPr>
      <xdr:blipFill>
        <a:blip xmlns:r="http://schemas.openxmlformats.org/officeDocument/2006/relationships" r:embed="rId10"/>
        <a:stretch>
          <a:fillRect/>
        </a:stretch>
      </xdr:blipFill>
      <xdr:spPr>
        <a:xfrm>
          <a:off x="23786039" y="161457"/>
          <a:ext cx="8043290" cy="5515152"/>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304800</xdr:colOff>
      <xdr:row>0</xdr:row>
      <xdr:rowOff>171450</xdr:rowOff>
    </xdr:from>
    <xdr:to>
      <xdr:col>8</xdr:col>
      <xdr:colOff>285143</xdr:colOff>
      <xdr:row>24</xdr:row>
      <xdr:rowOff>123259</xdr:rowOff>
    </xdr:to>
    <xdr:pic>
      <xdr:nvPicPr>
        <xdr:cNvPr id="2" name="Picture 1">
          <a:extLst>
            <a:ext uri="{FF2B5EF4-FFF2-40B4-BE49-F238E27FC236}">
              <a16:creationId xmlns:a16="http://schemas.microsoft.com/office/drawing/2014/main" xmlns="" id="{31728E1A-9C5A-4039-9A25-1D7905C21B8F}"/>
            </a:ext>
          </a:extLst>
        </xdr:cNvPr>
        <xdr:cNvPicPr>
          <a:picLocks noChangeAspect="1"/>
        </xdr:cNvPicPr>
      </xdr:nvPicPr>
      <xdr:blipFill>
        <a:blip xmlns:r="http://schemas.openxmlformats.org/officeDocument/2006/relationships" r:embed="rId1"/>
        <a:stretch>
          <a:fillRect/>
        </a:stretch>
      </xdr:blipFill>
      <xdr:spPr>
        <a:xfrm>
          <a:off x="304800" y="171450"/>
          <a:ext cx="4857143" cy="4523809"/>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457200</xdr:colOff>
      <xdr:row>1</xdr:row>
      <xdr:rowOff>38100</xdr:rowOff>
    </xdr:from>
    <xdr:to>
      <xdr:col>7</xdr:col>
      <xdr:colOff>323333</xdr:colOff>
      <xdr:row>29</xdr:row>
      <xdr:rowOff>161243</xdr:rowOff>
    </xdr:to>
    <xdr:pic>
      <xdr:nvPicPr>
        <xdr:cNvPr id="2" name="Picture 1">
          <a:extLst>
            <a:ext uri="{FF2B5EF4-FFF2-40B4-BE49-F238E27FC236}">
              <a16:creationId xmlns:a16="http://schemas.microsoft.com/office/drawing/2014/main" xmlns="" id="{9A993129-051C-4A87-A6E5-E386737AB6CE}"/>
            </a:ext>
          </a:extLst>
        </xdr:cNvPr>
        <xdr:cNvPicPr>
          <a:picLocks noChangeAspect="1"/>
        </xdr:cNvPicPr>
      </xdr:nvPicPr>
      <xdr:blipFill>
        <a:blip xmlns:r="http://schemas.openxmlformats.org/officeDocument/2006/relationships" r:embed="rId1"/>
        <a:stretch>
          <a:fillRect/>
        </a:stretch>
      </xdr:blipFill>
      <xdr:spPr>
        <a:xfrm>
          <a:off x="457200" y="228600"/>
          <a:ext cx="4133333" cy="5457143"/>
        </a:xfrm>
        <a:prstGeom prst="rect">
          <a:avLst/>
        </a:prstGeom>
      </xdr:spPr>
    </xdr:pic>
    <xdr:clientData/>
  </xdr:twoCellAnchor>
  <xdr:twoCellAnchor editAs="oneCell">
    <xdr:from>
      <xdr:col>10</xdr:col>
      <xdr:colOff>123825</xdr:colOff>
      <xdr:row>7</xdr:row>
      <xdr:rowOff>152400</xdr:rowOff>
    </xdr:from>
    <xdr:to>
      <xdr:col>20</xdr:col>
      <xdr:colOff>304015</xdr:colOff>
      <xdr:row>24</xdr:row>
      <xdr:rowOff>9138</xdr:rowOff>
    </xdr:to>
    <xdr:pic>
      <xdr:nvPicPr>
        <xdr:cNvPr id="3" name="Picture 2">
          <a:extLst>
            <a:ext uri="{FF2B5EF4-FFF2-40B4-BE49-F238E27FC236}">
              <a16:creationId xmlns:a16="http://schemas.microsoft.com/office/drawing/2014/main" xmlns="" id="{ABB55DE0-0A2D-4126-8AB9-81A755694C47}"/>
            </a:ext>
          </a:extLst>
        </xdr:cNvPr>
        <xdr:cNvPicPr>
          <a:picLocks noChangeAspect="1"/>
        </xdr:cNvPicPr>
      </xdr:nvPicPr>
      <xdr:blipFill>
        <a:blip xmlns:r="http://schemas.openxmlformats.org/officeDocument/2006/relationships" r:embed="rId2"/>
        <a:stretch>
          <a:fillRect/>
        </a:stretch>
      </xdr:blipFill>
      <xdr:spPr>
        <a:xfrm>
          <a:off x="6219825" y="1485900"/>
          <a:ext cx="6276190" cy="30952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1381125</xdr:colOff>
      <xdr:row>28</xdr:row>
      <xdr:rowOff>38100</xdr:rowOff>
    </xdr:from>
    <xdr:to>
      <xdr:col>8</xdr:col>
      <xdr:colOff>285750</xdr:colOff>
      <xdr:row>41</xdr:row>
      <xdr:rowOff>0</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171450</xdr:colOff>
      <xdr:row>23</xdr:row>
      <xdr:rowOff>152400</xdr:rowOff>
    </xdr:from>
    <xdr:to>
      <xdr:col>10</xdr:col>
      <xdr:colOff>714375</xdr:colOff>
      <xdr:row>35</xdr:row>
      <xdr:rowOff>85725</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171450</xdr:colOff>
      <xdr:row>36</xdr:row>
      <xdr:rowOff>142875</xdr:rowOff>
    </xdr:from>
    <xdr:to>
      <xdr:col>10</xdr:col>
      <xdr:colOff>723900</xdr:colOff>
      <xdr:row>48</xdr:row>
      <xdr:rowOff>0</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390525</xdr:colOff>
      <xdr:row>11</xdr:row>
      <xdr:rowOff>23812</xdr:rowOff>
    </xdr:from>
    <xdr:to>
      <xdr:col>13</xdr:col>
      <xdr:colOff>390525</xdr:colOff>
      <xdr:row>25</xdr:row>
      <xdr:rowOff>100012</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142875</xdr:colOff>
      <xdr:row>20</xdr:row>
      <xdr:rowOff>157162</xdr:rowOff>
    </xdr:from>
    <xdr:to>
      <xdr:col>13</xdr:col>
      <xdr:colOff>28575</xdr:colOff>
      <xdr:row>35</xdr:row>
      <xdr:rowOff>42862</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66675</xdr:colOff>
      <xdr:row>20</xdr:row>
      <xdr:rowOff>157162</xdr:rowOff>
    </xdr:from>
    <xdr:to>
      <xdr:col>5</xdr:col>
      <xdr:colOff>542925</xdr:colOff>
      <xdr:row>35</xdr:row>
      <xdr:rowOff>42862</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18</xdr:col>
      <xdr:colOff>0</xdr:colOff>
      <xdr:row>14</xdr:row>
      <xdr:rowOff>0</xdr:rowOff>
    </xdr:from>
    <xdr:to>
      <xdr:col>22</xdr:col>
      <xdr:colOff>657225</xdr:colOff>
      <xdr:row>25</xdr:row>
      <xdr:rowOff>142875</xdr:rowOff>
    </xdr:to>
    <xdr:graphicFrame macro="">
      <xdr:nvGraphicFramePr>
        <xdr:cNvPr id="2"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704850</xdr:colOff>
      <xdr:row>15</xdr:row>
      <xdr:rowOff>114300</xdr:rowOff>
    </xdr:from>
    <xdr:to>
      <xdr:col>27</xdr:col>
      <xdr:colOff>342900</xdr:colOff>
      <xdr:row>39</xdr:row>
      <xdr:rowOff>114300</xdr:rowOff>
    </xdr:to>
    <xdr:graphicFrame macro="">
      <xdr:nvGraphicFramePr>
        <xdr:cNvPr id="3"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26</xdr:row>
      <xdr:rowOff>66675</xdr:rowOff>
    </xdr:from>
    <xdr:to>
      <xdr:col>22</xdr:col>
      <xdr:colOff>657225</xdr:colOff>
      <xdr:row>41</xdr:row>
      <xdr:rowOff>133350</xdr:rowOff>
    </xdr:to>
    <xdr:graphicFrame macro="">
      <xdr:nvGraphicFramePr>
        <xdr:cNvPr id="4"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838200</xdr:colOff>
      <xdr:row>51</xdr:row>
      <xdr:rowOff>47625</xdr:rowOff>
    </xdr:from>
    <xdr:to>
      <xdr:col>23</xdr:col>
      <xdr:colOff>638175</xdr:colOff>
      <xdr:row>61</xdr:row>
      <xdr:rowOff>47625</xdr:rowOff>
    </xdr:to>
    <xdr:graphicFrame macro="">
      <xdr:nvGraphicFramePr>
        <xdr:cNvPr id="5" name="Grá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38100</xdr:colOff>
      <xdr:row>38</xdr:row>
      <xdr:rowOff>152400</xdr:rowOff>
    </xdr:from>
    <xdr:to>
      <xdr:col>7</xdr:col>
      <xdr:colOff>2314575</xdr:colOff>
      <xdr:row>53</xdr:row>
      <xdr:rowOff>61912</xdr:rowOff>
    </xdr:to>
    <xdr:graphicFrame macro="">
      <xdr:nvGraphicFramePr>
        <xdr:cNvPr id="8" name="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746522</xdr:colOff>
      <xdr:row>18</xdr:row>
      <xdr:rowOff>111680</xdr:rowOff>
    </xdr:from>
    <xdr:to>
      <xdr:col>8</xdr:col>
      <xdr:colOff>147944</xdr:colOff>
      <xdr:row>26</xdr:row>
      <xdr:rowOff>164280</xdr:rowOff>
    </xdr:to>
    <xdr:pic>
      <xdr:nvPicPr>
        <xdr:cNvPr id="2" name="1 Imagen"/>
        <xdr:cNvPicPr>
          <a:picLocks noChangeAspect="1"/>
        </xdr:cNvPicPr>
      </xdr:nvPicPr>
      <xdr:blipFill>
        <a:blip xmlns:r="http://schemas.openxmlformats.org/officeDocument/2006/relationships" r:embed="rId1"/>
        <a:stretch>
          <a:fillRect/>
        </a:stretch>
      </xdr:blipFill>
      <xdr:spPr>
        <a:xfrm>
          <a:off x="289322" y="3588305"/>
          <a:ext cx="5316447" cy="1595650"/>
        </a:xfrm>
        <a:prstGeom prst="rect">
          <a:avLst/>
        </a:prstGeom>
        <a:ln>
          <a:solidFill>
            <a:srgbClr val="7030A0"/>
          </a:solidFill>
        </a:ln>
      </xdr:spPr>
    </xdr:pic>
    <xdr:clientData/>
  </xdr:twoCellAnchor>
  <xdr:twoCellAnchor editAs="oneCell">
    <xdr:from>
      <xdr:col>0</xdr:col>
      <xdr:colOff>719939</xdr:colOff>
      <xdr:row>27</xdr:row>
      <xdr:rowOff>60607</xdr:rowOff>
    </xdr:from>
    <xdr:to>
      <xdr:col>9</xdr:col>
      <xdr:colOff>402670</xdr:colOff>
      <xdr:row>30</xdr:row>
      <xdr:rowOff>186904</xdr:rowOff>
    </xdr:to>
    <xdr:pic>
      <xdr:nvPicPr>
        <xdr:cNvPr id="3" name="2 Imagen"/>
        <xdr:cNvPicPr>
          <a:picLocks noChangeAspect="1"/>
        </xdr:cNvPicPr>
      </xdr:nvPicPr>
      <xdr:blipFill>
        <a:blip xmlns:r="http://schemas.openxmlformats.org/officeDocument/2006/relationships" r:embed="rId2"/>
        <a:stretch>
          <a:fillRect/>
        </a:stretch>
      </xdr:blipFill>
      <xdr:spPr>
        <a:xfrm>
          <a:off x="281789" y="5270782"/>
          <a:ext cx="6664556" cy="697797"/>
        </a:xfrm>
        <a:prstGeom prst="rect">
          <a:avLst/>
        </a:prstGeom>
        <a:ln>
          <a:solidFill>
            <a:srgbClr val="7030A0"/>
          </a:solidFill>
        </a:ln>
      </xdr:spPr>
    </xdr:pic>
    <xdr:clientData/>
  </xdr:twoCellAnchor>
  <xdr:twoCellAnchor editAs="oneCell">
    <xdr:from>
      <xdr:col>0</xdr:col>
      <xdr:colOff>719187</xdr:colOff>
      <xdr:row>31</xdr:row>
      <xdr:rowOff>101022</xdr:rowOff>
    </xdr:from>
    <xdr:to>
      <xdr:col>9</xdr:col>
      <xdr:colOff>327467</xdr:colOff>
      <xdr:row>39</xdr:row>
      <xdr:rowOff>108273</xdr:rowOff>
    </xdr:to>
    <xdr:pic>
      <xdr:nvPicPr>
        <xdr:cNvPr id="4" name="3 Imagen"/>
        <xdr:cNvPicPr>
          <a:picLocks noChangeAspect="1"/>
        </xdr:cNvPicPr>
      </xdr:nvPicPr>
      <xdr:blipFill>
        <a:blip xmlns:r="http://schemas.openxmlformats.org/officeDocument/2006/relationships" r:embed="rId3"/>
        <a:stretch>
          <a:fillRect/>
        </a:stretch>
      </xdr:blipFill>
      <xdr:spPr>
        <a:xfrm>
          <a:off x="281037" y="6073197"/>
          <a:ext cx="6590105" cy="1531251"/>
        </a:xfrm>
        <a:prstGeom prst="rect">
          <a:avLst/>
        </a:prstGeom>
        <a:ln>
          <a:solidFill>
            <a:srgbClr val="7030A0"/>
          </a:solidFill>
        </a:ln>
      </xdr:spPr>
    </xdr:pic>
    <xdr:clientData/>
  </xdr:twoCellAnchor>
  <xdr:twoCellAnchor editAs="oneCell">
    <xdr:from>
      <xdr:col>0</xdr:col>
      <xdr:colOff>711047</xdr:colOff>
      <xdr:row>39</xdr:row>
      <xdr:rowOff>181185</xdr:rowOff>
    </xdr:from>
    <xdr:to>
      <xdr:col>7</xdr:col>
      <xdr:colOff>926414</xdr:colOff>
      <xdr:row>45</xdr:row>
      <xdr:rowOff>123433</xdr:rowOff>
    </xdr:to>
    <xdr:pic>
      <xdr:nvPicPr>
        <xdr:cNvPr id="5" name="4 Imagen"/>
        <xdr:cNvPicPr>
          <a:picLocks noChangeAspect="1"/>
        </xdr:cNvPicPr>
      </xdr:nvPicPr>
      <xdr:blipFill>
        <a:blip xmlns:r="http://schemas.openxmlformats.org/officeDocument/2006/relationships" r:embed="rId4"/>
        <a:stretch>
          <a:fillRect/>
        </a:stretch>
      </xdr:blipFill>
      <xdr:spPr>
        <a:xfrm>
          <a:off x="282422" y="7677360"/>
          <a:ext cx="5044542" cy="1094773"/>
        </a:xfrm>
        <a:prstGeom prst="rect">
          <a:avLst/>
        </a:prstGeom>
        <a:ln>
          <a:solidFill>
            <a:srgbClr val="7030A0"/>
          </a:solidFill>
        </a:ln>
      </xdr:spPr>
    </xdr:pic>
    <xdr:clientData/>
  </xdr:twoCellAnchor>
  <xdr:twoCellAnchor editAs="oneCell">
    <xdr:from>
      <xdr:col>8</xdr:col>
      <xdr:colOff>226697</xdr:colOff>
      <xdr:row>18</xdr:row>
      <xdr:rowOff>105827</xdr:rowOff>
    </xdr:from>
    <xdr:to>
      <xdr:col>9</xdr:col>
      <xdr:colOff>211292</xdr:colOff>
      <xdr:row>22</xdr:row>
      <xdr:rowOff>160748</xdr:rowOff>
    </xdr:to>
    <xdr:pic>
      <xdr:nvPicPr>
        <xdr:cNvPr id="6" name="5 Imagen"/>
        <xdr:cNvPicPr>
          <a:picLocks noChangeAspect="1"/>
        </xdr:cNvPicPr>
      </xdr:nvPicPr>
      <xdr:blipFill>
        <a:blip xmlns:r="http://schemas.openxmlformats.org/officeDocument/2006/relationships" r:embed="rId5"/>
        <a:stretch>
          <a:fillRect/>
        </a:stretch>
      </xdr:blipFill>
      <xdr:spPr>
        <a:xfrm>
          <a:off x="5684522" y="3582452"/>
          <a:ext cx="1070445" cy="826446"/>
        </a:xfrm>
        <a:prstGeom prst="rect">
          <a:avLst/>
        </a:prstGeom>
        <a:ln>
          <a:solidFill>
            <a:srgbClr val="7030A0"/>
          </a:solidFill>
        </a:ln>
      </xdr:spPr>
    </xdr:pic>
    <xdr:clientData/>
  </xdr:twoCellAnchor>
  <xdr:twoCellAnchor editAs="oneCell">
    <xdr:from>
      <xdr:col>8</xdr:col>
      <xdr:colOff>238125</xdr:colOff>
      <xdr:row>23</xdr:row>
      <xdr:rowOff>95250</xdr:rowOff>
    </xdr:from>
    <xdr:to>
      <xdr:col>9</xdr:col>
      <xdr:colOff>37989</xdr:colOff>
      <xdr:row>25</xdr:row>
      <xdr:rowOff>114249</xdr:rowOff>
    </xdr:to>
    <xdr:pic>
      <xdr:nvPicPr>
        <xdr:cNvPr id="7" name="6 Imagen"/>
        <xdr:cNvPicPr>
          <a:picLocks noChangeAspect="1"/>
        </xdr:cNvPicPr>
      </xdr:nvPicPr>
      <xdr:blipFill>
        <a:blip xmlns:r="http://schemas.openxmlformats.org/officeDocument/2006/relationships" r:embed="rId6"/>
        <a:stretch>
          <a:fillRect/>
        </a:stretch>
      </xdr:blipFill>
      <xdr:spPr>
        <a:xfrm>
          <a:off x="5695950" y="4533900"/>
          <a:ext cx="885714" cy="409524"/>
        </a:xfrm>
        <a:prstGeom prst="rect">
          <a:avLst/>
        </a:prstGeom>
        <a:ln>
          <a:solidFill>
            <a:srgbClr val="7030A0"/>
          </a:solidFill>
        </a:ln>
      </xdr:spPr>
    </xdr:pic>
    <xdr:clientData/>
  </xdr:twoCellAnchor>
  <xdr:twoCellAnchor editAs="oneCell">
    <xdr:from>
      <xdr:col>0</xdr:col>
      <xdr:colOff>277111</xdr:colOff>
      <xdr:row>46</xdr:row>
      <xdr:rowOff>57109</xdr:rowOff>
    </xdr:from>
    <xdr:to>
      <xdr:col>6</xdr:col>
      <xdr:colOff>84340</xdr:colOff>
      <xdr:row>60</xdr:row>
      <xdr:rowOff>94842</xdr:rowOff>
    </xdr:to>
    <xdr:pic>
      <xdr:nvPicPr>
        <xdr:cNvPr id="8" name="7 Imagen"/>
        <xdr:cNvPicPr>
          <a:picLocks noChangeAspect="1"/>
        </xdr:cNvPicPr>
      </xdr:nvPicPr>
      <xdr:blipFill>
        <a:blip xmlns:r="http://schemas.openxmlformats.org/officeDocument/2006/relationships" r:embed="rId7"/>
        <a:stretch>
          <a:fillRect/>
        </a:stretch>
      </xdr:blipFill>
      <xdr:spPr>
        <a:xfrm>
          <a:off x="277111" y="8896309"/>
          <a:ext cx="2998104" cy="2704733"/>
        </a:xfrm>
        <a:prstGeom prst="rect">
          <a:avLst/>
        </a:prstGeom>
        <a:ln>
          <a:solidFill>
            <a:srgbClr val="7030A0"/>
          </a:solidFill>
        </a:ln>
      </xdr:spPr>
    </xdr:pic>
    <xdr:clientData/>
  </xdr:twoCellAnchor>
  <xdr:twoCellAnchor editAs="oneCell">
    <xdr:from>
      <xdr:col>6</xdr:col>
      <xdr:colOff>535378</xdr:colOff>
      <xdr:row>46</xdr:row>
      <xdr:rowOff>90516</xdr:rowOff>
    </xdr:from>
    <xdr:to>
      <xdr:col>8</xdr:col>
      <xdr:colOff>464414</xdr:colOff>
      <xdr:row>50</xdr:row>
      <xdr:rowOff>99866</xdr:rowOff>
    </xdr:to>
    <xdr:pic>
      <xdr:nvPicPr>
        <xdr:cNvPr id="9" name="8 Imagen"/>
        <xdr:cNvPicPr>
          <a:picLocks noChangeAspect="1"/>
        </xdr:cNvPicPr>
      </xdr:nvPicPr>
      <xdr:blipFill>
        <a:blip xmlns:r="http://schemas.openxmlformats.org/officeDocument/2006/relationships" r:embed="rId8"/>
        <a:stretch>
          <a:fillRect/>
        </a:stretch>
      </xdr:blipFill>
      <xdr:spPr>
        <a:xfrm>
          <a:off x="3726253" y="8929716"/>
          <a:ext cx="2195986" cy="771350"/>
        </a:xfrm>
        <a:prstGeom prst="rect">
          <a:avLst/>
        </a:prstGeom>
        <a:ln>
          <a:solidFill>
            <a:srgbClr val="7030A0"/>
          </a:solidFill>
        </a:ln>
      </xdr:spPr>
    </xdr:pic>
    <xdr:clientData/>
  </xdr:twoCellAnchor>
  <xdr:twoCellAnchor editAs="oneCell">
    <xdr:from>
      <xdr:col>6</xdr:col>
      <xdr:colOff>510519</xdr:colOff>
      <xdr:row>50</xdr:row>
      <xdr:rowOff>189506</xdr:rowOff>
    </xdr:from>
    <xdr:to>
      <xdr:col>9</xdr:col>
      <xdr:colOff>1203370</xdr:colOff>
      <xdr:row>54</xdr:row>
      <xdr:rowOff>143760</xdr:rowOff>
    </xdr:to>
    <xdr:pic>
      <xdr:nvPicPr>
        <xdr:cNvPr id="10" name="9 Imagen"/>
        <xdr:cNvPicPr>
          <a:picLocks noChangeAspect="1"/>
        </xdr:cNvPicPr>
      </xdr:nvPicPr>
      <xdr:blipFill>
        <a:blip xmlns:r="http://schemas.openxmlformats.org/officeDocument/2006/relationships" r:embed="rId9"/>
        <a:stretch>
          <a:fillRect/>
        </a:stretch>
      </xdr:blipFill>
      <xdr:spPr>
        <a:xfrm>
          <a:off x="3701394" y="9790706"/>
          <a:ext cx="4045651" cy="716254"/>
        </a:xfrm>
        <a:prstGeom prst="rect">
          <a:avLst/>
        </a:prstGeom>
        <a:ln>
          <a:solidFill>
            <a:srgbClr val="7030A0"/>
          </a:solidFill>
        </a:ln>
      </xdr:spPr>
    </xdr:pic>
    <xdr:clientData/>
  </xdr:twoCellAnchor>
  <xdr:twoCellAnchor editAs="oneCell">
    <xdr:from>
      <xdr:col>6</xdr:col>
      <xdr:colOff>499424</xdr:colOff>
      <xdr:row>55</xdr:row>
      <xdr:rowOff>44110</xdr:rowOff>
    </xdr:from>
    <xdr:to>
      <xdr:col>9</xdr:col>
      <xdr:colOff>814472</xdr:colOff>
      <xdr:row>59</xdr:row>
      <xdr:rowOff>155782</xdr:rowOff>
    </xdr:to>
    <xdr:pic>
      <xdr:nvPicPr>
        <xdr:cNvPr id="11" name="10 Imagen"/>
        <xdr:cNvPicPr>
          <a:picLocks noChangeAspect="1"/>
        </xdr:cNvPicPr>
      </xdr:nvPicPr>
      <xdr:blipFill>
        <a:blip xmlns:r="http://schemas.openxmlformats.org/officeDocument/2006/relationships" r:embed="rId10"/>
        <a:stretch>
          <a:fillRect/>
        </a:stretch>
      </xdr:blipFill>
      <xdr:spPr>
        <a:xfrm>
          <a:off x="3690299" y="10597810"/>
          <a:ext cx="3667848" cy="873672"/>
        </a:xfrm>
        <a:prstGeom prst="rect">
          <a:avLst/>
        </a:prstGeom>
        <a:ln>
          <a:solidFill>
            <a:srgbClr val="7030A0"/>
          </a:solidFill>
        </a:ln>
      </xdr:spPr>
    </xdr:pic>
    <xdr:clientData/>
  </xdr:twoCellAnchor>
  <xdr:twoCellAnchor editAs="oneCell">
    <xdr:from>
      <xdr:col>6</xdr:col>
      <xdr:colOff>476788</xdr:colOff>
      <xdr:row>63</xdr:row>
      <xdr:rowOff>134847</xdr:rowOff>
    </xdr:from>
    <xdr:to>
      <xdr:col>12</xdr:col>
      <xdr:colOff>141333</xdr:colOff>
      <xdr:row>68</xdr:row>
      <xdr:rowOff>169790</xdr:rowOff>
    </xdr:to>
    <xdr:pic>
      <xdr:nvPicPr>
        <xdr:cNvPr id="12" name="11 Imagen"/>
        <xdr:cNvPicPr>
          <a:picLocks noChangeAspect="1"/>
        </xdr:cNvPicPr>
      </xdr:nvPicPr>
      <xdr:blipFill>
        <a:blip xmlns:r="http://schemas.openxmlformats.org/officeDocument/2006/relationships" r:embed="rId11"/>
        <a:stretch>
          <a:fillRect/>
        </a:stretch>
      </xdr:blipFill>
      <xdr:spPr>
        <a:xfrm>
          <a:off x="3667663" y="12212547"/>
          <a:ext cx="6046295" cy="987443"/>
        </a:xfrm>
        <a:prstGeom prst="rect">
          <a:avLst/>
        </a:prstGeom>
        <a:ln>
          <a:solidFill>
            <a:srgbClr val="7030A0"/>
          </a:solidFill>
        </a:ln>
      </xdr:spPr>
    </xdr:pic>
    <xdr:clientData/>
  </xdr:twoCellAnchor>
  <xdr:twoCellAnchor editAs="oneCell">
    <xdr:from>
      <xdr:col>6</xdr:col>
      <xdr:colOff>481671</xdr:colOff>
      <xdr:row>60</xdr:row>
      <xdr:rowOff>75919</xdr:rowOff>
    </xdr:from>
    <xdr:to>
      <xdr:col>11</xdr:col>
      <xdr:colOff>623433</xdr:colOff>
      <xdr:row>63</xdr:row>
      <xdr:rowOff>31770</xdr:rowOff>
    </xdr:to>
    <xdr:pic>
      <xdr:nvPicPr>
        <xdr:cNvPr id="13" name="12 Imagen"/>
        <xdr:cNvPicPr>
          <a:picLocks noChangeAspect="1"/>
        </xdr:cNvPicPr>
      </xdr:nvPicPr>
      <xdr:blipFill>
        <a:blip xmlns:r="http://schemas.openxmlformats.org/officeDocument/2006/relationships" r:embed="rId12"/>
        <a:stretch>
          <a:fillRect/>
        </a:stretch>
      </xdr:blipFill>
      <xdr:spPr>
        <a:xfrm>
          <a:off x="3672546" y="11582119"/>
          <a:ext cx="5761512" cy="527351"/>
        </a:xfrm>
        <a:prstGeom prst="rect">
          <a:avLst/>
        </a:prstGeom>
        <a:ln>
          <a:solidFill>
            <a:srgbClr val="7030A0"/>
          </a:solid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88981</xdr:colOff>
      <xdr:row>8</xdr:row>
      <xdr:rowOff>148101</xdr:rowOff>
    </xdr:from>
    <xdr:to>
      <xdr:col>8</xdr:col>
      <xdr:colOff>81888</xdr:colOff>
      <xdr:row>12</xdr:row>
      <xdr:rowOff>70870</xdr:rowOff>
    </xdr:to>
    <xdr:pic>
      <xdr:nvPicPr>
        <xdr:cNvPr id="2" name="1 Imagen"/>
        <xdr:cNvPicPr>
          <a:picLocks noChangeAspect="1"/>
        </xdr:cNvPicPr>
      </xdr:nvPicPr>
      <xdr:blipFill>
        <a:blip xmlns:r="http://schemas.openxmlformats.org/officeDocument/2006/relationships" r:embed="rId1"/>
        <a:stretch>
          <a:fillRect/>
        </a:stretch>
      </xdr:blipFill>
      <xdr:spPr>
        <a:xfrm>
          <a:off x="2775031" y="1672101"/>
          <a:ext cx="3841007" cy="684769"/>
        </a:xfrm>
        <a:prstGeom prst="rect">
          <a:avLst/>
        </a:prstGeom>
        <a:ln>
          <a:solidFill>
            <a:srgbClr val="7030A0"/>
          </a:solidFill>
        </a:ln>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ivang/Desktop/Datahack_%20Estad&#237;stica/LIBRO4.XLS"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PL" refreshedDate="37104.121734143519" createdVersion="1" refreshedVersion="4" recordCount="33">
  <cacheSource type="worksheet">
    <worksheetSource ref="A1:B34" sheet="Hoja3" r:id="rId2"/>
  </cacheSource>
  <cacheFields count="2">
    <cacheField name="P" numFmtId="0">
      <sharedItems containsSemiMixedTypes="0" containsString="0" containsNumber="1" containsInteger="1" minValue="66" maxValue="74" count="5">
        <n v="66"/>
        <n v="68"/>
        <n v="72"/>
        <n v="74"/>
        <n v="70"/>
      </sharedItems>
    </cacheField>
    <cacheField name="T" numFmtId="0">
      <sharedItems containsSemiMixedTypes="0" containsString="0" containsNumber="1" containsInteger="1" minValue="0" maxValue="20" count="5">
        <n v="0"/>
        <n v="5"/>
        <n v="10"/>
        <n v="15"/>
        <n v="2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
  <r>
    <x v="0"/>
    <x v="0"/>
  </r>
  <r>
    <x v="1"/>
    <x v="0"/>
  </r>
  <r>
    <x v="1"/>
    <x v="0"/>
  </r>
  <r>
    <x v="1"/>
    <x v="0"/>
  </r>
  <r>
    <x v="2"/>
    <x v="0"/>
  </r>
  <r>
    <x v="3"/>
    <x v="0"/>
  </r>
  <r>
    <x v="3"/>
    <x v="0"/>
  </r>
  <r>
    <x v="3"/>
    <x v="0"/>
  </r>
  <r>
    <x v="0"/>
    <x v="1"/>
  </r>
  <r>
    <x v="0"/>
    <x v="1"/>
  </r>
  <r>
    <x v="1"/>
    <x v="1"/>
  </r>
  <r>
    <x v="1"/>
    <x v="1"/>
  </r>
  <r>
    <x v="4"/>
    <x v="1"/>
  </r>
  <r>
    <x v="2"/>
    <x v="1"/>
  </r>
  <r>
    <x v="2"/>
    <x v="1"/>
  </r>
  <r>
    <x v="3"/>
    <x v="1"/>
  </r>
  <r>
    <x v="1"/>
    <x v="2"/>
  </r>
  <r>
    <x v="2"/>
    <x v="2"/>
  </r>
  <r>
    <x v="3"/>
    <x v="2"/>
  </r>
  <r>
    <x v="3"/>
    <x v="2"/>
  </r>
  <r>
    <x v="0"/>
    <x v="3"/>
  </r>
  <r>
    <x v="4"/>
    <x v="3"/>
  </r>
  <r>
    <x v="2"/>
    <x v="3"/>
  </r>
  <r>
    <x v="2"/>
    <x v="3"/>
  </r>
  <r>
    <x v="3"/>
    <x v="3"/>
  </r>
  <r>
    <x v="0"/>
    <x v="4"/>
  </r>
  <r>
    <x v="0"/>
    <x v="4"/>
  </r>
  <r>
    <x v="1"/>
    <x v="4"/>
  </r>
  <r>
    <x v="4"/>
    <x v="4"/>
  </r>
  <r>
    <x v="4"/>
    <x v="4"/>
  </r>
  <r>
    <x v="2"/>
    <x v="4"/>
  </r>
  <r>
    <x v="3"/>
    <x v="4"/>
  </r>
  <r>
    <x v="3"/>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0" dataOnRows="1" applyNumberFormats="0" applyBorderFormats="0" applyFontFormats="0" applyPatternFormats="0" applyAlignmentFormats="0" applyWidthHeightFormats="1" dataCaption="Datos" updatedVersion="1" showMemberPropertyTips="0" useAutoFormatting="1" itemPrintTitles="1" createdVersion="1" indent="0" compact="0" compactData="0" gridDropZones="1">
  <location ref="S24:Y31" firstHeaderRow="1" firstDataRow="2" firstDataCol="1"/>
  <pivotFields count="2">
    <pivotField axis="axisRow" compact="0" outline="0" subtotalTop="0" showAll="0" includeNewItemsInFilter="1">
      <items count="6">
        <item x="0"/>
        <item x="1"/>
        <item x="4"/>
        <item x="2"/>
        <item x="3"/>
        <item t="default"/>
      </items>
    </pivotField>
    <pivotField axis="axisCol" dataField="1" compact="0" outline="0" subtotalTop="0" showAll="0" includeNewItemsInFilter="1">
      <items count="6">
        <item x="0"/>
        <item x="1"/>
        <item x="2"/>
        <item x="3"/>
        <item x="4"/>
        <item t="default"/>
      </items>
    </pivotField>
  </pivotFields>
  <rowFields count="1">
    <field x="0"/>
  </rowFields>
  <rowItems count="6">
    <i>
      <x/>
    </i>
    <i>
      <x v="1"/>
    </i>
    <i>
      <x v="2"/>
    </i>
    <i>
      <x v="3"/>
    </i>
    <i>
      <x v="4"/>
    </i>
    <i t="grand">
      <x/>
    </i>
  </rowItems>
  <colFields count="1">
    <field x="1"/>
  </colFields>
  <colItems count="6">
    <i>
      <x/>
    </i>
    <i>
      <x v="1"/>
    </i>
    <i>
      <x v="2"/>
    </i>
    <i>
      <x v="3"/>
    </i>
    <i>
      <x v="4"/>
    </i>
    <i t="grand">
      <x/>
    </i>
  </colItems>
  <dataFields count="1">
    <dataField name="Cuenta de T" fld="1" subtotal="count" baseField="0" baseItem="0"/>
  </dataFields>
  <formats count="5">
    <format dxfId="4">
      <pivotArea outline="0" fieldPosition="0">
        <references count="1">
          <reference field="1" count="1" selected="0">
            <x v="2"/>
          </reference>
        </references>
      </pivotArea>
    </format>
    <format dxfId="3">
      <pivotArea dataOnly="0" labelOnly="1" outline="0" fieldPosition="0">
        <references count="1">
          <reference field="1" count="1">
            <x v="2"/>
          </reference>
        </references>
      </pivotArea>
    </format>
    <format dxfId="2">
      <pivotArea outline="0" fieldPosition="0">
        <references count="1">
          <reference field="1" count="1" selected="0">
            <x v="2"/>
          </reference>
        </references>
      </pivotArea>
    </format>
    <format dxfId="1">
      <pivotArea dataOnly="0" labelOnly="1" outline="0" fieldPosition="0">
        <references count="1">
          <reference field="1" count="1">
            <x v="2"/>
          </reference>
        </references>
      </pivotArea>
    </format>
    <format dxfId="0">
      <pivotArea type="all" dataOnly="0" outline="0" fieldPosition="0"/>
    </format>
  </formats>
  <pivotTableStyleInfo showRowHeaders="1" showColHeaders="1" showRowStripes="0" showColStripes="0" showLastColumn="1"/>
</pivotTableDefinition>
</file>

<file path=xl/pivotTables/pivotTable2.xml><?xml version="1.0" encoding="utf-8"?>
<pivotTableDefinition xmlns="http://schemas.openxmlformats.org/spreadsheetml/2006/main" name="Tabla dinámica2" cacheId="0" dataOnRows="1" applyNumberFormats="0" applyBorderFormats="0" applyFontFormats="0" applyPatternFormats="0" applyAlignmentFormats="0" applyWidthHeightFormats="1" dataCaption="Datos" updatedVersion="1" showMemberPropertyTips="0" useAutoFormatting="1" itemPrintTitles="1" createdVersion="1" indent="0" compact="0" compactData="0" gridDropZones="1">
  <location ref="S33:Y40" firstHeaderRow="1" firstDataRow="2" firstDataCol="1"/>
  <pivotFields count="2">
    <pivotField axis="axisCol" dataField="1" compact="0" outline="0" subtotalTop="0" showAll="0" includeNewItemsInFilter="1">
      <items count="6">
        <item x="0"/>
        <item x="1"/>
        <item x="4"/>
        <item x="2"/>
        <item x="3"/>
        <item t="default"/>
      </items>
    </pivotField>
    <pivotField axis="axisRow" compact="0" outline="0" subtotalTop="0" showAll="0" includeNewItemsInFilter="1">
      <items count="6">
        <item x="0"/>
        <item x="1"/>
        <item x="2"/>
        <item x="3"/>
        <item x="4"/>
        <item t="default"/>
      </items>
    </pivotField>
  </pivotFields>
  <rowFields count="1">
    <field x="1"/>
  </rowFields>
  <rowItems count="6">
    <i>
      <x/>
    </i>
    <i>
      <x v="1"/>
    </i>
    <i>
      <x v="2"/>
    </i>
    <i>
      <x v="3"/>
    </i>
    <i>
      <x v="4"/>
    </i>
    <i t="grand">
      <x/>
    </i>
  </rowItems>
  <colFields count="1">
    <field x="0"/>
  </colFields>
  <colItems count="6">
    <i>
      <x/>
    </i>
    <i>
      <x v="1"/>
    </i>
    <i>
      <x v="2"/>
    </i>
    <i>
      <x v="3"/>
    </i>
    <i>
      <x v="4"/>
    </i>
    <i t="grand">
      <x/>
    </i>
  </colItems>
  <dataFields count="1">
    <dataField name="Cuenta de P" fld="0" subtotal="count" baseField="0" baseItem="0"/>
  </dataFields>
  <formats count="5">
    <format dxfId="9">
      <pivotArea outline="0" fieldPosition="0">
        <references count="1">
          <reference field="0" count="1" selected="0">
            <x v="3"/>
          </reference>
        </references>
      </pivotArea>
    </format>
    <format dxfId="8">
      <pivotArea dataOnly="0" labelOnly="1" outline="0" fieldPosition="0">
        <references count="1">
          <reference field="0" count="1">
            <x v="3"/>
          </reference>
        </references>
      </pivotArea>
    </format>
    <format dxfId="7">
      <pivotArea outline="0" fieldPosition="0">
        <references count="1">
          <reference field="0" count="1" selected="0">
            <x v="3"/>
          </reference>
        </references>
      </pivotArea>
    </format>
    <format dxfId="6">
      <pivotArea dataOnly="0" labelOnly="1" outline="0" fieldPosition="0">
        <references count="1">
          <reference field="0" count="1">
            <x v="3"/>
          </reference>
        </references>
      </pivotArea>
    </format>
    <format dxfId="5">
      <pivotArea type="all" dataOnly="0" outline="0" fieldPosition="0"/>
    </format>
  </formats>
  <pivotTableStyleInfo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oleObject" Target="../embeddings/oleObject6.bin"/><Relationship Id="rId18" Type="http://schemas.openxmlformats.org/officeDocument/2006/relationships/image" Target="../media/image7.wmf"/><Relationship Id="rId26" Type="http://schemas.openxmlformats.org/officeDocument/2006/relationships/image" Target="../media/image11.wmf"/><Relationship Id="rId21" Type="http://schemas.openxmlformats.org/officeDocument/2006/relationships/oleObject" Target="../embeddings/oleObject10.bin"/><Relationship Id="rId34" Type="http://schemas.openxmlformats.org/officeDocument/2006/relationships/image" Target="../media/image15.wmf"/><Relationship Id="rId7" Type="http://schemas.openxmlformats.org/officeDocument/2006/relationships/image" Target="../media/image2.wmf"/><Relationship Id="rId12" Type="http://schemas.openxmlformats.org/officeDocument/2006/relationships/image" Target="../media/image4.wmf"/><Relationship Id="rId17" Type="http://schemas.openxmlformats.org/officeDocument/2006/relationships/oleObject" Target="../embeddings/oleObject8.bin"/><Relationship Id="rId25" Type="http://schemas.openxmlformats.org/officeDocument/2006/relationships/oleObject" Target="../embeddings/oleObject12.bin"/><Relationship Id="rId33" Type="http://schemas.openxmlformats.org/officeDocument/2006/relationships/oleObject" Target="../embeddings/oleObject16.bin"/><Relationship Id="rId38" Type="http://schemas.openxmlformats.org/officeDocument/2006/relationships/image" Target="../media/image17.wmf"/><Relationship Id="rId2" Type="http://schemas.openxmlformats.org/officeDocument/2006/relationships/drawing" Target="../drawings/drawing1.xml"/><Relationship Id="rId16" Type="http://schemas.openxmlformats.org/officeDocument/2006/relationships/image" Target="../media/image6.wmf"/><Relationship Id="rId20" Type="http://schemas.openxmlformats.org/officeDocument/2006/relationships/image" Target="../media/image8.wmf"/><Relationship Id="rId29" Type="http://schemas.openxmlformats.org/officeDocument/2006/relationships/oleObject" Target="../embeddings/oleObject14.bin"/><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oleObject" Target="../embeddings/oleObject5.bin"/><Relationship Id="rId24" Type="http://schemas.openxmlformats.org/officeDocument/2006/relationships/image" Target="../media/image10.wmf"/><Relationship Id="rId32" Type="http://schemas.openxmlformats.org/officeDocument/2006/relationships/image" Target="../media/image14.wmf"/><Relationship Id="rId37" Type="http://schemas.openxmlformats.org/officeDocument/2006/relationships/oleObject" Target="../embeddings/oleObject18.bin"/><Relationship Id="rId5" Type="http://schemas.openxmlformats.org/officeDocument/2006/relationships/image" Target="../media/image1.wmf"/><Relationship Id="rId15" Type="http://schemas.openxmlformats.org/officeDocument/2006/relationships/oleObject" Target="../embeddings/oleObject7.bin"/><Relationship Id="rId23" Type="http://schemas.openxmlformats.org/officeDocument/2006/relationships/oleObject" Target="../embeddings/oleObject11.bin"/><Relationship Id="rId28" Type="http://schemas.openxmlformats.org/officeDocument/2006/relationships/image" Target="../media/image12.wmf"/><Relationship Id="rId36" Type="http://schemas.openxmlformats.org/officeDocument/2006/relationships/image" Target="../media/image16.wmf"/><Relationship Id="rId10" Type="http://schemas.openxmlformats.org/officeDocument/2006/relationships/oleObject" Target="../embeddings/oleObject4.bin"/><Relationship Id="rId19" Type="http://schemas.openxmlformats.org/officeDocument/2006/relationships/oleObject" Target="../embeddings/oleObject9.bin"/><Relationship Id="rId31" Type="http://schemas.openxmlformats.org/officeDocument/2006/relationships/oleObject" Target="../embeddings/oleObject15.bin"/><Relationship Id="rId4" Type="http://schemas.openxmlformats.org/officeDocument/2006/relationships/oleObject" Target="../embeddings/oleObject1.bin"/><Relationship Id="rId9" Type="http://schemas.openxmlformats.org/officeDocument/2006/relationships/image" Target="../media/image3.wmf"/><Relationship Id="rId14" Type="http://schemas.openxmlformats.org/officeDocument/2006/relationships/image" Target="../media/image5.wmf"/><Relationship Id="rId22" Type="http://schemas.openxmlformats.org/officeDocument/2006/relationships/image" Target="../media/image9.wmf"/><Relationship Id="rId27" Type="http://schemas.openxmlformats.org/officeDocument/2006/relationships/oleObject" Target="../embeddings/oleObject13.bin"/><Relationship Id="rId30" Type="http://schemas.openxmlformats.org/officeDocument/2006/relationships/image" Target="../media/image13.wmf"/><Relationship Id="rId35" Type="http://schemas.openxmlformats.org/officeDocument/2006/relationships/oleObject" Target="../embeddings/oleObject17.bin"/><Relationship Id="rId8" Type="http://schemas.openxmlformats.org/officeDocument/2006/relationships/oleObject" Target="../embeddings/oleObject3.bin"/><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H117"/>
  <sheetViews>
    <sheetView topLeftCell="A12" workbookViewId="0">
      <selection activeCell="D36" sqref="D36"/>
    </sheetView>
  </sheetViews>
  <sheetFormatPr baseColWidth="10" defaultColWidth="11.42578125" defaultRowHeight="12.75" x14ac:dyDescent="0.2"/>
  <cols>
    <col min="1" max="16384" width="11.42578125" style="155"/>
  </cols>
  <sheetData>
    <row r="1" spans="1:8" ht="18" x14ac:dyDescent="0.25">
      <c r="D1" s="189"/>
    </row>
    <row r="2" spans="1:8" x14ac:dyDescent="0.2">
      <c r="D2" s="190"/>
    </row>
    <row r="3" spans="1:8" ht="15" x14ac:dyDescent="0.2">
      <c r="A3" s="191" t="s">
        <v>154</v>
      </c>
      <c r="D3" s="192" t="s">
        <v>155</v>
      </c>
    </row>
    <row r="4" spans="1:8" ht="15" x14ac:dyDescent="0.2">
      <c r="A4" s="192" t="s">
        <v>156</v>
      </c>
      <c r="B4" s="192" t="s">
        <v>157</v>
      </c>
      <c r="C4" s="192"/>
    </row>
    <row r="5" spans="1:8" ht="15" x14ac:dyDescent="0.2">
      <c r="B5" s="192"/>
      <c r="C5" s="192"/>
    </row>
    <row r="6" spans="1:8" ht="15" x14ac:dyDescent="0.2">
      <c r="A6" s="192" t="s">
        <v>158</v>
      </c>
      <c r="C6" s="192" t="s">
        <v>159</v>
      </c>
    </row>
    <row r="7" spans="1:8" ht="15" x14ac:dyDescent="0.2">
      <c r="C7" s="192" t="s">
        <v>160</v>
      </c>
    </row>
    <row r="9" spans="1:8" ht="15.75" x14ac:dyDescent="0.25">
      <c r="A9" s="193" t="s">
        <v>161</v>
      </c>
    </row>
    <row r="11" spans="1:8" ht="30" x14ac:dyDescent="0.2">
      <c r="A11" s="194" t="s">
        <v>162</v>
      </c>
      <c r="B11" s="195" t="s">
        <v>163</v>
      </c>
      <c r="C11" s="196" t="s">
        <v>164</v>
      </c>
      <c r="D11" s="196" t="s">
        <v>165</v>
      </c>
      <c r="E11" s="197"/>
      <c r="F11" s="177" t="s">
        <v>166</v>
      </c>
      <c r="G11" s="171" t="s">
        <v>167</v>
      </c>
      <c r="H11" s="171" t="s">
        <v>168</v>
      </c>
    </row>
    <row r="12" spans="1:8" ht="19.5" x14ac:dyDescent="0.2">
      <c r="A12" s="198" t="s">
        <v>169</v>
      </c>
      <c r="B12" s="199" t="s">
        <v>170</v>
      </c>
      <c r="C12" s="200" t="s">
        <v>141</v>
      </c>
      <c r="D12" s="201"/>
      <c r="E12" s="201"/>
      <c r="F12" s="201"/>
      <c r="G12" s="201"/>
      <c r="H12" s="201"/>
    </row>
    <row r="13" spans="1:8" ht="15" x14ac:dyDescent="0.2">
      <c r="A13" s="202">
        <v>18</v>
      </c>
      <c r="B13" s="195">
        <v>5</v>
      </c>
      <c r="C13" s="196">
        <v>5</v>
      </c>
      <c r="D13" s="196">
        <f>A13*B13</f>
        <v>90</v>
      </c>
      <c r="E13" s="171">
        <f>(A13^2)*B13</f>
        <v>1620</v>
      </c>
      <c r="F13" s="203">
        <f>((A13-D19)^2)*B13</f>
        <v>13.612499999999976</v>
      </c>
      <c r="G13" s="204">
        <f>((A13-D19)^3*B13)</f>
        <v>-22.46062499999994</v>
      </c>
      <c r="H13" s="204">
        <f>((A13-D19)^4*B13)</f>
        <v>37.060031249999874</v>
      </c>
    </row>
    <row r="14" spans="1:8" ht="15" x14ac:dyDescent="0.2">
      <c r="A14" s="194">
        <v>19</v>
      </c>
      <c r="B14" s="195">
        <v>3</v>
      </c>
      <c r="C14" s="196">
        <v>8</v>
      </c>
      <c r="D14" s="196">
        <f>A14*B14</f>
        <v>57</v>
      </c>
      <c r="E14" s="171">
        <f>(A14^2)*B14</f>
        <v>1083</v>
      </c>
      <c r="F14" s="171">
        <f>((A14-D19)^2)*B14</f>
        <v>1.2674999999999945</v>
      </c>
      <c r="G14" s="203">
        <f>((A14-D19)^3*B14)</f>
        <v>-0.82387499999999458</v>
      </c>
      <c r="H14" s="204">
        <f>((A14-D19)^4*B14)</f>
        <v>0.53551874999999538</v>
      </c>
    </row>
    <row r="15" spans="1:8" ht="15" x14ac:dyDescent="0.2">
      <c r="A15" s="194">
        <v>20</v>
      </c>
      <c r="B15" s="195">
        <v>7</v>
      </c>
      <c r="C15" s="196">
        <v>15</v>
      </c>
      <c r="D15" s="196">
        <f>A15*B15</f>
        <v>140</v>
      </c>
      <c r="E15" s="171">
        <f>(A15^2)*B15</f>
        <v>2800</v>
      </c>
      <c r="F15" s="171">
        <f>((A15-D19)^2)*B15</f>
        <v>0.85750000000000703</v>
      </c>
      <c r="G15" s="171">
        <f>((A15-D19)^3)*B15</f>
        <v>0.30012500000000364</v>
      </c>
      <c r="H15" s="204">
        <f>((A15-D19)^4*B15)</f>
        <v>0.10504375000000171</v>
      </c>
    </row>
    <row r="16" spans="1:8" ht="15" x14ac:dyDescent="0.2">
      <c r="A16" s="194">
        <v>21</v>
      </c>
      <c r="B16" s="195">
        <v>4</v>
      </c>
      <c r="C16" s="196">
        <v>19</v>
      </c>
      <c r="D16" s="196">
        <f>A16*B16</f>
        <v>84</v>
      </c>
      <c r="E16" s="171">
        <f>(A16^2)*B16</f>
        <v>1764</v>
      </c>
      <c r="F16" s="171">
        <f>((A16-D19)^2)*B16</f>
        <v>7.2900000000000151</v>
      </c>
      <c r="G16" s="171">
        <f>((A16-D19)^3)*B16</f>
        <v>9.8415000000000301</v>
      </c>
      <c r="H16" s="204">
        <f>((A16-D19)^4*B16)</f>
        <v>13.286025000000055</v>
      </c>
    </row>
    <row r="17" spans="1:8" ht="15" x14ac:dyDescent="0.2">
      <c r="A17" s="198">
        <v>22</v>
      </c>
      <c r="B17" s="198">
        <v>1</v>
      </c>
      <c r="C17" s="200">
        <v>20</v>
      </c>
      <c r="D17" s="200">
        <f>A17*B17</f>
        <v>22</v>
      </c>
      <c r="E17" s="205">
        <f>(A17^2)*B17</f>
        <v>484</v>
      </c>
      <c r="F17" s="171">
        <f>((A17-D19)^2)*B17</f>
        <v>5.5225000000000071</v>
      </c>
      <c r="G17" s="171">
        <f>((A17-D19)^3)*B17</f>
        <v>12.977875000000024</v>
      </c>
      <c r="H17" s="204">
        <f>((A17-D19)^4*B17)</f>
        <v>30.498006250000078</v>
      </c>
    </row>
    <row r="18" spans="1:8" ht="14.25" x14ac:dyDescent="0.2">
      <c r="A18" s="206"/>
      <c r="B18" s="200">
        <f>SUM(B12:B17)</f>
        <v>20</v>
      </c>
      <c r="C18" s="207"/>
      <c r="D18" s="208">
        <f>SUM(D12:D17)</f>
        <v>393</v>
      </c>
      <c r="E18" s="208">
        <f>SUM(E12:E17)</f>
        <v>7751</v>
      </c>
      <c r="F18" s="208">
        <f>SUM(F13:F17)</f>
        <v>28.55</v>
      </c>
      <c r="G18" s="208">
        <f>SUM(G13:G17)</f>
        <v>-0.1649999999998748</v>
      </c>
      <c r="H18" s="208">
        <f>SUM(H13:H17)</f>
        <v>81.484624999999994</v>
      </c>
    </row>
    <row r="19" spans="1:8" ht="14.25" x14ac:dyDescent="0.2">
      <c r="A19" s="206"/>
      <c r="B19" s="206"/>
      <c r="C19" s="209"/>
      <c r="D19" s="210">
        <f>D18/B18</f>
        <v>19.649999999999999</v>
      </c>
      <c r="E19" s="211">
        <f>E18/B18</f>
        <v>387.55</v>
      </c>
      <c r="F19" s="211">
        <f>F18/B18</f>
        <v>1.4275</v>
      </c>
      <c r="G19" s="211">
        <f>G18/B18</f>
        <v>-8.2499999999937398E-3</v>
      </c>
      <c r="H19" s="211">
        <f>H18/B18</f>
        <v>4.0742312499999995</v>
      </c>
    </row>
    <row r="20" spans="1:8" x14ac:dyDescent="0.2">
      <c r="A20" s="212"/>
      <c r="B20" s="212"/>
      <c r="C20" s="167"/>
      <c r="D20" s="167"/>
      <c r="E20" s="213"/>
      <c r="F20" s="213"/>
      <c r="G20" s="213"/>
      <c r="H20" s="213"/>
    </row>
    <row r="21" spans="1:8" x14ac:dyDescent="0.2">
      <c r="A21" s="212" t="s">
        <v>35</v>
      </c>
      <c r="C21" s="167"/>
      <c r="D21" s="167">
        <f>D19</f>
        <v>19.649999999999999</v>
      </c>
      <c r="E21" s="213"/>
      <c r="F21" s="213"/>
      <c r="G21" s="213"/>
      <c r="H21" s="213"/>
    </row>
    <row r="22" spans="1:8" x14ac:dyDescent="0.2">
      <c r="A22" s="212"/>
      <c r="C22" s="167"/>
      <c r="D22" s="167"/>
      <c r="E22" s="213"/>
      <c r="F22" s="213"/>
      <c r="G22" s="213"/>
      <c r="H22" s="213"/>
    </row>
    <row r="24" spans="1:8" x14ac:dyDescent="0.2">
      <c r="A24" s="155" t="s">
        <v>171</v>
      </c>
      <c r="F24" s="214">
        <f>E19-(D19^2)</f>
        <v>1.4275000000000659</v>
      </c>
    </row>
    <row r="27" spans="1:8" x14ac:dyDescent="0.2">
      <c r="A27" s="155" t="s">
        <v>172</v>
      </c>
      <c r="D27" s="215">
        <f>F24^0.5</f>
        <v>1.1947803145348797</v>
      </c>
    </row>
    <row r="28" spans="1:8" x14ac:dyDescent="0.2">
      <c r="D28" s="215"/>
    </row>
    <row r="30" spans="1:8" x14ac:dyDescent="0.2">
      <c r="A30" s="155" t="s">
        <v>173</v>
      </c>
      <c r="D30" s="215">
        <f>D27/D19</f>
        <v>6.0803069441978615E-2</v>
      </c>
    </row>
    <row r="31" spans="1:8" x14ac:dyDescent="0.2">
      <c r="D31" s="215"/>
    </row>
    <row r="33" spans="1:7" x14ac:dyDescent="0.2">
      <c r="A33" s="155" t="s">
        <v>174</v>
      </c>
      <c r="D33" s="215">
        <f>G19/(D27)^3</f>
        <v>-4.8371524292487719E-3</v>
      </c>
    </row>
    <row r="34" spans="1:7" x14ac:dyDescent="0.2">
      <c r="D34" s="215"/>
    </row>
    <row r="36" spans="1:7" x14ac:dyDescent="0.2">
      <c r="A36" s="155" t="s">
        <v>175</v>
      </c>
      <c r="E36" s="214">
        <f>(H19/(D27)^4)-3</f>
        <v>-1.0006287552794291</v>
      </c>
    </row>
    <row r="39" spans="1:7" ht="15.75" x14ac:dyDescent="0.25">
      <c r="A39" s="193" t="s">
        <v>176</v>
      </c>
      <c r="B39" s="192"/>
      <c r="C39" s="192"/>
      <c r="D39" s="192"/>
    </row>
    <row r="40" spans="1:7" ht="15.75" x14ac:dyDescent="0.25">
      <c r="A40" s="193" t="s">
        <v>177</v>
      </c>
    </row>
    <row r="41" spans="1:7" x14ac:dyDescent="0.2">
      <c r="A41" s="216" t="s">
        <v>72</v>
      </c>
      <c r="B41" s="212"/>
      <c r="C41" s="212"/>
    </row>
    <row r="42" spans="1:7" x14ac:dyDescent="0.2">
      <c r="A42" s="206">
        <v>18</v>
      </c>
      <c r="C42" s="155" t="s">
        <v>178</v>
      </c>
    </row>
    <row r="43" spans="1:7" x14ac:dyDescent="0.2">
      <c r="A43" s="206">
        <v>20</v>
      </c>
      <c r="C43" s="217" t="s">
        <v>179</v>
      </c>
      <c r="D43" s="217"/>
      <c r="E43" s="205" t="s">
        <v>180</v>
      </c>
      <c r="F43" s="205" t="s">
        <v>181</v>
      </c>
      <c r="G43" s="217" t="s">
        <v>182</v>
      </c>
    </row>
    <row r="44" spans="1:7" x14ac:dyDescent="0.2">
      <c r="A44" s="206">
        <v>22</v>
      </c>
      <c r="C44" s="155" t="s">
        <v>165</v>
      </c>
      <c r="E44" s="218"/>
      <c r="F44" s="171">
        <f>AVERAGE(A42:A61)</f>
        <v>19.649999999999999</v>
      </c>
      <c r="G44" s="177" t="s">
        <v>183</v>
      </c>
    </row>
    <row r="45" spans="1:7" x14ac:dyDescent="0.2">
      <c r="A45" s="206">
        <v>19</v>
      </c>
      <c r="C45" s="155" t="s">
        <v>184</v>
      </c>
      <c r="E45" s="171" t="s">
        <v>185</v>
      </c>
      <c r="F45" s="171">
        <f>MODE(A42:A61)</f>
        <v>20</v>
      </c>
      <c r="G45" s="177" t="s">
        <v>186</v>
      </c>
    </row>
    <row r="46" spans="1:7" x14ac:dyDescent="0.2">
      <c r="A46" s="206">
        <v>18</v>
      </c>
      <c r="C46" s="155" t="s">
        <v>187</v>
      </c>
      <c r="E46" s="171" t="s">
        <v>188</v>
      </c>
      <c r="F46" s="171">
        <f>MEDIAN(A42:A61)</f>
        <v>20</v>
      </c>
      <c r="G46" s="177" t="s">
        <v>187</v>
      </c>
    </row>
    <row r="47" spans="1:7" x14ac:dyDescent="0.2">
      <c r="A47" s="206">
        <v>20</v>
      </c>
      <c r="C47" s="155" t="s">
        <v>189</v>
      </c>
      <c r="E47" s="171" t="s">
        <v>190</v>
      </c>
      <c r="F47" s="171">
        <f>QUARTILE(A42:A61,1)</f>
        <v>18.75</v>
      </c>
      <c r="G47" s="177" t="s">
        <v>191</v>
      </c>
    </row>
    <row r="48" spans="1:7" x14ac:dyDescent="0.2">
      <c r="A48" s="206">
        <v>18</v>
      </c>
      <c r="C48" s="155" t="s">
        <v>192</v>
      </c>
      <c r="E48" s="171" t="s">
        <v>193</v>
      </c>
      <c r="F48" s="171">
        <f>QUARTILE(A42:A61,3)</f>
        <v>20.25</v>
      </c>
      <c r="G48" s="177" t="s">
        <v>191</v>
      </c>
    </row>
    <row r="49" spans="1:7" x14ac:dyDescent="0.2">
      <c r="A49" s="206">
        <v>19</v>
      </c>
      <c r="C49" s="155" t="s">
        <v>166</v>
      </c>
      <c r="E49" s="197"/>
      <c r="F49" s="219">
        <f>VARP(A42:A61)</f>
        <v>1.4275000000000007</v>
      </c>
      <c r="G49" s="177" t="s">
        <v>194</v>
      </c>
    </row>
    <row r="50" spans="1:7" x14ac:dyDescent="0.2">
      <c r="A50" s="206">
        <v>21</v>
      </c>
      <c r="C50" s="155" t="s">
        <v>195</v>
      </c>
      <c r="E50" s="197"/>
      <c r="F50" s="219">
        <f>STDEVP(A42:A61)</f>
        <v>1.1947803145348523</v>
      </c>
      <c r="G50" s="177" t="s">
        <v>196</v>
      </c>
    </row>
    <row r="51" spans="1:7" x14ac:dyDescent="0.2">
      <c r="A51" s="206">
        <v>20</v>
      </c>
      <c r="C51" s="155" t="s">
        <v>197</v>
      </c>
      <c r="E51" s="171" t="s">
        <v>198</v>
      </c>
      <c r="F51" s="219">
        <f>F50/F44</f>
        <v>6.080306944197722E-2</v>
      </c>
      <c r="G51" s="155" t="s">
        <v>199</v>
      </c>
    </row>
    <row r="52" spans="1:7" x14ac:dyDescent="0.2">
      <c r="A52" s="206">
        <v>20</v>
      </c>
      <c r="C52" s="155" t="s">
        <v>200</v>
      </c>
      <c r="E52" s="171" t="s">
        <v>201</v>
      </c>
      <c r="F52" s="219">
        <f>SKEW(A42:A61)</f>
        <v>-5.2385255491538482E-3</v>
      </c>
      <c r="G52" s="155" t="s">
        <v>202</v>
      </c>
    </row>
    <row r="53" spans="1:7" x14ac:dyDescent="0.2">
      <c r="A53" s="206">
        <v>21</v>
      </c>
      <c r="C53" s="155" t="s">
        <v>203</v>
      </c>
      <c r="E53" s="171" t="s">
        <v>204</v>
      </c>
      <c r="F53" s="219">
        <f>KURT(A42:A61)</f>
        <v>-0.9321923965896044</v>
      </c>
      <c r="G53" s="177" t="s">
        <v>205</v>
      </c>
    </row>
    <row r="54" spans="1:7" x14ac:dyDescent="0.2">
      <c r="A54" s="206">
        <v>18</v>
      </c>
    </row>
    <row r="55" spans="1:7" x14ac:dyDescent="0.2">
      <c r="A55" s="206">
        <v>20</v>
      </c>
    </row>
    <row r="56" spans="1:7" x14ac:dyDescent="0.2">
      <c r="A56" s="206">
        <v>21</v>
      </c>
    </row>
    <row r="57" spans="1:7" x14ac:dyDescent="0.2">
      <c r="A57" s="206">
        <v>19</v>
      </c>
    </row>
    <row r="58" spans="1:7" x14ac:dyDescent="0.2">
      <c r="A58" s="206">
        <v>20</v>
      </c>
    </row>
    <row r="59" spans="1:7" x14ac:dyDescent="0.2">
      <c r="A59" s="206">
        <v>21</v>
      </c>
    </row>
    <row r="60" spans="1:7" x14ac:dyDescent="0.2">
      <c r="A60" s="206">
        <v>18</v>
      </c>
    </row>
    <row r="61" spans="1:7" x14ac:dyDescent="0.2">
      <c r="A61" s="206">
        <v>20</v>
      </c>
    </row>
    <row r="63" spans="1:7" ht="15.75" x14ac:dyDescent="0.25">
      <c r="A63" s="193" t="s">
        <v>206</v>
      </c>
    </row>
    <row r="64" spans="1:7" ht="15.75" x14ac:dyDescent="0.25">
      <c r="A64" s="193" t="s">
        <v>207</v>
      </c>
    </row>
    <row r="66" spans="1:6" x14ac:dyDescent="0.2">
      <c r="A66" s="220" t="s">
        <v>208</v>
      </c>
    </row>
    <row r="67" spans="1:6" x14ac:dyDescent="0.2">
      <c r="A67" s="177">
        <v>18</v>
      </c>
      <c r="B67" s="177"/>
      <c r="D67" s="221"/>
      <c r="E67" s="222" t="s">
        <v>209</v>
      </c>
      <c r="F67" s="223"/>
    </row>
    <row r="68" spans="1:6" x14ac:dyDescent="0.2">
      <c r="A68" s="177">
        <v>20</v>
      </c>
      <c r="B68" s="177"/>
      <c r="D68" s="224"/>
      <c r="E68" s="224"/>
    </row>
    <row r="69" spans="1:6" x14ac:dyDescent="0.2">
      <c r="A69" s="177">
        <v>22</v>
      </c>
      <c r="B69" s="177"/>
      <c r="D69" s="224" t="s">
        <v>35</v>
      </c>
      <c r="F69" s="224">
        <v>19.649999999999999</v>
      </c>
    </row>
    <row r="70" spans="1:6" x14ac:dyDescent="0.2">
      <c r="A70" s="177">
        <v>19</v>
      </c>
      <c r="B70" s="177"/>
      <c r="D70" s="224" t="s">
        <v>36</v>
      </c>
      <c r="F70" s="224">
        <v>0.27410140267311456</v>
      </c>
    </row>
    <row r="71" spans="1:6" x14ac:dyDescent="0.2">
      <c r="A71" s="177">
        <v>18</v>
      </c>
      <c r="B71" s="177"/>
      <c r="D71" s="224" t="s">
        <v>37</v>
      </c>
      <c r="F71" s="224">
        <v>20</v>
      </c>
    </row>
    <row r="72" spans="1:6" x14ac:dyDescent="0.2">
      <c r="A72" s="177">
        <v>20</v>
      </c>
      <c r="D72" s="224" t="s">
        <v>38</v>
      </c>
      <c r="F72" s="224">
        <v>20</v>
      </c>
    </row>
    <row r="73" spans="1:6" x14ac:dyDescent="0.2">
      <c r="A73" s="177">
        <v>18</v>
      </c>
      <c r="D73" s="224" t="s">
        <v>39</v>
      </c>
      <c r="F73" s="224">
        <v>1.2258187382102534</v>
      </c>
    </row>
    <row r="74" spans="1:6" x14ac:dyDescent="0.2">
      <c r="A74" s="177">
        <v>19</v>
      </c>
      <c r="D74" s="224" t="s">
        <v>40</v>
      </c>
      <c r="F74" s="224">
        <v>1.5026315789473781</v>
      </c>
    </row>
    <row r="75" spans="1:6" x14ac:dyDescent="0.2">
      <c r="A75" s="177">
        <v>21</v>
      </c>
      <c r="D75" s="224" t="s">
        <v>41</v>
      </c>
      <c r="F75" s="224">
        <v>-0.9321923965896044</v>
      </c>
    </row>
    <row r="76" spans="1:6" x14ac:dyDescent="0.2">
      <c r="A76" s="177">
        <v>20</v>
      </c>
      <c r="D76" s="224" t="s">
        <v>42</v>
      </c>
      <c r="F76" s="224">
        <v>-5.2385255491538482E-3</v>
      </c>
    </row>
    <row r="77" spans="1:6" x14ac:dyDescent="0.2">
      <c r="A77" s="177">
        <v>20</v>
      </c>
      <c r="D77" s="224" t="s">
        <v>43</v>
      </c>
      <c r="F77" s="224">
        <v>4</v>
      </c>
    </row>
    <row r="78" spans="1:6" x14ac:dyDescent="0.2">
      <c r="A78" s="177">
        <v>21</v>
      </c>
      <c r="D78" s="224" t="s">
        <v>44</v>
      </c>
      <c r="F78" s="224">
        <v>18</v>
      </c>
    </row>
    <row r="79" spans="1:6" x14ac:dyDescent="0.2">
      <c r="A79" s="177">
        <v>18</v>
      </c>
      <c r="D79" s="224" t="s">
        <v>45</v>
      </c>
      <c r="F79" s="224">
        <v>22</v>
      </c>
    </row>
    <row r="80" spans="1:6" x14ac:dyDescent="0.2">
      <c r="A80" s="177">
        <v>20</v>
      </c>
      <c r="D80" s="224" t="s">
        <v>46</v>
      </c>
      <c r="F80" s="224">
        <v>393</v>
      </c>
    </row>
    <row r="81" spans="1:6" x14ac:dyDescent="0.2">
      <c r="A81" s="177">
        <v>21</v>
      </c>
      <c r="D81" s="225" t="s">
        <v>47</v>
      </c>
      <c r="E81" s="217"/>
      <c r="F81" s="225">
        <v>20</v>
      </c>
    </row>
    <row r="82" spans="1:6" x14ac:dyDescent="0.2">
      <c r="A82" s="177">
        <v>19</v>
      </c>
    </row>
    <row r="83" spans="1:6" x14ac:dyDescent="0.2">
      <c r="A83" s="177">
        <v>20</v>
      </c>
    </row>
    <row r="84" spans="1:6" x14ac:dyDescent="0.2">
      <c r="A84" s="177">
        <v>21</v>
      </c>
    </row>
    <row r="85" spans="1:6" x14ac:dyDescent="0.2">
      <c r="A85" s="177">
        <v>18</v>
      </c>
    </row>
    <row r="86" spans="1:6" x14ac:dyDescent="0.2">
      <c r="A86" s="177">
        <v>20</v>
      </c>
    </row>
    <row r="88" spans="1:6" ht="15.75" x14ac:dyDescent="0.25">
      <c r="A88" s="193" t="s">
        <v>210</v>
      </c>
    </row>
    <row r="89" spans="1:6" ht="15.75" x14ac:dyDescent="0.25">
      <c r="A89" s="193" t="s">
        <v>211</v>
      </c>
    </row>
    <row r="91" spans="1:6" x14ac:dyDescent="0.2">
      <c r="A91" s="177" t="s">
        <v>208</v>
      </c>
      <c r="B91" s="226" t="s">
        <v>212</v>
      </c>
    </row>
    <row r="92" spans="1:6" x14ac:dyDescent="0.2">
      <c r="A92" s="177">
        <v>18</v>
      </c>
      <c r="B92" s="177">
        <v>18</v>
      </c>
    </row>
    <row r="93" spans="1:6" x14ac:dyDescent="0.2">
      <c r="A93" s="177">
        <v>20</v>
      </c>
      <c r="B93" s="177">
        <v>19</v>
      </c>
    </row>
    <row r="94" spans="1:6" x14ac:dyDescent="0.2">
      <c r="A94" s="177">
        <v>22</v>
      </c>
      <c r="B94" s="177">
        <v>20</v>
      </c>
    </row>
    <row r="95" spans="1:6" x14ac:dyDescent="0.2">
      <c r="A95" s="177">
        <v>19</v>
      </c>
      <c r="B95" s="177">
        <v>21</v>
      </c>
    </row>
    <row r="96" spans="1:6" x14ac:dyDescent="0.2">
      <c r="A96" s="177">
        <v>18</v>
      </c>
      <c r="B96" s="177">
        <v>22</v>
      </c>
    </row>
    <row r="97" spans="1:3" x14ac:dyDescent="0.2">
      <c r="A97" s="177">
        <v>20</v>
      </c>
    </row>
    <row r="98" spans="1:3" x14ac:dyDescent="0.2">
      <c r="A98" s="177">
        <v>18</v>
      </c>
    </row>
    <row r="99" spans="1:3" x14ac:dyDescent="0.2">
      <c r="A99" s="177">
        <v>19</v>
      </c>
    </row>
    <row r="100" spans="1:3" x14ac:dyDescent="0.2">
      <c r="A100" s="177">
        <v>21</v>
      </c>
    </row>
    <row r="101" spans="1:3" x14ac:dyDescent="0.2">
      <c r="A101" s="177">
        <v>20</v>
      </c>
    </row>
    <row r="102" spans="1:3" x14ac:dyDescent="0.2">
      <c r="A102" s="177">
        <v>20</v>
      </c>
    </row>
    <row r="103" spans="1:3" x14ac:dyDescent="0.2">
      <c r="A103" s="177">
        <v>21</v>
      </c>
    </row>
    <row r="104" spans="1:3" x14ac:dyDescent="0.2">
      <c r="A104" s="177">
        <v>18</v>
      </c>
    </row>
    <row r="105" spans="1:3" x14ac:dyDescent="0.2">
      <c r="A105" s="177">
        <v>20</v>
      </c>
    </row>
    <row r="106" spans="1:3" x14ac:dyDescent="0.2">
      <c r="A106" s="177">
        <v>21</v>
      </c>
    </row>
    <row r="107" spans="1:3" x14ac:dyDescent="0.2">
      <c r="A107" s="177">
        <v>19</v>
      </c>
    </row>
    <row r="108" spans="1:3" x14ac:dyDescent="0.2">
      <c r="A108" s="177">
        <v>20</v>
      </c>
    </row>
    <row r="109" spans="1:3" x14ac:dyDescent="0.2">
      <c r="A109" s="177">
        <v>21</v>
      </c>
    </row>
    <row r="110" spans="1:3" x14ac:dyDescent="0.2">
      <c r="A110" s="177">
        <v>18</v>
      </c>
    </row>
    <row r="111" spans="1:3" ht="13.5" thickBot="1" x14ac:dyDescent="0.25">
      <c r="A111" s="177">
        <v>20</v>
      </c>
    </row>
    <row r="112" spans="1:3" x14ac:dyDescent="0.2">
      <c r="B112" s="227" t="s">
        <v>213</v>
      </c>
      <c r="C112" s="227" t="s">
        <v>214</v>
      </c>
    </row>
    <row r="113" spans="2:3" x14ac:dyDescent="0.2">
      <c r="B113" s="228">
        <v>18</v>
      </c>
      <c r="C113" s="167">
        <v>5</v>
      </c>
    </row>
    <row r="114" spans="2:3" x14ac:dyDescent="0.2">
      <c r="B114" s="228">
        <v>19</v>
      </c>
      <c r="C114" s="167">
        <v>3</v>
      </c>
    </row>
    <row r="115" spans="2:3" x14ac:dyDescent="0.2">
      <c r="B115" s="228">
        <v>20</v>
      </c>
      <c r="C115" s="167">
        <v>7</v>
      </c>
    </row>
    <row r="116" spans="2:3" x14ac:dyDescent="0.2">
      <c r="B116" s="228">
        <v>21</v>
      </c>
      <c r="C116" s="167">
        <v>4</v>
      </c>
    </row>
    <row r="117" spans="2:3" x14ac:dyDescent="0.2">
      <c r="B117" s="228">
        <v>22</v>
      </c>
      <c r="C117" s="167">
        <v>1</v>
      </c>
    </row>
  </sheetData>
  <printOptions gridLines="1"/>
  <pageMargins left="0.75" right="0.75" top="1" bottom="1" header="0" footer="0"/>
  <pageSetup paperSize="9" orientation="portrait" blackAndWhite="1" horizontalDpi="4294967293" verticalDpi="0" r:id="rId1"/>
  <headerFooter alignWithMargins="0"/>
  <rowBreaks count="2" manualBreakCount="2">
    <brk id="38" max="16383" man="1"/>
    <brk id="87" max="16383" man="1"/>
  </rowBreaks>
  <drawing r:id="rId2"/>
  <legacyDrawing r:id="rId3"/>
  <oleObjects>
    <mc:AlternateContent xmlns:mc="http://schemas.openxmlformats.org/markup-compatibility/2006">
      <mc:Choice Requires="x14">
        <oleObject progId="Equation.3" shapeId="14337" r:id="rId4">
          <objectPr defaultSize="0" autoPict="0" r:id="rId5">
            <anchor moveWithCells="1" sizeWithCells="1">
              <from>
                <xdr:col>4</xdr:col>
                <xdr:colOff>285750</xdr:colOff>
                <xdr:row>47</xdr:row>
                <xdr:rowOff>114300</xdr:rowOff>
              </from>
              <to>
                <xdr:col>4</xdr:col>
                <xdr:colOff>466725</xdr:colOff>
                <xdr:row>49</xdr:row>
                <xdr:rowOff>19050</xdr:rowOff>
              </to>
            </anchor>
          </objectPr>
        </oleObject>
      </mc:Choice>
      <mc:Fallback>
        <oleObject progId="Equation.3" shapeId="14337" r:id="rId4"/>
      </mc:Fallback>
    </mc:AlternateContent>
    <mc:AlternateContent xmlns:mc="http://schemas.openxmlformats.org/markup-compatibility/2006">
      <mc:Choice Requires="x14">
        <oleObject progId="Equation.3" shapeId="14338" r:id="rId6">
          <objectPr defaultSize="0" autoPict="0" r:id="rId7">
            <anchor moveWithCells="1" sizeWithCells="1">
              <from>
                <xdr:col>4</xdr:col>
                <xdr:colOff>295275</xdr:colOff>
                <xdr:row>48</xdr:row>
                <xdr:rowOff>152400</xdr:rowOff>
              </from>
              <to>
                <xdr:col>4</xdr:col>
                <xdr:colOff>476250</xdr:colOff>
                <xdr:row>50</xdr:row>
                <xdr:rowOff>28575</xdr:rowOff>
              </to>
            </anchor>
          </objectPr>
        </oleObject>
      </mc:Choice>
      <mc:Fallback>
        <oleObject progId="Equation.3" shapeId="14338" r:id="rId6"/>
      </mc:Fallback>
    </mc:AlternateContent>
    <mc:AlternateContent xmlns:mc="http://schemas.openxmlformats.org/markup-compatibility/2006">
      <mc:Choice Requires="x14">
        <oleObject progId="Equation.3" shapeId="14339" r:id="rId8">
          <objectPr defaultSize="0" autoPict="0" r:id="rId9">
            <anchor moveWithCells="1" sizeWithCells="1">
              <from>
                <xdr:col>4</xdr:col>
                <xdr:colOff>295275</xdr:colOff>
                <xdr:row>43</xdr:row>
                <xdr:rowOff>0</xdr:rowOff>
              </from>
              <to>
                <xdr:col>4</xdr:col>
                <xdr:colOff>419100</xdr:colOff>
                <xdr:row>43</xdr:row>
                <xdr:rowOff>152400</xdr:rowOff>
              </to>
            </anchor>
          </objectPr>
        </oleObject>
      </mc:Choice>
      <mc:Fallback>
        <oleObject progId="Equation.3" shapeId="14339" r:id="rId8"/>
      </mc:Fallback>
    </mc:AlternateContent>
    <mc:AlternateContent xmlns:mc="http://schemas.openxmlformats.org/markup-compatibility/2006">
      <mc:Choice Requires="x14">
        <oleObject progId="Equation.3" shapeId="14340" r:id="rId10">
          <objectPr defaultSize="0" autoPict="0" r:id="rId9">
            <anchor moveWithCells="1" sizeWithCells="1">
              <from>
                <xdr:col>3</xdr:col>
                <xdr:colOff>323850</xdr:colOff>
                <xdr:row>10</xdr:row>
                <xdr:rowOff>47625</xdr:rowOff>
              </from>
              <to>
                <xdr:col>3</xdr:col>
                <xdr:colOff>447675</xdr:colOff>
                <xdr:row>10</xdr:row>
                <xdr:rowOff>200025</xdr:rowOff>
              </to>
            </anchor>
          </objectPr>
        </oleObject>
      </mc:Choice>
      <mc:Fallback>
        <oleObject progId="Equation.3" shapeId="14340" r:id="rId10"/>
      </mc:Fallback>
    </mc:AlternateContent>
    <mc:AlternateContent xmlns:mc="http://schemas.openxmlformats.org/markup-compatibility/2006">
      <mc:Choice Requires="x14">
        <oleObject progId="Equation.3" shapeId="14341" r:id="rId11">
          <objectPr defaultSize="0" autoPict="0" r:id="rId12">
            <anchor moveWithCells="1" sizeWithCells="1">
              <from>
                <xdr:col>4</xdr:col>
                <xdr:colOff>180975</xdr:colOff>
                <xdr:row>11</xdr:row>
                <xdr:rowOff>28575</xdr:rowOff>
              </from>
              <to>
                <xdr:col>4</xdr:col>
                <xdr:colOff>523875</xdr:colOff>
                <xdr:row>12</xdr:row>
                <xdr:rowOff>9525</xdr:rowOff>
              </to>
            </anchor>
          </objectPr>
        </oleObject>
      </mc:Choice>
      <mc:Fallback>
        <oleObject progId="Equation.3" shapeId="14341" r:id="rId11"/>
      </mc:Fallback>
    </mc:AlternateContent>
    <mc:AlternateContent xmlns:mc="http://schemas.openxmlformats.org/markup-compatibility/2006">
      <mc:Choice Requires="x14">
        <oleObject progId="Equation.3" shapeId="14342" r:id="rId13">
          <objectPr defaultSize="0" autoPict="0" r:id="rId14">
            <anchor moveWithCells="1" sizeWithCells="1">
              <from>
                <xdr:col>0</xdr:col>
                <xdr:colOff>466725</xdr:colOff>
                <xdr:row>17</xdr:row>
                <xdr:rowOff>0</xdr:rowOff>
              </from>
              <to>
                <xdr:col>0</xdr:col>
                <xdr:colOff>695325</xdr:colOff>
                <xdr:row>18</xdr:row>
                <xdr:rowOff>19050</xdr:rowOff>
              </to>
            </anchor>
          </objectPr>
        </oleObject>
      </mc:Choice>
      <mc:Fallback>
        <oleObject progId="Equation.3" shapeId="14342" r:id="rId13"/>
      </mc:Fallback>
    </mc:AlternateContent>
    <mc:AlternateContent xmlns:mc="http://schemas.openxmlformats.org/markup-compatibility/2006">
      <mc:Choice Requires="x14">
        <oleObject progId="Equation.3" shapeId="14343" r:id="rId15">
          <objectPr defaultSize="0" autoPict="0" r:id="rId16">
            <anchor moveWithCells="1" sizeWithCells="1">
              <from>
                <xdr:col>0</xdr:col>
                <xdr:colOff>314325</xdr:colOff>
                <xdr:row>17</xdr:row>
                <xdr:rowOff>171450</xdr:rowOff>
              </from>
              <to>
                <xdr:col>1</xdr:col>
                <xdr:colOff>0</xdr:colOff>
                <xdr:row>19</xdr:row>
                <xdr:rowOff>66675</xdr:rowOff>
              </to>
            </anchor>
          </objectPr>
        </oleObject>
      </mc:Choice>
      <mc:Fallback>
        <oleObject progId="Equation.3" shapeId="14343" r:id="rId15"/>
      </mc:Fallback>
    </mc:AlternateContent>
    <mc:AlternateContent xmlns:mc="http://schemas.openxmlformats.org/markup-compatibility/2006">
      <mc:Choice Requires="x14">
        <oleObject progId="Equation.3" shapeId="14344" r:id="rId17">
          <objectPr defaultSize="0" autoPict="0" r:id="rId18">
            <anchor moveWithCells="1" sizeWithCells="1">
              <from>
                <xdr:col>5</xdr:col>
                <xdr:colOff>47625</xdr:colOff>
                <xdr:row>11</xdr:row>
                <xdr:rowOff>19050</xdr:rowOff>
              </from>
              <to>
                <xdr:col>5</xdr:col>
                <xdr:colOff>723900</xdr:colOff>
                <xdr:row>12</xdr:row>
                <xdr:rowOff>0</xdr:rowOff>
              </to>
            </anchor>
          </objectPr>
        </oleObject>
      </mc:Choice>
      <mc:Fallback>
        <oleObject progId="Equation.3" shapeId="14344" r:id="rId17"/>
      </mc:Fallback>
    </mc:AlternateContent>
    <mc:AlternateContent xmlns:mc="http://schemas.openxmlformats.org/markup-compatibility/2006">
      <mc:Choice Requires="x14">
        <oleObject progId="Equation.3" shapeId="14345" r:id="rId19">
          <objectPr defaultSize="0" autoPict="0" r:id="rId20">
            <anchor moveWithCells="1" sizeWithCells="1">
              <from>
                <xdr:col>6</xdr:col>
                <xdr:colOff>28575</xdr:colOff>
                <xdr:row>11</xdr:row>
                <xdr:rowOff>28575</xdr:rowOff>
              </from>
              <to>
                <xdr:col>6</xdr:col>
                <xdr:colOff>704850</xdr:colOff>
                <xdr:row>12</xdr:row>
                <xdr:rowOff>0</xdr:rowOff>
              </to>
            </anchor>
          </objectPr>
        </oleObject>
      </mc:Choice>
      <mc:Fallback>
        <oleObject progId="Equation.3" shapeId="14345" r:id="rId19"/>
      </mc:Fallback>
    </mc:AlternateContent>
    <mc:AlternateContent xmlns:mc="http://schemas.openxmlformats.org/markup-compatibility/2006">
      <mc:Choice Requires="x14">
        <oleObject progId="Equation.3" shapeId="14346" r:id="rId21">
          <objectPr defaultSize="0" autoPict="0" r:id="rId22">
            <anchor moveWithCells="1" sizeWithCells="1">
              <from>
                <xdr:col>7</xdr:col>
                <xdr:colOff>47625</xdr:colOff>
                <xdr:row>11</xdr:row>
                <xdr:rowOff>19050</xdr:rowOff>
              </from>
              <to>
                <xdr:col>7</xdr:col>
                <xdr:colOff>723900</xdr:colOff>
                <xdr:row>12</xdr:row>
                <xdr:rowOff>0</xdr:rowOff>
              </to>
            </anchor>
          </objectPr>
        </oleObject>
      </mc:Choice>
      <mc:Fallback>
        <oleObject progId="Equation.3" shapeId="14346" r:id="rId21"/>
      </mc:Fallback>
    </mc:AlternateContent>
    <mc:AlternateContent xmlns:mc="http://schemas.openxmlformats.org/markup-compatibility/2006">
      <mc:Choice Requires="x14">
        <oleObject progId="Equation.3" shapeId="14347" r:id="rId23">
          <objectPr defaultSize="0" autoPict="0" r:id="rId24">
            <anchor moveWithCells="1" sizeWithCells="1">
              <from>
                <xdr:col>1</xdr:col>
                <xdr:colOff>476250</xdr:colOff>
                <xdr:row>22</xdr:row>
                <xdr:rowOff>123825</xdr:rowOff>
              </from>
              <to>
                <xdr:col>4</xdr:col>
                <xdr:colOff>704850</xdr:colOff>
                <xdr:row>24</xdr:row>
                <xdr:rowOff>76200</xdr:rowOff>
              </to>
            </anchor>
          </objectPr>
        </oleObject>
      </mc:Choice>
      <mc:Fallback>
        <oleObject progId="Equation.3" shapeId="14347" r:id="rId23"/>
      </mc:Fallback>
    </mc:AlternateContent>
    <mc:AlternateContent xmlns:mc="http://schemas.openxmlformats.org/markup-compatibility/2006">
      <mc:Choice Requires="x14">
        <oleObject progId="Equation.3" shapeId="14348" r:id="rId25">
          <objectPr defaultSize="0" autoPict="0" r:id="rId26">
            <anchor moveWithCells="1" sizeWithCells="1">
              <from>
                <xdr:col>3</xdr:col>
                <xdr:colOff>219075</xdr:colOff>
                <xdr:row>11</xdr:row>
                <xdr:rowOff>38100</xdr:rowOff>
              </from>
              <to>
                <xdr:col>3</xdr:col>
                <xdr:colOff>552450</xdr:colOff>
                <xdr:row>11</xdr:row>
                <xdr:rowOff>238125</xdr:rowOff>
              </to>
            </anchor>
          </objectPr>
        </oleObject>
      </mc:Choice>
      <mc:Fallback>
        <oleObject progId="Equation.3" shapeId="14348" r:id="rId25"/>
      </mc:Fallback>
    </mc:AlternateContent>
    <mc:AlternateContent xmlns:mc="http://schemas.openxmlformats.org/markup-compatibility/2006">
      <mc:Choice Requires="x14">
        <oleObject progId="Equation.3" shapeId="14349" r:id="rId27">
          <objectPr defaultSize="0" autoPict="0" r:id="rId28">
            <anchor moveWithCells="1" sizeWithCells="1">
              <from>
                <xdr:col>1</xdr:col>
                <xdr:colOff>752475</xdr:colOff>
                <xdr:row>28</xdr:row>
                <xdr:rowOff>57150</xdr:rowOff>
              </from>
              <to>
                <xdr:col>3</xdr:col>
                <xdr:colOff>0</xdr:colOff>
                <xdr:row>30</xdr:row>
                <xdr:rowOff>104775</xdr:rowOff>
              </to>
            </anchor>
          </objectPr>
        </oleObject>
      </mc:Choice>
      <mc:Fallback>
        <oleObject progId="Equation.3" shapeId="14349" r:id="rId27"/>
      </mc:Fallback>
    </mc:AlternateContent>
    <mc:AlternateContent xmlns:mc="http://schemas.openxmlformats.org/markup-compatibility/2006">
      <mc:Choice Requires="x14">
        <oleObject progId="Equation.3" shapeId="14350" r:id="rId29">
          <objectPr defaultSize="0" autoPict="0" r:id="rId30">
            <anchor moveWithCells="1" sizeWithCells="1">
              <from>
                <xdr:col>1</xdr:col>
                <xdr:colOff>752475</xdr:colOff>
                <xdr:row>31</xdr:row>
                <xdr:rowOff>57150</xdr:rowOff>
              </from>
              <to>
                <xdr:col>3</xdr:col>
                <xdr:colOff>190500</xdr:colOff>
                <xdr:row>33</xdr:row>
                <xdr:rowOff>152400</xdr:rowOff>
              </to>
            </anchor>
          </objectPr>
        </oleObject>
      </mc:Choice>
      <mc:Fallback>
        <oleObject progId="Equation.3" shapeId="14350" r:id="rId29"/>
      </mc:Fallback>
    </mc:AlternateContent>
    <mc:AlternateContent xmlns:mc="http://schemas.openxmlformats.org/markup-compatibility/2006">
      <mc:Choice Requires="x14">
        <oleObject progId="Equation.3" shapeId="14351" r:id="rId31">
          <objectPr defaultSize="0" autoPict="0" r:id="rId32">
            <anchor moveWithCells="1" sizeWithCells="1">
              <from>
                <xdr:col>2</xdr:col>
                <xdr:colOff>0</xdr:colOff>
                <xdr:row>34</xdr:row>
                <xdr:rowOff>66675</xdr:rowOff>
              </from>
              <to>
                <xdr:col>3</xdr:col>
                <xdr:colOff>419100</xdr:colOff>
                <xdr:row>37</xdr:row>
                <xdr:rowOff>0</xdr:rowOff>
              </to>
            </anchor>
          </objectPr>
        </oleObject>
      </mc:Choice>
      <mc:Fallback>
        <oleObject progId="Equation.3" shapeId="14351" r:id="rId31"/>
      </mc:Fallback>
    </mc:AlternateContent>
    <mc:AlternateContent xmlns:mc="http://schemas.openxmlformats.org/markup-compatibility/2006">
      <mc:Choice Requires="x14">
        <oleObject progId="Equation.3" shapeId="14352" r:id="rId33">
          <objectPr defaultSize="0" autoPict="0" r:id="rId34">
            <anchor moveWithCells="1" sizeWithCells="1">
              <from>
                <xdr:col>5</xdr:col>
                <xdr:colOff>285750</xdr:colOff>
                <xdr:row>10</xdr:row>
                <xdr:rowOff>28575</xdr:rowOff>
              </from>
              <to>
                <xdr:col>5</xdr:col>
                <xdr:colOff>466725</xdr:colOff>
                <xdr:row>10</xdr:row>
                <xdr:rowOff>257175</xdr:rowOff>
              </to>
            </anchor>
          </objectPr>
        </oleObject>
      </mc:Choice>
      <mc:Fallback>
        <oleObject progId="Equation.3" shapeId="14352" r:id="rId33"/>
      </mc:Fallback>
    </mc:AlternateContent>
    <mc:AlternateContent xmlns:mc="http://schemas.openxmlformats.org/markup-compatibility/2006">
      <mc:Choice Requires="x14">
        <oleObject progId="Equation.3" shapeId="14353" r:id="rId35">
          <objectPr defaultSize="0" autoPict="0" r:id="rId36">
            <anchor moveWithCells="1" sizeWithCells="1">
              <from>
                <xdr:col>1</xdr:col>
                <xdr:colOff>638175</xdr:colOff>
                <xdr:row>19</xdr:row>
                <xdr:rowOff>104775</xdr:rowOff>
              </from>
              <to>
                <xdr:col>3</xdr:col>
                <xdr:colOff>180975</xdr:colOff>
                <xdr:row>21</xdr:row>
                <xdr:rowOff>95250</xdr:rowOff>
              </to>
            </anchor>
          </objectPr>
        </oleObject>
      </mc:Choice>
      <mc:Fallback>
        <oleObject progId="Equation.3" shapeId="14353" r:id="rId35"/>
      </mc:Fallback>
    </mc:AlternateContent>
    <mc:AlternateContent xmlns:mc="http://schemas.openxmlformats.org/markup-compatibility/2006">
      <mc:Choice Requires="x14">
        <oleObject progId="Equation.3" shapeId="14354" r:id="rId37">
          <objectPr defaultSize="0" autoPict="0" r:id="rId38">
            <anchor moveWithCells="1" sizeWithCells="1">
              <from>
                <xdr:col>1</xdr:col>
                <xdr:colOff>657225</xdr:colOff>
                <xdr:row>25</xdr:row>
                <xdr:rowOff>95250</xdr:rowOff>
              </from>
              <to>
                <xdr:col>3</xdr:col>
                <xdr:colOff>161925</xdr:colOff>
                <xdr:row>27</xdr:row>
                <xdr:rowOff>28575</xdr:rowOff>
              </to>
            </anchor>
          </objectPr>
        </oleObject>
      </mc:Choice>
      <mc:Fallback>
        <oleObject progId="Equation.3" shapeId="14354" r:id="rId37"/>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2:N25"/>
  <sheetViews>
    <sheetView workbookViewId="0">
      <selection activeCell="D16" sqref="D16"/>
    </sheetView>
  </sheetViews>
  <sheetFormatPr baseColWidth="10" defaultColWidth="11.42578125" defaultRowHeight="15" x14ac:dyDescent="0.25"/>
  <cols>
    <col min="1" max="1" width="11.42578125" style="344"/>
    <col min="2" max="2" width="16.85546875" style="344" bestFit="1" customWidth="1"/>
    <col min="3" max="4" width="12" style="344" bestFit="1" customWidth="1"/>
    <col min="5" max="8" width="11.42578125" style="344"/>
    <col min="9" max="9" width="15.140625" style="344" bestFit="1" customWidth="1"/>
    <col min="10" max="10" width="12.7109375" style="344" bestFit="1" customWidth="1"/>
    <col min="11" max="11" width="12" style="344" bestFit="1" customWidth="1"/>
    <col min="12" max="16384" width="11.42578125" style="344"/>
  </cols>
  <sheetData>
    <row r="2" spans="2:14" x14ac:dyDescent="0.25">
      <c r="B2" s="442" t="s">
        <v>468</v>
      </c>
      <c r="C2" s="443"/>
      <c r="D2" s="443"/>
      <c r="E2" s="443"/>
      <c r="F2" s="443"/>
      <c r="G2" s="443"/>
      <c r="H2" s="443"/>
      <c r="I2" s="443"/>
      <c r="J2" s="443"/>
      <c r="K2" s="443"/>
      <c r="L2" s="443"/>
      <c r="M2" s="443"/>
      <c r="N2" s="444"/>
    </row>
    <row r="3" spans="2:14" x14ac:dyDescent="0.25">
      <c r="B3" s="445"/>
      <c r="C3" s="446"/>
      <c r="D3" s="446"/>
      <c r="E3" s="446"/>
      <c r="F3" s="446"/>
      <c r="G3" s="446"/>
      <c r="H3" s="446"/>
      <c r="I3" s="446"/>
      <c r="J3" s="446"/>
      <c r="K3" s="446"/>
      <c r="L3" s="446"/>
      <c r="M3" s="446"/>
      <c r="N3" s="447"/>
    </row>
    <row r="4" spans="2:14" x14ac:dyDescent="0.25">
      <c r="B4" s="445"/>
      <c r="C4" s="446"/>
      <c r="D4" s="446"/>
      <c r="E4" s="446"/>
      <c r="F4" s="446"/>
      <c r="G4" s="446"/>
      <c r="H4" s="446"/>
      <c r="I4" s="446"/>
      <c r="J4" s="446"/>
      <c r="K4" s="446"/>
      <c r="L4" s="446"/>
      <c r="M4" s="446"/>
      <c r="N4" s="447"/>
    </row>
    <row r="5" spans="2:14" x14ac:dyDescent="0.25">
      <c r="B5" s="445"/>
      <c r="C5" s="446"/>
      <c r="D5" s="446"/>
      <c r="E5" s="446"/>
      <c r="F5" s="446"/>
      <c r="G5" s="446"/>
      <c r="H5" s="446"/>
      <c r="I5" s="446"/>
      <c r="J5" s="446"/>
      <c r="K5" s="446"/>
      <c r="L5" s="446"/>
      <c r="M5" s="446"/>
      <c r="N5" s="447"/>
    </row>
    <row r="6" spans="2:14" x14ac:dyDescent="0.25">
      <c r="B6" s="445"/>
      <c r="C6" s="446"/>
      <c r="D6" s="446"/>
      <c r="E6" s="446"/>
      <c r="F6" s="446"/>
      <c r="G6" s="446"/>
      <c r="H6" s="446"/>
      <c r="I6" s="446"/>
      <c r="J6" s="446"/>
      <c r="K6" s="446"/>
      <c r="L6" s="446"/>
      <c r="M6" s="446"/>
      <c r="N6" s="447"/>
    </row>
    <row r="7" spans="2:14" x14ac:dyDescent="0.25">
      <c r="B7" s="445"/>
      <c r="C7" s="446"/>
      <c r="D7" s="446"/>
      <c r="E7" s="446"/>
      <c r="F7" s="446"/>
      <c r="G7" s="446"/>
      <c r="H7" s="446"/>
      <c r="I7" s="446"/>
      <c r="J7" s="446"/>
      <c r="K7" s="446"/>
      <c r="L7" s="446"/>
      <c r="M7" s="446"/>
      <c r="N7" s="447"/>
    </row>
    <row r="8" spans="2:14" x14ac:dyDescent="0.25">
      <c r="B8" s="448"/>
      <c r="C8" s="449"/>
      <c r="D8" s="449"/>
      <c r="E8" s="449"/>
      <c r="F8" s="449"/>
      <c r="G8" s="449"/>
      <c r="H8" s="449"/>
      <c r="I8" s="449"/>
      <c r="J8" s="449"/>
      <c r="K8" s="449"/>
      <c r="L8" s="449"/>
      <c r="M8" s="449"/>
      <c r="N8" s="450"/>
    </row>
    <row r="14" spans="2:14" x14ac:dyDescent="0.25">
      <c r="B14" s="353" t="s">
        <v>5</v>
      </c>
      <c r="C14" s="354">
        <v>0.55600000000000005</v>
      </c>
      <c r="D14" s="355"/>
      <c r="I14" s="353" t="s">
        <v>5</v>
      </c>
      <c r="J14" s="348">
        <f>556/1000</f>
        <v>0.55600000000000005</v>
      </c>
      <c r="K14" s="349"/>
    </row>
    <row r="15" spans="2:14" x14ac:dyDescent="0.25">
      <c r="B15" s="356" t="s">
        <v>375</v>
      </c>
      <c r="C15" s="345">
        <f>SQRT(C14*(1-C14)/1000)</f>
        <v>1.5711906313366306E-2</v>
      </c>
      <c r="D15" s="357"/>
      <c r="I15" s="356" t="s">
        <v>481</v>
      </c>
      <c r="J15" s="350">
        <v>0.03</v>
      </c>
      <c r="K15" s="351" t="s">
        <v>482</v>
      </c>
    </row>
    <row r="16" spans="2:14" x14ac:dyDescent="0.25">
      <c r="B16" s="356" t="s">
        <v>479</v>
      </c>
      <c r="C16" s="345">
        <v>1.9599639849999999</v>
      </c>
      <c r="D16" s="357">
        <f>NORMINV(1-0.025,0,1)</f>
        <v>1.9599639845400536</v>
      </c>
      <c r="I16" s="356" t="s">
        <v>19</v>
      </c>
      <c r="J16" s="350">
        <v>1.90948155</v>
      </c>
      <c r="K16" s="351">
        <f>NORMINV(1-0.0281,0,1)</f>
        <v>1.9094815467290915</v>
      </c>
    </row>
    <row r="17" spans="2:11" x14ac:dyDescent="0.25">
      <c r="B17" s="356" t="s">
        <v>480</v>
      </c>
      <c r="C17" s="358">
        <f>C15*D16</f>
        <v>3.079477050266545E-2</v>
      </c>
      <c r="D17" s="357"/>
      <c r="I17" s="356" t="s">
        <v>483</v>
      </c>
      <c r="J17" s="350">
        <v>2.81E-2</v>
      </c>
      <c r="K17" s="351"/>
    </row>
    <row r="18" spans="2:11" x14ac:dyDescent="0.25">
      <c r="B18" s="356" t="s">
        <v>484</v>
      </c>
      <c r="C18" s="346">
        <f>C14-C17</f>
        <v>0.52520522949733461</v>
      </c>
      <c r="D18" s="357"/>
      <c r="I18" s="356" t="s">
        <v>485</v>
      </c>
      <c r="J18" s="350">
        <f>J17*2</f>
        <v>5.62E-2</v>
      </c>
      <c r="K18" s="351"/>
    </row>
    <row r="19" spans="2:11" x14ac:dyDescent="0.25">
      <c r="B19" s="359" t="s">
        <v>486</v>
      </c>
      <c r="C19" s="360">
        <f>C14+C17</f>
        <v>0.58679477050266549</v>
      </c>
      <c r="D19" s="361"/>
      <c r="I19" s="359" t="s">
        <v>487</v>
      </c>
      <c r="J19" s="362">
        <f>1-J18</f>
        <v>0.94379999999999997</v>
      </c>
      <c r="K19" s="352"/>
    </row>
    <row r="20" spans="2:11" x14ac:dyDescent="0.25">
      <c r="B20" s="345"/>
      <c r="C20" s="346"/>
      <c r="D20" s="345"/>
      <c r="I20" s="345"/>
      <c r="J20" s="347"/>
      <c r="K20" s="350"/>
    </row>
    <row r="21" spans="2:11" x14ac:dyDescent="0.25">
      <c r="B21" s="345"/>
      <c r="C21" s="346"/>
      <c r="D21" s="345"/>
      <c r="I21" s="345"/>
      <c r="J21" s="347"/>
      <c r="K21" s="350"/>
    </row>
    <row r="22" spans="2:11" x14ac:dyDescent="0.25">
      <c r="B22" s="345"/>
      <c r="C22" s="346"/>
      <c r="D22" s="345"/>
      <c r="I22" s="345"/>
      <c r="J22" s="347"/>
      <c r="K22" s="350"/>
    </row>
    <row r="23" spans="2:11" x14ac:dyDescent="0.25">
      <c r="B23" s="345"/>
      <c r="C23" s="346"/>
      <c r="D23" s="345"/>
      <c r="I23" s="345"/>
      <c r="J23" s="347"/>
      <c r="K23" s="350"/>
    </row>
    <row r="24" spans="2:11" x14ac:dyDescent="0.25">
      <c r="B24" s="345"/>
      <c r="C24" s="346"/>
      <c r="D24" s="345"/>
      <c r="I24" s="345"/>
      <c r="J24" s="347"/>
      <c r="K24" s="350"/>
    </row>
    <row r="25" spans="2:11" x14ac:dyDescent="0.25">
      <c r="B25" s="345"/>
      <c r="C25" s="346"/>
      <c r="D25" s="345"/>
      <c r="I25" s="345"/>
      <c r="J25" s="347"/>
      <c r="K25" s="350"/>
    </row>
  </sheetData>
  <mergeCells count="1">
    <mergeCell ref="B2:N8"/>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2:R64"/>
  <sheetViews>
    <sheetView topLeftCell="A16" workbookViewId="0">
      <selection activeCell="F42" sqref="F42"/>
    </sheetView>
  </sheetViews>
  <sheetFormatPr baseColWidth="10" defaultColWidth="11.42578125" defaultRowHeight="15" x14ac:dyDescent="0.25"/>
  <cols>
    <col min="1" max="1" width="6.28515625" style="1" customWidth="1"/>
    <col min="2" max="2" width="11.42578125" style="1"/>
    <col min="3" max="3" width="20.28515625" style="1" bestFit="1" customWidth="1"/>
    <col min="4" max="4" width="5.28515625" style="1" customWidth="1"/>
    <col min="5" max="5" width="18.5703125" style="1" bestFit="1" customWidth="1"/>
    <col min="6" max="6" width="11.42578125" style="1"/>
    <col min="7" max="7" width="4" style="1" customWidth="1"/>
    <col min="8" max="8" width="24.140625" style="1" bestFit="1" customWidth="1"/>
    <col min="9" max="9" width="11.42578125" style="1"/>
    <col min="10" max="10" width="4" style="1" customWidth="1"/>
    <col min="11" max="16384" width="11.42578125" style="1"/>
  </cols>
  <sheetData>
    <row r="2" spans="2:15" x14ac:dyDescent="0.25">
      <c r="B2" s="442" t="s">
        <v>126</v>
      </c>
      <c r="C2" s="443"/>
      <c r="D2" s="443"/>
      <c r="E2" s="443"/>
      <c r="F2" s="443"/>
      <c r="G2" s="443"/>
      <c r="H2" s="443"/>
      <c r="I2" s="443"/>
      <c r="J2" s="443"/>
      <c r="K2" s="443"/>
      <c r="L2" s="443"/>
      <c r="M2" s="443"/>
      <c r="N2" s="443"/>
      <c r="O2" s="444"/>
    </row>
    <row r="3" spans="2:15" x14ac:dyDescent="0.25">
      <c r="B3" s="445"/>
      <c r="C3" s="446"/>
      <c r="D3" s="446"/>
      <c r="E3" s="446"/>
      <c r="F3" s="446"/>
      <c r="G3" s="446"/>
      <c r="H3" s="446"/>
      <c r="I3" s="446"/>
      <c r="J3" s="446"/>
      <c r="K3" s="446"/>
      <c r="L3" s="446"/>
      <c r="M3" s="446"/>
      <c r="N3" s="446"/>
      <c r="O3" s="447"/>
    </row>
    <row r="4" spans="2:15" x14ac:dyDescent="0.25">
      <c r="B4" s="445"/>
      <c r="C4" s="446"/>
      <c r="D4" s="446"/>
      <c r="E4" s="446"/>
      <c r="F4" s="446"/>
      <c r="G4" s="446"/>
      <c r="H4" s="446"/>
      <c r="I4" s="446"/>
      <c r="J4" s="446"/>
      <c r="K4" s="446"/>
      <c r="L4" s="446"/>
      <c r="M4" s="446"/>
      <c r="N4" s="446"/>
      <c r="O4" s="447"/>
    </row>
    <row r="5" spans="2:15" x14ac:dyDescent="0.25">
      <c r="B5" s="445"/>
      <c r="C5" s="446"/>
      <c r="D5" s="446"/>
      <c r="E5" s="446"/>
      <c r="F5" s="446"/>
      <c r="G5" s="446"/>
      <c r="H5" s="446"/>
      <c r="I5" s="446"/>
      <c r="J5" s="446"/>
      <c r="K5" s="446"/>
      <c r="L5" s="446"/>
      <c r="M5" s="446"/>
      <c r="N5" s="446"/>
      <c r="O5" s="447"/>
    </row>
    <row r="6" spans="2:15" x14ac:dyDescent="0.25">
      <c r="B6" s="445"/>
      <c r="C6" s="446"/>
      <c r="D6" s="446"/>
      <c r="E6" s="446"/>
      <c r="F6" s="446"/>
      <c r="G6" s="446"/>
      <c r="H6" s="446"/>
      <c r="I6" s="446"/>
      <c r="J6" s="446"/>
      <c r="K6" s="446"/>
      <c r="L6" s="446"/>
      <c r="M6" s="446"/>
      <c r="N6" s="446"/>
      <c r="O6" s="447"/>
    </row>
    <row r="7" spans="2:15" x14ac:dyDescent="0.25">
      <c r="B7" s="445"/>
      <c r="C7" s="446"/>
      <c r="D7" s="446"/>
      <c r="E7" s="446"/>
      <c r="F7" s="446"/>
      <c r="G7" s="446"/>
      <c r="H7" s="446"/>
      <c r="I7" s="446"/>
      <c r="J7" s="446"/>
      <c r="K7" s="446"/>
      <c r="L7" s="446"/>
      <c r="M7" s="446"/>
      <c r="N7" s="446"/>
      <c r="O7" s="447"/>
    </row>
    <row r="8" spans="2:15" x14ac:dyDescent="0.25">
      <c r="B8" s="445"/>
      <c r="C8" s="446"/>
      <c r="D8" s="446"/>
      <c r="E8" s="446"/>
      <c r="F8" s="446"/>
      <c r="G8" s="446"/>
      <c r="H8" s="446"/>
      <c r="I8" s="446"/>
      <c r="J8" s="446"/>
      <c r="K8" s="446"/>
      <c r="L8" s="446"/>
      <c r="M8" s="446"/>
      <c r="N8" s="446"/>
      <c r="O8" s="447"/>
    </row>
    <row r="9" spans="2:15" x14ac:dyDescent="0.25">
      <c r="B9" s="445"/>
      <c r="C9" s="446"/>
      <c r="D9" s="446"/>
      <c r="E9" s="446"/>
      <c r="F9" s="446"/>
      <c r="G9" s="446"/>
      <c r="H9" s="446"/>
      <c r="I9" s="446"/>
      <c r="J9" s="446"/>
      <c r="K9" s="446"/>
      <c r="L9" s="446"/>
      <c r="M9" s="446"/>
      <c r="N9" s="446"/>
      <c r="O9" s="447"/>
    </row>
    <row r="10" spans="2:15" x14ac:dyDescent="0.25">
      <c r="B10" s="445"/>
      <c r="C10" s="446"/>
      <c r="D10" s="446"/>
      <c r="E10" s="446"/>
      <c r="F10" s="446"/>
      <c r="G10" s="446"/>
      <c r="H10" s="446"/>
      <c r="I10" s="446"/>
      <c r="J10" s="446"/>
      <c r="K10" s="446"/>
      <c r="L10" s="446"/>
      <c r="M10" s="446"/>
      <c r="N10" s="446"/>
      <c r="O10" s="447"/>
    </row>
    <row r="11" spans="2:15" x14ac:dyDescent="0.25">
      <c r="B11" s="445"/>
      <c r="C11" s="446"/>
      <c r="D11" s="446"/>
      <c r="E11" s="446"/>
      <c r="F11" s="446"/>
      <c r="G11" s="446"/>
      <c r="H11" s="446"/>
      <c r="I11" s="446"/>
      <c r="J11" s="446"/>
      <c r="K11" s="446"/>
      <c r="L11" s="446"/>
      <c r="M11" s="446"/>
      <c r="N11" s="446"/>
      <c r="O11" s="447"/>
    </row>
    <row r="12" spans="2:15" x14ac:dyDescent="0.25">
      <c r="B12" s="448"/>
      <c r="C12" s="449"/>
      <c r="D12" s="449"/>
      <c r="E12" s="449"/>
      <c r="F12" s="449"/>
      <c r="G12" s="449"/>
      <c r="H12" s="449"/>
      <c r="I12" s="449"/>
      <c r="J12" s="449"/>
      <c r="K12" s="449"/>
      <c r="L12" s="449"/>
      <c r="M12" s="449"/>
      <c r="N12" s="449"/>
      <c r="O12" s="450"/>
    </row>
    <row r="14" spans="2:15" x14ac:dyDescent="0.25">
      <c r="B14" s="110" t="s">
        <v>116</v>
      </c>
      <c r="C14" s="120" t="s">
        <v>118</v>
      </c>
    </row>
    <row r="15" spans="2:15" x14ac:dyDescent="0.25">
      <c r="B15" s="108">
        <v>102</v>
      </c>
      <c r="C15" s="121">
        <f>(B15-$F$15)^2</f>
        <v>40.704399999999943</v>
      </c>
      <c r="E15" s="116" t="s">
        <v>117</v>
      </c>
      <c r="F15" s="80">
        <f>AVERAGE(B15:B64)</f>
        <v>108.38</v>
      </c>
    </row>
    <row r="16" spans="2:15" x14ac:dyDescent="0.25">
      <c r="B16" s="108">
        <v>115</v>
      </c>
      <c r="C16" s="122">
        <f t="shared" ref="C16:C64" si="0">(B16-$F$15)^2</f>
        <v>43.824400000000061</v>
      </c>
      <c r="E16" s="117" t="s">
        <v>121</v>
      </c>
      <c r="F16" s="81">
        <f>TINV(0.05,49)</f>
        <v>2.0095752371292388</v>
      </c>
    </row>
    <row r="17" spans="2:18" x14ac:dyDescent="0.25">
      <c r="B17" s="108">
        <v>116</v>
      </c>
      <c r="C17" s="122">
        <f t="shared" si="0"/>
        <v>58.06440000000007</v>
      </c>
      <c r="E17" s="117" t="s">
        <v>153</v>
      </c>
      <c r="F17" s="81">
        <f>SUM(C15:C64)/49</f>
        <v>116.85265306122449</v>
      </c>
    </row>
    <row r="18" spans="2:18" x14ac:dyDescent="0.25">
      <c r="B18" s="108">
        <v>112</v>
      </c>
      <c r="C18" s="122">
        <f t="shared" si="0"/>
        <v>13.104400000000034</v>
      </c>
      <c r="E18" s="117" t="s">
        <v>119</v>
      </c>
      <c r="F18" s="81">
        <f>SQRT(F17)</f>
        <v>10.80984056594844</v>
      </c>
    </row>
    <row r="19" spans="2:18" x14ac:dyDescent="0.25">
      <c r="B19" s="108">
        <v>120</v>
      </c>
      <c r="C19" s="122">
        <f t="shared" si="0"/>
        <v>135.0244000000001</v>
      </c>
      <c r="E19" s="118" t="s">
        <v>120</v>
      </c>
      <c r="F19" s="83">
        <f>SQRT(50)</f>
        <v>7.0710678118654755</v>
      </c>
    </row>
    <row r="20" spans="2:18" ht="15.75" thickBot="1" x14ac:dyDescent="0.3">
      <c r="B20" s="108">
        <v>98</v>
      </c>
      <c r="C20" s="122">
        <f t="shared" si="0"/>
        <v>107.7443999999999</v>
      </c>
      <c r="E20" s="119"/>
      <c r="F20" s="17"/>
    </row>
    <row r="21" spans="2:18" x14ac:dyDescent="0.25">
      <c r="B21" s="108">
        <v>130</v>
      </c>
      <c r="C21" s="122">
        <f t="shared" si="0"/>
        <v>467.42440000000022</v>
      </c>
      <c r="E21" s="116" t="s">
        <v>109</v>
      </c>
      <c r="F21" s="80">
        <f>F18/F19</f>
        <v>1.5287423135455136</v>
      </c>
      <c r="H21" s="60" t="s">
        <v>116</v>
      </c>
      <c r="I21" s="60"/>
    </row>
    <row r="22" spans="2:18" x14ac:dyDescent="0.25">
      <c r="B22" s="108">
        <v>118</v>
      </c>
      <c r="C22" s="122">
        <f t="shared" si="0"/>
        <v>92.544400000000081</v>
      </c>
      <c r="E22" s="124" t="s">
        <v>125</v>
      </c>
      <c r="F22" s="83">
        <f>F21*F16</f>
        <v>3.0721226972527265</v>
      </c>
      <c r="H22" s="58"/>
      <c r="I22" s="58"/>
    </row>
    <row r="23" spans="2:18" x14ac:dyDescent="0.25">
      <c r="B23" s="108">
        <v>114</v>
      </c>
      <c r="C23" s="122">
        <f t="shared" si="0"/>
        <v>31.584400000000052</v>
      </c>
      <c r="H23" s="58" t="s">
        <v>35</v>
      </c>
      <c r="I23" s="58">
        <v>108.38</v>
      </c>
    </row>
    <row r="24" spans="2:18" x14ac:dyDescent="0.25">
      <c r="B24" s="108">
        <v>106</v>
      </c>
      <c r="C24" s="122">
        <f t="shared" si="0"/>
        <v>5.6643999999999783</v>
      </c>
      <c r="E24" s="79" t="s">
        <v>122</v>
      </c>
      <c r="F24" s="80">
        <f>F15-F16*F21</f>
        <v>105.30787730274727</v>
      </c>
      <c r="H24" s="58" t="s">
        <v>36</v>
      </c>
      <c r="I24" s="58">
        <v>1.5287423135455136</v>
      </c>
    </row>
    <row r="25" spans="2:18" x14ac:dyDescent="0.25">
      <c r="B25" s="108">
        <v>93</v>
      </c>
      <c r="C25" s="122">
        <f t="shared" si="0"/>
        <v>236.54439999999985</v>
      </c>
      <c r="E25" s="82" t="s">
        <v>123</v>
      </c>
      <c r="F25" s="83">
        <f>F15+F16*F21</f>
        <v>111.45212269725272</v>
      </c>
      <c r="H25" s="58" t="s">
        <v>37</v>
      </c>
      <c r="I25" s="58">
        <v>106</v>
      </c>
    </row>
    <row r="26" spans="2:18" x14ac:dyDescent="0.25">
      <c r="B26" s="108">
        <v>100</v>
      </c>
      <c r="C26" s="122">
        <f t="shared" si="0"/>
        <v>70.224399999999918</v>
      </c>
      <c r="H26" s="58" t="s">
        <v>38</v>
      </c>
      <c r="I26" s="58">
        <v>106</v>
      </c>
    </row>
    <row r="27" spans="2:18" x14ac:dyDescent="0.25">
      <c r="B27" s="108">
        <v>89</v>
      </c>
      <c r="C27" s="122">
        <f t="shared" si="0"/>
        <v>375.58439999999985</v>
      </c>
      <c r="E27" s="79" t="s">
        <v>122</v>
      </c>
      <c r="F27" s="80">
        <f>F15-I38</f>
        <v>105.81698570964411</v>
      </c>
      <c r="H27" s="58" t="s">
        <v>39</v>
      </c>
      <c r="I27" s="58">
        <v>10.80984056594844</v>
      </c>
    </row>
    <row r="28" spans="2:18" x14ac:dyDescent="0.25">
      <c r="B28" s="108">
        <v>106</v>
      </c>
      <c r="C28" s="122">
        <f t="shared" si="0"/>
        <v>5.6643999999999783</v>
      </c>
      <c r="E28" s="82" t="s">
        <v>123</v>
      </c>
      <c r="F28" s="83">
        <f>F15+I38</f>
        <v>110.94301429035588</v>
      </c>
      <c r="H28" s="58" t="s">
        <v>40</v>
      </c>
      <c r="I28" s="58">
        <v>116.85265306122449</v>
      </c>
    </row>
    <row r="29" spans="2:18" ht="15" customHeight="1" x14ac:dyDescent="0.25">
      <c r="B29" s="108">
        <v>110</v>
      </c>
      <c r="C29" s="122">
        <f t="shared" si="0"/>
        <v>2.6244000000000147</v>
      </c>
      <c r="H29" s="58" t="s">
        <v>41</v>
      </c>
      <c r="I29" s="58">
        <v>-4.4498996098117694E-2</v>
      </c>
      <c r="K29" s="478" t="s">
        <v>128</v>
      </c>
      <c r="L29" s="479"/>
      <c r="M29" s="479"/>
      <c r="N29" s="479"/>
      <c r="O29" s="479"/>
      <c r="P29" s="479"/>
      <c r="Q29" s="479"/>
      <c r="R29" s="480"/>
    </row>
    <row r="30" spans="2:18" x14ac:dyDescent="0.25">
      <c r="B30" s="108">
        <v>100</v>
      </c>
      <c r="C30" s="122">
        <f t="shared" si="0"/>
        <v>70.224399999999918</v>
      </c>
      <c r="H30" s="58" t="s">
        <v>42</v>
      </c>
      <c r="I30" s="58">
        <v>0.38874561488019771</v>
      </c>
      <c r="K30" s="481"/>
      <c r="L30" s="482"/>
      <c r="M30" s="482"/>
      <c r="N30" s="482"/>
      <c r="O30" s="482"/>
      <c r="P30" s="482"/>
      <c r="Q30" s="482"/>
      <c r="R30" s="483"/>
    </row>
    <row r="31" spans="2:18" x14ac:dyDescent="0.25">
      <c r="B31" s="108">
        <v>86</v>
      </c>
      <c r="C31" s="122">
        <f t="shared" si="0"/>
        <v>500.86439999999982</v>
      </c>
      <c r="H31" s="58" t="s">
        <v>43</v>
      </c>
      <c r="I31" s="58">
        <v>48</v>
      </c>
      <c r="K31" s="481"/>
      <c r="L31" s="482"/>
      <c r="M31" s="482"/>
      <c r="N31" s="482"/>
      <c r="O31" s="482"/>
      <c r="P31" s="482"/>
      <c r="Q31" s="482"/>
      <c r="R31" s="483"/>
    </row>
    <row r="32" spans="2:18" x14ac:dyDescent="0.25">
      <c r="B32" s="108">
        <v>102</v>
      </c>
      <c r="C32" s="122">
        <f t="shared" si="0"/>
        <v>40.704399999999943</v>
      </c>
      <c r="H32" s="58" t="s">
        <v>44</v>
      </c>
      <c r="I32" s="58">
        <v>86</v>
      </c>
      <c r="K32" s="481"/>
      <c r="L32" s="482"/>
      <c r="M32" s="482"/>
      <c r="N32" s="482"/>
      <c r="O32" s="482"/>
      <c r="P32" s="482"/>
      <c r="Q32" s="482"/>
      <c r="R32" s="483"/>
    </row>
    <row r="33" spans="2:18" x14ac:dyDescent="0.25">
      <c r="B33" s="108">
        <v>114</v>
      </c>
      <c r="C33" s="122">
        <f t="shared" si="0"/>
        <v>31.584400000000052</v>
      </c>
      <c r="H33" s="58" t="s">
        <v>45</v>
      </c>
      <c r="I33" s="58">
        <v>134</v>
      </c>
      <c r="K33" s="481"/>
      <c r="L33" s="482"/>
      <c r="M33" s="482"/>
      <c r="N33" s="482"/>
      <c r="O33" s="482"/>
      <c r="P33" s="482"/>
      <c r="Q33" s="482"/>
      <c r="R33" s="483"/>
    </row>
    <row r="34" spans="2:18" x14ac:dyDescent="0.25">
      <c r="B34" s="108">
        <v>100</v>
      </c>
      <c r="C34" s="122">
        <f t="shared" si="0"/>
        <v>70.224399999999918</v>
      </c>
      <c r="H34" s="58" t="s">
        <v>46</v>
      </c>
      <c r="I34" s="58">
        <v>5419</v>
      </c>
      <c r="K34" s="484"/>
      <c r="L34" s="485"/>
      <c r="M34" s="485"/>
      <c r="N34" s="485"/>
      <c r="O34" s="485"/>
      <c r="P34" s="485"/>
      <c r="Q34" s="485"/>
      <c r="R34" s="486"/>
    </row>
    <row r="35" spans="2:18" x14ac:dyDescent="0.25">
      <c r="B35" s="108">
        <v>98</v>
      </c>
      <c r="C35" s="122">
        <f t="shared" si="0"/>
        <v>107.7443999999999</v>
      </c>
      <c r="H35" s="58" t="s">
        <v>47</v>
      </c>
      <c r="I35" s="58">
        <v>50</v>
      </c>
    </row>
    <row r="36" spans="2:18" ht="15.75" thickBot="1" x14ac:dyDescent="0.3">
      <c r="B36" s="108">
        <v>95</v>
      </c>
      <c r="C36" s="122">
        <f t="shared" si="0"/>
        <v>179.02439999999987</v>
      </c>
      <c r="H36" s="59" t="s">
        <v>124</v>
      </c>
      <c r="I36" s="59">
        <v>3.0721226972527265</v>
      </c>
    </row>
    <row r="37" spans="2:18" x14ac:dyDescent="0.25">
      <c r="B37" s="108">
        <v>128</v>
      </c>
      <c r="C37" s="122">
        <f t="shared" si="0"/>
        <v>384.9444000000002</v>
      </c>
    </row>
    <row r="38" spans="2:18" ht="15.75" thickBot="1" x14ac:dyDescent="0.3">
      <c r="B38" s="108">
        <v>100</v>
      </c>
      <c r="C38" s="122">
        <f t="shared" si="0"/>
        <v>70.224399999999918</v>
      </c>
      <c r="H38" s="59" t="s">
        <v>127</v>
      </c>
      <c r="I38" s="59">
        <v>2.5630142903558837</v>
      </c>
    </row>
    <row r="39" spans="2:18" x14ac:dyDescent="0.25">
      <c r="B39" s="108">
        <v>106</v>
      </c>
      <c r="C39" s="122">
        <f t="shared" si="0"/>
        <v>5.6643999999999783</v>
      </c>
      <c r="H39" s="62"/>
      <c r="I39" s="62"/>
    </row>
    <row r="40" spans="2:18" x14ac:dyDescent="0.25">
      <c r="B40" s="108">
        <v>105</v>
      </c>
      <c r="C40" s="122">
        <f t="shared" si="0"/>
        <v>11.42439999999997</v>
      </c>
      <c r="H40" s="62"/>
      <c r="I40" s="62"/>
    </row>
    <row r="41" spans="2:18" x14ac:dyDescent="0.25">
      <c r="B41" s="108">
        <v>103</v>
      </c>
      <c r="C41" s="122">
        <f t="shared" si="0"/>
        <v>28.944399999999952</v>
      </c>
      <c r="H41" s="62"/>
      <c r="I41" s="62"/>
    </row>
    <row r="42" spans="2:18" x14ac:dyDescent="0.25">
      <c r="B42" s="108">
        <v>99</v>
      </c>
      <c r="C42" s="122">
        <f t="shared" si="0"/>
        <v>87.984399999999908</v>
      </c>
      <c r="H42" s="62"/>
      <c r="I42" s="62"/>
    </row>
    <row r="43" spans="2:18" x14ac:dyDescent="0.25">
      <c r="B43" s="108">
        <v>116</v>
      </c>
      <c r="C43" s="122">
        <f t="shared" si="0"/>
        <v>58.06440000000007</v>
      </c>
      <c r="H43" s="62"/>
      <c r="I43" s="62"/>
    </row>
    <row r="44" spans="2:18" x14ac:dyDescent="0.25">
      <c r="B44" s="108">
        <v>117</v>
      </c>
      <c r="C44" s="122">
        <f t="shared" si="0"/>
        <v>74.304400000000072</v>
      </c>
      <c r="H44" s="62"/>
      <c r="I44" s="62"/>
    </row>
    <row r="45" spans="2:18" x14ac:dyDescent="0.25">
      <c r="B45" s="108">
        <v>115</v>
      </c>
      <c r="C45" s="122">
        <f t="shared" si="0"/>
        <v>43.824400000000061</v>
      </c>
      <c r="H45" s="62"/>
      <c r="I45" s="62"/>
    </row>
    <row r="46" spans="2:18" x14ac:dyDescent="0.25">
      <c r="B46" s="108">
        <v>105</v>
      </c>
      <c r="C46" s="122">
        <f t="shared" si="0"/>
        <v>11.42439999999997</v>
      </c>
      <c r="H46" s="62"/>
      <c r="I46" s="62"/>
    </row>
    <row r="47" spans="2:18" x14ac:dyDescent="0.25">
      <c r="B47" s="108">
        <v>119</v>
      </c>
      <c r="C47" s="122">
        <f t="shared" si="0"/>
        <v>112.78440000000009</v>
      </c>
      <c r="H47" s="62"/>
      <c r="I47" s="62"/>
    </row>
    <row r="48" spans="2:18" x14ac:dyDescent="0.25">
      <c r="B48" s="108">
        <v>108</v>
      </c>
      <c r="C48" s="122">
        <f t="shared" si="0"/>
        <v>0.14439999999999653</v>
      </c>
      <c r="H48" s="62"/>
      <c r="I48" s="62"/>
    </row>
    <row r="49" spans="2:9" x14ac:dyDescent="0.25">
      <c r="B49" s="108">
        <v>109</v>
      </c>
      <c r="C49" s="122">
        <f t="shared" si="0"/>
        <v>0.38440000000000563</v>
      </c>
      <c r="H49" s="62"/>
      <c r="I49" s="62"/>
    </row>
    <row r="50" spans="2:9" x14ac:dyDescent="0.25">
      <c r="B50" s="108">
        <v>110</v>
      </c>
      <c r="C50" s="122">
        <f t="shared" si="0"/>
        <v>2.6244000000000147</v>
      </c>
      <c r="H50" s="62"/>
      <c r="I50" s="62"/>
    </row>
    <row r="51" spans="2:9" x14ac:dyDescent="0.25">
      <c r="B51" s="108">
        <v>92</v>
      </c>
      <c r="C51" s="122">
        <f t="shared" si="0"/>
        <v>268.30439999999987</v>
      </c>
      <c r="H51" s="62"/>
      <c r="I51" s="62"/>
    </row>
    <row r="52" spans="2:9" x14ac:dyDescent="0.25">
      <c r="B52" s="108">
        <v>128</v>
      </c>
      <c r="C52" s="122">
        <f t="shared" si="0"/>
        <v>384.9444000000002</v>
      </c>
      <c r="H52" s="62"/>
      <c r="I52" s="62"/>
    </row>
    <row r="53" spans="2:9" x14ac:dyDescent="0.25">
      <c r="B53" s="108">
        <v>113</v>
      </c>
      <c r="C53" s="122">
        <f t="shared" si="0"/>
        <v>21.344400000000043</v>
      </c>
    </row>
    <row r="54" spans="2:9" x14ac:dyDescent="0.25">
      <c r="B54" s="108">
        <v>108</v>
      </c>
      <c r="C54" s="122">
        <f t="shared" si="0"/>
        <v>0.14439999999999653</v>
      </c>
    </row>
    <row r="55" spans="2:9" x14ac:dyDescent="0.25">
      <c r="B55" s="108">
        <v>99</v>
      </c>
      <c r="C55" s="122">
        <f t="shared" si="0"/>
        <v>87.984399999999908</v>
      </c>
    </row>
    <row r="56" spans="2:9" x14ac:dyDescent="0.25">
      <c r="B56" s="108">
        <v>99</v>
      </c>
      <c r="C56" s="122">
        <f t="shared" si="0"/>
        <v>87.984399999999908</v>
      </c>
    </row>
    <row r="57" spans="2:9" x14ac:dyDescent="0.25">
      <c r="B57" s="108">
        <v>110</v>
      </c>
      <c r="C57" s="122">
        <f t="shared" si="0"/>
        <v>2.6244000000000147</v>
      </c>
    </row>
    <row r="58" spans="2:9" x14ac:dyDescent="0.25">
      <c r="B58" s="108">
        <v>106</v>
      </c>
      <c r="C58" s="122">
        <f t="shared" si="0"/>
        <v>5.6643999999999783</v>
      </c>
    </row>
    <row r="59" spans="2:9" x14ac:dyDescent="0.25">
      <c r="B59" s="108">
        <v>105</v>
      </c>
      <c r="C59" s="122">
        <f t="shared" si="0"/>
        <v>11.42439999999997</v>
      </c>
    </row>
    <row r="60" spans="2:9" x14ac:dyDescent="0.25">
      <c r="B60" s="108">
        <v>120</v>
      </c>
      <c r="C60" s="122">
        <f t="shared" si="0"/>
        <v>135.0244000000001</v>
      </c>
    </row>
    <row r="61" spans="2:9" x14ac:dyDescent="0.25">
      <c r="B61" s="108">
        <v>134</v>
      </c>
      <c r="C61" s="122">
        <f t="shared" si="0"/>
        <v>656.38440000000026</v>
      </c>
    </row>
    <row r="62" spans="2:9" x14ac:dyDescent="0.25">
      <c r="B62" s="108">
        <v>130</v>
      </c>
      <c r="C62" s="122">
        <f t="shared" si="0"/>
        <v>467.42440000000022</v>
      </c>
    </row>
    <row r="63" spans="2:9" x14ac:dyDescent="0.25">
      <c r="B63" s="108">
        <v>105</v>
      </c>
      <c r="C63" s="122">
        <f t="shared" si="0"/>
        <v>11.42439999999997</v>
      </c>
    </row>
    <row r="64" spans="2:9" x14ac:dyDescent="0.25">
      <c r="B64" s="109">
        <v>106</v>
      </c>
      <c r="C64" s="123">
        <f t="shared" si="0"/>
        <v>5.6643999999999783</v>
      </c>
    </row>
  </sheetData>
  <mergeCells count="2">
    <mergeCell ref="B2:O12"/>
    <mergeCell ref="K29:R3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2:Q42"/>
  <sheetViews>
    <sheetView workbookViewId="0">
      <selection activeCell="J19" sqref="J19"/>
    </sheetView>
  </sheetViews>
  <sheetFormatPr baseColWidth="10" defaultColWidth="11.42578125" defaultRowHeight="15" x14ac:dyDescent="0.25"/>
  <cols>
    <col min="1" max="2" width="11.42578125" style="1"/>
    <col min="3" max="3" width="13.140625" style="1" bestFit="1" customWidth="1"/>
    <col min="4" max="4" width="3" style="1" customWidth="1"/>
    <col min="5" max="5" width="11.42578125" style="1"/>
    <col min="6" max="6" width="24.140625" style="1" bestFit="1" customWidth="1"/>
    <col min="7" max="7" width="12.7109375" style="1" bestFit="1" customWidth="1"/>
    <col min="8" max="8" width="5.7109375" style="1" customWidth="1"/>
    <col min="9" max="9" width="19.85546875" style="1" bestFit="1" customWidth="1"/>
    <col min="10" max="10" width="11" style="1" bestFit="1" customWidth="1"/>
    <col min="11" max="11" width="11.42578125" style="1"/>
    <col min="12" max="12" width="3.5703125" style="1" customWidth="1"/>
    <col min="13" max="13" width="18.7109375" style="1" bestFit="1" customWidth="1"/>
    <col min="14" max="14" width="11.42578125" style="1"/>
    <col min="15" max="15" width="3.42578125" style="1" customWidth="1"/>
    <col min="16" max="16" width="19.85546875" style="1" bestFit="1" customWidth="1"/>
    <col min="17" max="16384" width="11.42578125" style="1"/>
  </cols>
  <sheetData>
    <row r="2" spans="2:17" x14ac:dyDescent="0.25">
      <c r="B2" s="442" t="s">
        <v>227</v>
      </c>
      <c r="C2" s="443"/>
      <c r="D2" s="443"/>
      <c r="E2" s="443"/>
      <c r="F2" s="443"/>
      <c r="G2" s="443"/>
      <c r="H2" s="443"/>
      <c r="I2" s="443"/>
      <c r="J2" s="443"/>
      <c r="K2" s="443"/>
      <c r="L2" s="443"/>
      <c r="M2" s="444"/>
    </row>
    <row r="3" spans="2:17" x14ac:dyDescent="0.25">
      <c r="B3" s="445"/>
      <c r="C3" s="446"/>
      <c r="D3" s="446"/>
      <c r="E3" s="446"/>
      <c r="F3" s="446"/>
      <c r="G3" s="446"/>
      <c r="H3" s="446"/>
      <c r="I3" s="446"/>
      <c r="J3" s="446"/>
      <c r="K3" s="446"/>
      <c r="L3" s="446"/>
      <c r="M3" s="447"/>
    </row>
    <row r="4" spans="2:17" x14ac:dyDescent="0.25">
      <c r="B4" s="445"/>
      <c r="C4" s="446"/>
      <c r="D4" s="446"/>
      <c r="E4" s="446"/>
      <c r="F4" s="446"/>
      <c r="G4" s="446"/>
      <c r="H4" s="446"/>
      <c r="I4" s="446"/>
      <c r="J4" s="446"/>
      <c r="K4" s="446"/>
      <c r="L4" s="446"/>
      <c r="M4" s="447"/>
    </row>
    <row r="5" spans="2:17" x14ac:dyDescent="0.25">
      <c r="B5" s="445"/>
      <c r="C5" s="446"/>
      <c r="D5" s="446"/>
      <c r="E5" s="446"/>
      <c r="F5" s="446"/>
      <c r="G5" s="446"/>
      <c r="H5" s="446"/>
      <c r="I5" s="446"/>
      <c r="J5" s="446"/>
      <c r="K5" s="446"/>
      <c r="L5" s="446"/>
      <c r="M5" s="447"/>
    </row>
    <row r="6" spans="2:17" x14ac:dyDescent="0.25">
      <c r="B6" s="445"/>
      <c r="C6" s="446"/>
      <c r="D6" s="446"/>
      <c r="E6" s="446"/>
      <c r="F6" s="446"/>
      <c r="G6" s="446"/>
      <c r="H6" s="446"/>
      <c r="I6" s="446"/>
      <c r="J6" s="446"/>
      <c r="K6" s="446"/>
      <c r="L6" s="446"/>
      <c r="M6" s="447"/>
    </row>
    <row r="7" spans="2:17" x14ac:dyDescent="0.25">
      <c r="B7" s="445"/>
      <c r="C7" s="446"/>
      <c r="D7" s="446"/>
      <c r="E7" s="446"/>
      <c r="F7" s="446"/>
      <c r="G7" s="446"/>
      <c r="H7" s="446"/>
      <c r="I7" s="446"/>
      <c r="J7" s="446"/>
      <c r="K7" s="446"/>
      <c r="L7" s="446"/>
      <c r="M7" s="447"/>
    </row>
    <row r="8" spans="2:17" x14ac:dyDescent="0.25">
      <c r="B8" s="448"/>
      <c r="C8" s="449"/>
      <c r="D8" s="449"/>
      <c r="E8" s="449"/>
      <c r="F8" s="449"/>
      <c r="G8" s="449"/>
      <c r="H8" s="449"/>
      <c r="I8" s="449"/>
      <c r="J8" s="449"/>
      <c r="K8" s="449"/>
      <c r="L8" s="449"/>
      <c r="M8" s="450"/>
    </row>
    <row r="9" spans="2:17" x14ac:dyDescent="0.25">
      <c r="B9" s="57"/>
      <c r="C9" s="57"/>
      <c r="D9" s="57"/>
      <c r="E9" s="57"/>
      <c r="F9" s="57"/>
      <c r="G9" s="57"/>
      <c r="H9" s="57"/>
      <c r="I9" s="57"/>
      <c r="J9" s="57"/>
      <c r="K9" s="57"/>
      <c r="L9" s="57"/>
      <c r="M9" s="57"/>
    </row>
    <row r="10" spans="2:17" x14ac:dyDescent="0.25">
      <c r="B10" s="57"/>
      <c r="C10" s="57"/>
      <c r="D10" s="57"/>
      <c r="E10" s="54"/>
      <c r="F10" s="55"/>
      <c r="G10" s="55"/>
      <c r="H10" s="55"/>
      <c r="I10" s="55"/>
      <c r="J10" s="55"/>
      <c r="K10" s="56"/>
      <c r="L10" s="57"/>
      <c r="M10" s="57"/>
    </row>
    <row r="11" spans="2:17" x14ac:dyDescent="0.25">
      <c r="E11" s="73"/>
      <c r="F11" s="97"/>
      <c r="G11" s="97"/>
      <c r="H11" s="97"/>
      <c r="I11" s="97"/>
      <c r="J11" s="97"/>
      <c r="K11" s="74"/>
    </row>
    <row r="12" spans="2:17" x14ac:dyDescent="0.25">
      <c r="E12" s="73"/>
      <c r="F12" s="97"/>
      <c r="G12" s="97"/>
      <c r="H12" s="97"/>
      <c r="I12" s="97"/>
      <c r="J12" s="97"/>
      <c r="K12" s="74"/>
    </row>
    <row r="13" spans="2:17" x14ac:dyDescent="0.25">
      <c r="B13" s="27" t="s">
        <v>222</v>
      </c>
      <c r="C13" s="29" t="s">
        <v>223</v>
      </c>
      <c r="D13" s="20"/>
      <c r="E13" s="73"/>
      <c r="F13" s="97"/>
      <c r="G13" s="97"/>
      <c r="H13" s="97"/>
      <c r="I13" s="97"/>
      <c r="J13" s="97"/>
      <c r="K13" s="74"/>
    </row>
    <row r="14" spans="2:17" x14ac:dyDescent="0.25">
      <c r="B14" s="22">
        <v>6.8</v>
      </c>
      <c r="C14" s="23">
        <f>(B14-$G$14)^2</f>
        <v>2.4999999999998934E-5</v>
      </c>
      <c r="D14" s="20"/>
      <c r="E14" s="73"/>
      <c r="F14" s="112" t="s">
        <v>117</v>
      </c>
      <c r="G14" s="72">
        <f>AVERAGE(B14:B23)</f>
        <v>6.7949999999999999</v>
      </c>
      <c r="H14" s="97"/>
      <c r="I14" s="97"/>
      <c r="J14" s="97"/>
      <c r="K14" s="74"/>
      <c r="M14" s="112" t="s">
        <v>117</v>
      </c>
      <c r="N14" s="72">
        <f>AVERAGE(B14:B23)</f>
        <v>6.7949999999999999</v>
      </c>
      <c r="O14" s="97"/>
      <c r="P14" s="97"/>
      <c r="Q14" s="97"/>
    </row>
    <row r="15" spans="2:17" x14ac:dyDescent="0.25">
      <c r="B15" s="22">
        <v>6.78</v>
      </c>
      <c r="C15" s="23">
        <f t="shared" ref="C15:C23" si="0">(B15-$G$14)^2</f>
        <v>2.249999999999904E-4</v>
      </c>
      <c r="D15" s="20"/>
      <c r="E15" s="73"/>
      <c r="F15" s="113" t="s">
        <v>215</v>
      </c>
      <c r="G15" s="74">
        <f>TINV(0.05,9)</f>
        <v>2.2621571627982053</v>
      </c>
      <c r="H15" s="97"/>
      <c r="I15" s="97"/>
      <c r="J15" s="97"/>
      <c r="K15" s="74"/>
      <c r="M15" s="113" t="s">
        <v>215</v>
      </c>
      <c r="N15" s="74">
        <f>TINV(0.35,9)</f>
        <v>0.98577838370868953</v>
      </c>
      <c r="O15" s="97"/>
      <c r="P15" s="97"/>
      <c r="Q15" s="97"/>
    </row>
    <row r="16" spans="2:17" x14ac:dyDescent="0.25">
      <c r="B16" s="22">
        <v>6.77</v>
      </c>
      <c r="C16" s="23">
        <f t="shared" si="0"/>
        <v>6.2500000000001779E-4</v>
      </c>
      <c r="D16" s="20"/>
      <c r="E16" s="73"/>
      <c r="F16" s="113" t="s">
        <v>153</v>
      </c>
      <c r="G16" s="74">
        <f>SUM(C14:C23)/9</f>
        <v>2.2777777777777794E-4</v>
      </c>
      <c r="H16" s="97"/>
      <c r="I16" s="97"/>
      <c r="J16" s="97"/>
      <c r="K16" s="74"/>
      <c r="M16" s="113" t="s">
        <v>153</v>
      </c>
      <c r="N16" s="74">
        <f>SUM(C14:C23)/9</f>
        <v>2.2777777777777794E-4</v>
      </c>
      <c r="O16" s="97"/>
      <c r="P16" s="97"/>
      <c r="Q16" s="97"/>
    </row>
    <row r="17" spans="2:17" x14ac:dyDescent="0.25">
      <c r="B17" s="22">
        <v>6.8</v>
      </c>
      <c r="C17" s="23">
        <f t="shared" si="0"/>
        <v>2.4999999999998934E-5</v>
      </c>
      <c r="D17" s="20"/>
      <c r="E17" s="73"/>
      <c r="F17" s="113" t="s">
        <v>221</v>
      </c>
      <c r="G17" s="74">
        <f>SQRT(G16)</f>
        <v>1.5092308563562367E-2</v>
      </c>
      <c r="H17" s="97"/>
      <c r="I17" s="97"/>
      <c r="J17" s="97"/>
      <c r="K17" s="74"/>
      <c r="M17" s="113" t="s">
        <v>221</v>
      </c>
      <c r="N17" s="74">
        <f>SQRT(N16)</f>
        <v>1.5092308563562367E-2</v>
      </c>
      <c r="O17" s="97"/>
      <c r="P17" s="97"/>
      <c r="Q17" s="97"/>
    </row>
    <row r="18" spans="2:17" x14ac:dyDescent="0.25">
      <c r="B18" s="22">
        <v>6.78</v>
      </c>
      <c r="C18" s="23">
        <f t="shared" si="0"/>
        <v>2.249999999999904E-4</v>
      </c>
      <c r="D18" s="20"/>
      <c r="E18" s="73"/>
      <c r="F18" s="113" t="s">
        <v>216</v>
      </c>
      <c r="G18" s="74">
        <v>10</v>
      </c>
      <c r="H18" s="97"/>
      <c r="I18" s="71" t="s">
        <v>224</v>
      </c>
      <c r="J18" s="72">
        <f>CHIINV(0.025,9)</f>
        <v>19.022767798641635</v>
      </c>
      <c r="K18" s="74"/>
      <c r="M18" s="113" t="s">
        <v>216</v>
      </c>
      <c r="N18" s="74">
        <v>10</v>
      </c>
      <c r="O18" s="97"/>
      <c r="P18" s="71" t="s">
        <v>224</v>
      </c>
      <c r="Q18" s="72">
        <f>CHIINV(0.175,9)</f>
        <v>12.734342480540191</v>
      </c>
    </row>
    <row r="19" spans="2:17" x14ac:dyDescent="0.25">
      <c r="B19" s="22">
        <v>6.8</v>
      </c>
      <c r="C19" s="23">
        <f t="shared" si="0"/>
        <v>2.4999999999998934E-5</v>
      </c>
      <c r="D19" s="20"/>
      <c r="E19" s="73"/>
      <c r="F19" s="114" t="s">
        <v>217</v>
      </c>
      <c r="G19" s="76">
        <f>SQRT(G18)</f>
        <v>3.1622776601683795</v>
      </c>
      <c r="H19" s="97"/>
      <c r="I19" s="75" t="s">
        <v>225</v>
      </c>
      <c r="J19" s="76">
        <f>CHIINV(0.975,9)</f>
        <v>2.7003894999803584</v>
      </c>
      <c r="K19" s="74"/>
      <c r="M19" s="114" t="s">
        <v>217</v>
      </c>
      <c r="N19" s="76">
        <f>SQRT(N18)</f>
        <v>3.1622776601683795</v>
      </c>
      <c r="O19" s="97"/>
      <c r="P19" s="75" t="s">
        <v>225</v>
      </c>
      <c r="Q19" s="76">
        <f>CHIINV(0.825,9)</f>
        <v>5.105682649352377</v>
      </c>
    </row>
    <row r="20" spans="2:17" x14ac:dyDescent="0.25">
      <c r="B20" s="22">
        <v>6.82</v>
      </c>
      <c r="C20" s="23">
        <f t="shared" si="0"/>
        <v>6.2500000000001779E-4</v>
      </c>
      <c r="D20" s="20"/>
      <c r="E20" s="73"/>
      <c r="F20" s="125"/>
      <c r="G20" s="97"/>
      <c r="H20" s="97"/>
      <c r="I20" s="97"/>
      <c r="J20" s="97"/>
      <c r="K20" s="74"/>
      <c r="M20" s="125"/>
      <c r="N20" s="97"/>
      <c r="O20" s="97"/>
      <c r="P20" s="97"/>
      <c r="Q20" s="97"/>
    </row>
    <row r="21" spans="2:17" x14ac:dyDescent="0.25">
      <c r="B21" s="22">
        <v>6.81</v>
      </c>
      <c r="C21" s="23">
        <f t="shared" si="0"/>
        <v>2.249999999999904E-4</v>
      </c>
      <c r="D21" s="20"/>
      <c r="E21" s="73"/>
      <c r="F21" s="115" t="s">
        <v>218</v>
      </c>
      <c r="G21" s="77">
        <f>G15*G17/G19</f>
        <v>1.0796387157984543E-2</v>
      </c>
      <c r="H21" s="97"/>
      <c r="I21" s="97"/>
      <c r="J21" s="97"/>
      <c r="K21" s="74"/>
      <c r="M21" s="115" t="s">
        <v>218</v>
      </c>
      <c r="N21" s="77">
        <f>N15*N17/N19</f>
        <v>4.7047328353289324E-3</v>
      </c>
      <c r="O21" s="97"/>
      <c r="P21" s="97"/>
      <c r="Q21" s="97"/>
    </row>
    <row r="22" spans="2:17" x14ac:dyDescent="0.25">
      <c r="B22" s="22">
        <v>6.8</v>
      </c>
      <c r="C22" s="23">
        <f t="shared" si="0"/>
        <v>2.4999999999998934E-5</v>
      </c>
      <c r="D22" s="20"/>
      <c r="E22" s="73"/>
      <c r="F22" s="125"/>
      <c r="G22" s="97"/>
      <c r="H22" s="97"/>
      <c r="I22" s="97"/>
      <c r="J22" s="97"/>
      <c r="K22" s="74"/>
      <c r="M22" s="125"/>
      <c r="N22" s="97"/>
      <c r="O22" s="97"/>
      <c r="P22" s="97"/>
      <c r="Q22" s="97"/>
    </row>
    <row r="23" spans="2:17" x14ac:dyDescent="0.25">
      <c r="B23" s="24">
        <v>6.79</v>
      </c>
      <c r="C23" s="26">
        <f t="shared" si="0"/>
        <v>2.4999999999998934E-5</v>
      </c>
      <c r="D23" s="20"/>
      <c r="E23" s="73"/>
      <c r="F23" s="71" t="s">
        <v>219</v>
      </c>
      <c r="G23" s="72">
        <f>G14-G21</f>
        <v>6.7842036128420151</v>
      </c>
      <c r="H23" s="97"/>
      <c r="I23" s="71" t="s">
        <v>219</v>
      </c>
      <c r="J23" s="72">
        <f>9*G16/J18</f>
        <v>1.0776560076322787E-4</v>
      </c>
      <c r="K23" s="74"/>
      <c r="M23" s="71" t="s">
        <v>219</v>
      </c>
      <c r="N23" s="72">
        <f>N14-N21</f>
        <v>6.7902952671646712</v>
      </c>
      <c r="O23" s="97"/>
      <c r="P23" s="71" t="s">
        <v>219</v>
      </c>
      <c r="Q23" s="72">
        <f>9*G16/Q18</f>
        <v>1.6098200618780911E-4</v>
      </c>
    </row>
    <row r="24" spans="2:17" x14ac:dyDescent="0.25">
      <c r="E24" s="73"/>
      <c r="F24" s="75" t="s">
        <v>220</v>
      </c>
      <c r="G24" s="76">
        <f>G14+G21</f>
        <v>6.8057963871579847</v>
      </c>
      <c r="H24" s="97"/>
      <c r="I24" s="75" t="s">
        <v>220</v>
      </c>
      <c r="J24" s="76">
        <f>9*G16/J19</f>
        <v>7.5914974488491837E-4</v>
      </c>
      <c r="K24" s="74"/>
      <c r="M24" s="75" t="s">
        <v>220</v>
      </c>
      <c r="N24" s="76">
        <f>N14+N21</f>
        <v>6.7997047328353286</v>
      </c>
      <c r="O24" s="97"/>
      <c r="P24" s="75" t="s">
        <v>220</v>
      </c>
      <c r="Q24" s="76">
        <f>9*G16/Q19</f>
        <v>4.0151340002693485E-4</v>
      </c>
    </row>
    <row r="25" spans="2:17" ht="15.75" thickBot="1" x14ac:dyDescent="0.3">
      <c r="E25" s="73"/>
      <c r="F25" s="97"/>
      <c r="G25" s="97"/>
      <c r="H25" s="97"/>
      <c r="I25" s="97"/>
      <c r="J25" s="97"/>
      <c r="K25" s="74"/>
    </row>
    <row r="26" spans="2:17" ht="15" customHeight="1" x14ac:dyDescent="0.25">
      <c r="E26" s="73"/>
      <c r="F26" s="61" t="s">
        <v>222</v>
      </c>
      <c r="G26" s="61"/>
      <c r="H26" s="97"/>
      <c r="I26" s="97"/>
      <c r="J26" s="97"/>
      <c r="K26" s="74"/>
      <c r="M26" s="487" t="s">
        <v>226</v>
      </c>
      <c r="N26" s="488"/>
      <c r="O26" s="488"/>
      <c r="P26" s="488"/>
      <c r="Q26" s="489"/>
    </row>
    <row r="27" spans="2:17" x14ac:dyDescent="0.25">
      <c r="E27" s="73"/>
      <c r="F27" s="62"/>
      <c r="G27" s="62"/>
      <c r="H27" s="97"/>
      <c r="I27" s="97"/>
      <c r="J27" s="97"/>
      <c r="K27" s="74"/>
      <c r="M27" s="490"/>
      <c r="N27" s="491"/>
      <c r="O27" s="491"/>
      <c r="P27" s="491"/>
      <c r="Q27" s="492"/>
    </row>
    <row r="28" spans="2:17" x14ac:dyDescent="0.25">
      <c r="E28" s="73"/>
      <c r="F28" s="62" t="s">
        <v>35</v>
      </c>
      <c r="G28" s="62">
        <v>6.7949999999999999</v>
      </c>
      <c r="H28" s="97"/>
      <c r="I28" s="97"/>
      <c r="J28" s="97"/>
      <c r="K28" s="74"/>
      <c r="M28" s="490"/>
      <c r="N28" s="491"/>
      <c r="O28" s="491"/>
      <c r="P28" s="491"/>
      <c r="Q28" s="492"/>
    </row>
    <row r="29" spans="2:17" x14ac:dyDescent="0.25">
      <c r="E29" s="73"/>
      <c r="F29" s="62" t="s">
        <v>36</v>
      </c>
      <c r="G29" s="62">
        <v>4.7726070210921193E-3</v>
      </c>
      <c r="H29" s="97"/>
      <c r="I29" s="97"/>
      <c r="J29" s="97"/>
      <c r="K29" s="74"/>
      <c r="M29" s="490"/>
      <c r="N29" s="491"/>
      <c r="O29" s="491"/>
      <c r="P29" s="491"/>
      <c r="Q29" s="492"/>
    </row>
    <row r="30" spans="2:17" x14ac:dyDescent="0.25">
      <c r="E30" s="73"/>
      <c r="F30" s="62" t="s">
        <v>37</v>
      </c>
      <c r="G30" s="62">
        <v>6.8</v>
      </c>
      <c r="H30" s="97"/>
      <c r="I30" s="97"/>
      <c r="J30" s="97"/>
      <c r="K30" s="74"/>
      <c r="M30" s="490"/>
      <c r="N30" s="491"/>
      <c r="O30" s="491"/>
      <c r="P30" s="491"/>
      <c r="Q30" s="492"/>
    </row>
    <row r="31" spans="2:17" x14ac:dyDescent="0.25">
      <c r="E31" s="73"/>
      <c r="F31" s="62" t="s">
        <v>38</v>
      </c>
      <c r="G31" s="62">
        <v>6.8</v>
      </c>
      <c r="H31" s="97"/>
      <c r="I31" s="97"/>
      <c r="J31" s="97"/>
      <c r="K31" s="74"/>
      <c r="M31" s="490"/>
      <c r="N31" s="491"/>
      <c r="O31" s="491"/>
      <c r="P31" s="491"/>
      <c r="Q31" s="492"/>
    </row>
    <row r="32" spans="2:17" x14ac:dyDescent="0.25">
      <c r="E32" s="73"/>
      <c r="F32" s="62" t="s">
        <v>39</v>
      </c>
      <c r="G32" s="62">
        <v>1.5092308563562367E-2</v>
      </c>
      <c r="H32" s="97"/>
      <c r="I32" s="97"/>
      <c r="J32" s="97"/>
      <c r="K32" s="74"/>
      <c r="M32" s="493"/>
      <c r="N32" s="494"/>
      <c r="O32" s="494"/>
      <c r="P32" s="494"/>
      <c r="Q32" s="495"/>
    </row>
    <row r="33" spans="5:17" x14ac:dyDescent="0.25">
      <c r="E33" s="73"/>
      <c r="F33" s="62" t="s">
        <v>40</v>
      </c>
      <c r="G33" s="62">
        <v>2.2777777777777794E-4</v>
      </c>
      <c r="H33" s="97"/>
      <c r="I33" s="97"/>
      <c r="J33" s="97"/>
      <c r="K33" s="74"/>
      <c r="M33" s="127"/>
      <c r="N33" s="127"/>
      <c r="O33" s="127"/>
      <c r="P33" s="127"/>
      <c r="Q33" s="127"/>
    </row>
    <row r="34" spans="5:17" x14ac:dyDescent="0.25">
      <c r="E34" s="73"/>
      <c r="F34" s="62" t="s">
        <v>41</v>
      </c>
      <c r="G34" s="62">
        <v>-0.40078184753960411</v>
      </c>
      <c r="H34" s="97"/>
      <c r="I34" s="97"/>
      <c r="J34" s="97"/>
      <c r="K34" s="74"/>
      <c r="M34" s="127"/>
      <c r="N34" s="127"/>
      <c r="O34" s="127"/>
      <c r="P34" s="127"/>
      <c r="Q34" s="127"/>
    </row>
    <row r="35" spans="5:17" x14ac:dyDescent="0.25">
      <c r="E35" s="73"/>
      <c r="F35" s="62" t="s">
        <v>42</v>
      </c>
      <c r="G35" s="62">
        <v>-0.12120533349677506</v>
      </c>
      <c r="H35" s="97"/>
      <c r="I35" s="97"/>
      <c r="J35" s="97"/>
      <c r="K35" s="74"/>
      <c r="M35" s="127"/>
      <c r="N35" s="127"/>
      <c r="O35" s="127"/>
      <c r="P35" s="127"/>
      <c r="Q35" s="127"/>
    </row>
    <row r="36" spans="5:17" x14ac:dyDescent="0.25">
      <c r="E36" s="73"/>
      <c r="F36" s="62" t="s">
        <v>43</v>
      </c>
      <c r="G36" s="62">
        <v>5.0000000000000711E-2</v>
      </c>
      <c r="H36" s="97"/>
      <c r="I36" s="97"/>
      <c r="J36" s="97"/>
      <c r="K36" s="74"/>
    </row>
    <row r="37" spans="5:17" x14ac:dyDescent="0.25">
      <c r="E37" s="73"/>
      <c r="F37" s="62" t="s">
        <v>44</v>
      </c>
      <c r="G37" s="62">
        <v>6.77</v>
      </c>
      <c r="H37" s="97"/>
      <c r="I37" s="97"/>
      <c r="J37" s="97"/>
      <c r="K37" s="74"/>
    </row>
    <row r="38" spans="5:17" x14ac:dyDescent="0.25">
      <c r="E38" s="73"/>
      <c r="F38" s="62" t="s">
        <v>45</v>
      </c>
      <c r="G38" s="62">
        <v>6.82</v>
      </c>
      <c r="H38" s="97"/>
      <c r="I38" s="97"/>
      <c r="J38" s="97"/>
      <c r="K38" s="74"/>
    </row>
    <row r="39" spans="5:17" x14ac:dyDescent="0.25">
      <c r="E39" s="73"/>
      <c r="F39" s="62" t="s">
        <v>46</v>
      </c>
      <c r="G39" s="62">
        <v>67.95</v>
      </c>
      <c r="H39" s="97"/>
      <c r="I39" s="97"/>
      <c r="J39" s="97"/>
      <c r="K39" s="74"/>
    </row>
    <row r="40" spans="5:17" x14ac:dyDescent="0.25">
      <c r="E40" s="73"/>
      <c r="F40" s="62" t="s">
        <v>47</v>
      </c>
      <c r="G40" s="62">
        <v>10</v>
      </c>
      <c r="H40" s="97"/>
      <c r="I40" s="97"/>
      <c r="J40" s="97"/>
      <c r="K40" s="74"/>
    </row>
    <row r="41" spans="5:17" ht="15.75" thickBot="1" x14ac:dyDescent="0.3">
      <c r="E41" s="73"/>
      <c r="F41" s="63" t="s">
        <v>124</v>
      </c>
      <c r="G41" s="63">
        <v>1.0796387157984541E-2</v>
      </c>
      <c r="H41" s="97"/>
      <c r="I41" s="97"/>
      <c r="J41" s="97"/>
      <c r="K41" s="74"/>
    </row>
    <row r="42" spans="5:17" x14ac:dyDescent="0.25">
      <c r="E42" s="75"/>
      <c r="F42" s="126"/>
      <c r="G42" s="126"/>
      <c r="H42" s="126"/>
      <c r="I42" s="126"/>
      <c r="J42" s="126"/>
      <c r="K42" s="76"/>
    </row>
  </sheetData>
  <mergeCells count="2">
    <mergeCell ref="M26:Q32"/>
    <mergeCell ref="B2:M8"/>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2:K46"/>
  <sheetViews>
    <sheetView topLeftCell="A23" workbookViewId="0">
      <selection activeCell="G54" sqref="G54"/>
    </sheetView>
  </sheetViews>
  <sheetFormatPr baseColWidth="10" defaultColWidth="11" defaultRowHeight="12.75" x14ac:dyDescent="0.2"/>
  <cols>
    <col min="1" max="1" width="11" style="141"/>
    <col min="2" max="3" width="9.28515625" style="141" bestFit="1" customWidth="1"/>
    <col min="4" max="5" width="12" style="141" bestFit="1" customWidth="1"/>
    <col min="6" max="7" width="27.140625" style="141" bestFit="1" customWidth="1"/>
    <col min="8" max="8" width="3.28515625" style="141" customWidth="1"/>
    <col min="9" max="10" width="23.7109375" style="141" bestFit="1" customWidth="1"/>
    <col min="11" max="257" width="11" style="141"/>
    <col min="258" max="259" width="3.85546875" style="141" bestFit="1" customWidth="1"/>
    <col min="260" max="260" width="15.42578125" style="141" bestFit="1" customWidth="1"/>
    <col min="261" max="261" width="30.5703125" style="141" bestFit="1" customWidth="1"/>
    <col min="262" max="262" width="28.85546875" style="141" customWidth="1"/>
    <col min="263" max="263" width="33" style="141" bestFit="1" customWidth="1"/>
    <col min="264" max="264" width="11" style="141"/>
    <col min="265" max="265" width="24.7109375" style="141" bestFit="1" customWidth="1"/>
    <col min="266" max="266" width="34.28515625" style="141" bestFit="1" customWidth="1"/>
    <col min="267" max="513" width="11" style="141"/>
    <col min="514" max="515" width="3.85546875" style="141" bestFit="1" customWidth="1"/>
    <col min="516" max="516" width="15.42578125" style="141" bestFit="1" customWidth="1"/>
    <col min="517" max="517" width="30.5703125" style="141" bestFit="1" customWidth="1"/>
    <col min="518" max="518" width="28.85546875" style="141" customWidth="1"/>
    <col min="519" max="519" width="33" style="141" bestFit="1" customWidth="1"/>
    <col min="520" max="520" width="11" style="141"/>
    <col min="521" max="521" width="24.7109375" style="141" bestFit="1" customWidth="1"/>
    <col min="522" max="522" width="34.28515625" style="141" bestFit="1" customWidth="1"/>
    <col min="523" max="769" width="11" style="141"/>
    <col min="770" max="771" width="3.85546875" style="141" bestFit="1" customWidth="1"/>
    <col min="772" max="772" width="15.42578125" style="141" bestFit="1" customWidth="1"/>
    <col min="773" max="773" width="30.5703125" style="141" bestFit="1" customWidth="1"/>
    <col min="774" max="774" width="28.85546875" style="141" customWidth="1"/>
    <col min="775" max="775" width="33" style="141" bestFit="1" customWidth="1"/>
    <col min="776" max="776" width="11" style="141"/>
    <col min="777" max="777" width="24.7109375" style="141" bestFit="1" customWidth="1"/>
    <col min="778" max="778" width="34.28515625" style="141" bestFit="1" customWidth="1"/>
    <col min="779" max="1025" width="11" style="141"/>
    <col min="1026" max="1027" width="3.85546875" style="141" bestFit="1" customWidth="1"/>
    <col min="1028" max="1028" width="15.42578125" style="141" bestFit="1" customWidth="1"/>
    <col min="1029" max="1029" width="30.5703125" style="141" bestFit="1" customWidth="1"/>
    <col min="1030" max="1030" width="28.85546875" style="141" customWidth="1"/>
    <col min="1031" max="1031" width="33" style="141" bestFit="1" customWidth="1"/>
    <col min="1032" max="1032" width="11" style="141"/>
    <col min="1033" max="1033" width="24.7109375" style="141" bestFit="1" customWidth="1"/>
    <col min="1034" max="1034" width="34.28515625" style="141" bestFit="1" customWidth="1"/>
    <col min="1035" max="1281" width="11" style="141"/>
    <col min="1282" max="1283" width="3.85546875" style="141" bestFit="1" customWidth="1"/>
    <col min="1284" max="1284" width="15.42578125" style="141" bestFit="1" customWidth="1"/>
    <col min="1285" max="1285" width="30.5703125" style="141" bestFit="1" customWidth="1"/>
    <col min="1286" max="1286" width="28.85546875" style="141" customWidth="1"/>
    <col min="1287" max="1287" width="33" style="141" bestFit="1" customWidth="1"/>
    <col min="1288" max="1288" width="11" style="141"/>
    <col min="1289" max="1289" width="24.7109375" style="141" bestFit="1" customWidth="1"/>
    <col min="1290" max="1290" width="34.28515625" style="141" bestFit="1" customWidth="1"/>
    <col min="1291" max="1537" width="11" style="141"/>
    <col min="1538" max="1539" width="3.85546875" style="141" bestFit="1" customWidth="1"/>
    <col min="1540" max="1540" width="15.42578125" style="141" bestFit="1" customWidth="1"/>
    <col min="1541" max="1541" width="30.5703125" style="141" bestFit="1" customWidth="1"/>
    <col min="1542" max="1542" width="28.85546875" style="141" customWidth="1"/>
    <col min="1543" max="1543" width="33" style="141" bestFit="1" customWidth="1"/>
    <col min="1544" max="1544" width="11" style="141"/>
    <col min="1545" max="1545" width="24.7109375" style="141" bestFit="1" customWidth="1"/>
    <col min="1546" max="1546" width="34.28515625" style="141" bestFit="1" customWidth="1"/>
    <col min="1547" max="1793" width="11" style="141"/>
    <col min="1794" max="1795" width="3.85546875" style="141" bestFit="1" customWidth="1"/>
    <col min="1796" max="1796" width="15.42578125" style="141" bestFit="1" customWidth="1"/>
    <col min="1797" max="1797" width="30.5703125" style="141" bestFit="1" customWidth="1"/>
    <col min="1798" max="1798" width="28.85546875" style="141" customWidth="1"/>
    <col min="1799" max="1799" width="33" style="141" bestFit="1" customWidth="1"/>
    <col min="1800" max="1800" width="11" style="141"/>
    <col min="1801" max="1801" width="24.7109375" style="141" bestFit="1" customWidth="1"/>
    <col min="1802" max="1802" width="34.28515625" style="141" bestFit="1" customWidth="1"/>
    <col min="1803" max="2049" width="11" style="141"/>
    <col min="2050" max="2051" width="3.85546875" style="141" bestFit="1" customWidth="1"/>
    <col min="2052" max="2052" width="15.42578125" style="141" bestFit="1" customWidth="1"/>
    <col min="2053" max="2053" width="30.5703125" style="141" bestFit="1" customWidth="1"/>
    <col min="2054" max="2054" width="28.85546875" style="141" customWidth="1"/>
    <col min="2055" max="2055" width="33" style="141" bestFit="1" customWidth="1"/>
    <col min="2056" max="2056" width="11" style="141"/>
    <col min="2057" max="2057" width="24.7109375" style="141" bestFit="1" customWidth="1"/>
    <col min="2058" max="2058" width="34.28515625" style="141" bestFit="1" customWidth="1"/>
    <col min="2059" max="2305" width="11" style="141"/>
    <col min="2306" max="2307" width="3.85546875" style="141" bestFit="1" customWidth="1"/>
    <col min="2308" max="2308" width="15.42578125" style="141" bestFit="1" customWidth="1"/>
    <col min="2309" max="2309" width="30.5703125" style="141" bestFit="1" customWidth="1"/>
    <col min="2310" max="2310" width="28.85546875" style="141" customWidth="1"/>
    <col min="2311" max="2311" width="33" style="141" bestFit="1" customWidth="1"/>
    <col min="2312" max="2312" width="11" style="141"/>
    <col min="2313" max="2313" width="24.7109375" style="141" bestFit="1" customWidth="1"/>
    <col min="2314" max="2314" width="34.28515625" style="141" bestFit="1" customWidth="1"/>
    <col min="2315" max="2561" width="11" style="141"/>
    <col min="2562" max="2563" width="3.85546875" style="141" bestFit="1" customWidth="1"/>
    <col min="2564" max="2564" width="15.42578125" style="141" bestFit="1" customWidth="1"/>
    <col min="2565" max="2565" width="30.5703125" style="141" bestFit="1" customWidth="1"/>
    <col min="2566" max="2566" width="28.85546875" style="141" customWidth="1"/>
    <col min="2567" max="2567" width="33" style="141" bestFit="1" customWidth="1"/>
    <col min="2568" max="2568" width="11" style="141"/>
    <col min="2569" max="2569" width="24.7109375" style="141" bestFit="1" customWidth="1"/>
    <col min="2570" max="2570" width="34.28515625" style="141" bestFit="1" customWidth="1"/>
    <col min="2571" max="2817" width="11" style="141"/>
    <col min="2818" max="2819" width="3.85546875" style="141" bestFit="1" customWidth="1"/>
    <col min="2820" max="2820" width="15.42578125" style="141" bestFit="1" customWidth="1"/>
    <col min="2821" max="2821" width="30.5703125" style="141" bestFit="1" customWidth="1"/>
    <col min="2822" max="2822" width="28.85546875" style="141" customWidth="1"/>
    <col min="2823" max="2823" width="33" style="141" bestFit="1" customWidth="1"/>
    <col min="2824" max="2824" width="11" style="141"/>
    <col min="2825" max="2825" width="24.7109375" style="141" bestFit="1" customWidth="1"/>
    <col min="2826" max="2826" width="34.28515625" style="141" bestFit="1" customWidth="1"/>
    <col min="2827" max="3073" width="11" style="141"/>
    <col min="3074" max="3075" width="3.85546875" style="141" bestFit="1" customWidth="1"/>
    <col min="3076" max="3076" width="15.42578125" style="141" bestFit="1" customWidth="1"/>
    <col min="3077" max="3077" width="30.5703125" style="141" bestFit="1" customWidth="1"/>
    <col min="3078" max="3078" width="28.85546875" style="141" customWidth="1"/>
    <col min="3079" max="3079" width="33" style="141" bestFit="1" customWidth="1"/>
    <col min="3080" max="3080" width="11" style="141"/>
    <col min="3081" max="3081" width="24.7109375" style="141" bestFit="1" customWidth="1"/>
    <col min="3082" max="3082" width="34.28515625" style="141" bestFit="1" customWidth="1"/>
    <col min="3083" max="3329" width="11" style="141"/>
    <col min="3330" max="3331" width="3.85546875" style="141" bestFit="1" customWidth="1"/>
    <col min="3332" max="3332" width="15.42578125" style="141" bestFit="1" customWidth="1"/>
    <col min="3333" max="3333" width="30.5703125" style="141" bestFit="1" customWidth="1"/>
    <col min="3334" max="3334" width="28.85546875" style="141" customWidth="1"/>
    <col min="3335" max="3335" width="33" style="141" bestFit="1" customWidth="1"/>
    <col min="3336" max="3336" width="11" style="141"/>
    <col min="3337" max="3337" width="24.7109375" style="141" bestFit="1" customWidth="1"/>
    <col min="3338" max="3338" width="34.28515625" style="141" bestFit="1" customWidth="1"/>
    <col min="3339" max="3585" width="11" style="141"/>
    <col min="3586" max="3587" width="3.85546875" style="141" bestFit="1" customWidth="1"/>
    <col min="3588" max="3588" width="15.42578125" style="141" bestFit="1" customWidth="1"/>
    <col min="3589" max="3589" width="30.5703125" style="141" bestFit="1" customWidth="1"/>
    <col min="3590" max="3590" width="28.85546875" style="141" customWidth="1"/>
    <col min="3591" max="3591" width="33" style="141" bestFit="1" customWidth="1"/>
    <col min="3592" max="3592" width="11" style="141"/>
    <col min="3593" max="3593" width="24.7109375" style="141" bestFit="1" customWidth="1"/>
    <col min="3594" max="3594" width="34.28515625" style="141" bestFit="1" customWidth="1"/>
    <col min="3595" max="3841" width="11" style="141"/>
    <col min="3842" max="3843" width="3.85546875" style="141" bestFit="1" customWidth="1"/>
    <col min="3844" max="3844" width="15.42578125" style="141" bestFit="1" customWidth="1"/>
    <col min="3845" max="3845" width="30.5703125" style="141" bestFit="1" customWidth="1"/>
    <col min="3846" max="3846" width="28.85546875" style="141" customWidth="1"/>
    <col min="3847" max="3847" width="33" style="141" bestFit="1" customWidth="1"/>
    <col min="3848" max="3848" width="11" style="141"/>
    <col min="3849" max="3849" width="24.7109375" style="141" bestFit="1" customWidth="1"/>
    <col min="3850" max="3850" width="34.28515625" style="141" bestFit="1" customWidth="1"/>
    <col min="3851" max="4097" width="11" style="141"/>
    <col min="4098" max="4099" width="3.85546875" style="141" bestFit="1" customWidth="1"/>
    <col min="4100" max="4100" width="15.42578125" style="141" bestFit="1" customWidth="1"/>
    <col min="4101" max="4101" width="30.5703125" style="141" bestFit="1" customWidth="1"/>
    <col min="4102" max="4102" width="28.85546875" style="141" customWidth="1"/>
    <col min="4103" max="4103" width="33" style="141" bestFit="1" customWidth="1"/>
    <col min="4104" max="4104" width="11" style="141"/>
    <col min="4105" max="4105" width="24.7109375" style="141" bestFit="1" customWidth="1"/>
    <col min="4106" max="4106" width="34.28515625" style="141" bestFit="1" customWidth="1"/>
    <col min="4107" max="4353" width="11" style="141"/>
    <col min="4354" max="4355" width="3.85546875" style="141" bestFit="1" customWidth="1"/>
    <col min="4356" max="4356" width="15.42578125" style="141" bestFit="1" customWidth="1"/>
    <col min="4357" max="4357" width="30.5703125" style="141" bestFit="1" customWidth="1"/>
    <col min="4358" max="4358" width="28.85546875" style="141" customWidth="1"/>
    <col min="4359" max="4359" width="33" style="141" bestFit="1" customWidth="1"/>
    <col min="4360" max="4360" width="11" style="141"/>
    <col min="4361" max="4361" width="24.7109375" style="141" bestFit="1" customWidth="1"/>
    <col min="4362" max="4362" width="34.28515625" style="141" bestFit="1" customWidth="1"/>
    <col min="4363" max="4609" width="11" style="141"/>
    <col min="4610" max="4611" width="3.85546875" style="141" bestFit="1" customWidth="1"/>
    <col min="4612" max="4612" width="15.42578125" style="141" bestFit="1" customWidth="1"/>
    <col min="4613" max="4613" width="30.5703125" style="141" bestFit="1" customWidth="1"/>
    <col min="4614" max="4614" width="28.85546875" style="141" customWidth="1"/>
    <col min="4615" max="4615" width="33" style="141" bestFit="1" customWidth="1"/>
    <col min="4616" max="4616" width="11" style="141"/>
    <col min="4617" max="4617" width="24.7109375" style="141" bestFit="1" customWidth="1"/>
    <col min="4618" max="4618" width="34.28515625" style="141" bestFit="1" customWidth="1"/>
    <col min="4619" max="4865" width="11" style="141"/>
    <col min="4866" max="4867" width="3.85546875" style="141" bestFit="1" customWidth="1"/>
    <col min="4868" max="4868" width="15.42578125" style="141" bestFit="1" customWidth="1"/>
    <col min="4869" max="4869" width="30.5703125" style="141" bestFit="1" customWidth="1"/>
    <col min="4870" max="4870" width="28.85546875" style="141" customWidth="1"/>
    <col min="4871" max="4871" width="33" style="141" bestFit="1" customWidth="1"/>
    <col min="4872" max="4872" width="11" style="141"/>
    <col min="4873" max="4873" width="24.7109375" style="141" bestFit="1" customWidth="1"/>
    <col min="4874" max="4874" width="34.28515625" style="141" bestFit="1" customWidth="1"/>
    <col min="4875" max="5121" width="11" style="141"/>
    <col min="5122" max="5123" width="3.85546875" style="141" bestFit="1" customWidth="1"/>
    <col min="5124" max="5124" width="15.42578125" style="141" bestFit="1" customWidth="1"/>
    <col min="5125" max="5125" width="30.5703125" style="141" bestFit="1" customWidth="1"/>
    <col min="5126" max="5126" width="28.85546875" style="141" customWidth="1"/>
    <col min="5127" max="5127" width="33" style="141" bestFit="1" customWidth="1"/>
    <col min="5128" max="5128" width="11" style="141"/>
    <col min="5129" max="5129" width="24.7109375" style="141" bestFit="1" customWidth="1"/>
    <col min="5130" max="5130" width="34.28515625" style="141" bestFit="1" customWidth="1"/>
    <col min="5131" max="5377" width="11" style="141"/>
    <col min="5378" max="5379" width="3.85546875" style="141" bestFit="1" customWidth="1"/>
    <col min="5380" max="5380" width="15.42578125" style="141" bestFit="1" customWidth="1"/>
    <col min="5381" max="5381" width="30.5703125" style="141" bestFit="1" customWidth="1"/>
    <col min="5382" max="5382" width="28.85546875" style="141" customWidth="1"/>
    <col min="5383" max="5383" width="33" style="141" bestFit="1" customWidth="1"/>
    <col min="5384" max="5384" width="11" style="141"/>
    <col min="5385" max="5385" width="24.7109375" style="141" bestFit="1" customWidth="1"/>
    <col min="5386" max="5386" width="34.28515625" style="141" bestFit="1" customWidth="1"/>
    <col min="5387" max="5633" width="11" style="141"/>
    <col min="5634" max="5635" width="3.85546875" style="141" bestFit="1" customWidth="1"/>
    <col min="5636" max="5636" width="15.42578125" style="141" bestFit="1" customWidth="1"/>
    <col min="5637" max="5637" width="30.5703125" style="141" bestFit="1" customWidth="1"/>
    <col min="5638" max="5638" width="28.85546875" style="141" customWidth="1"/>
    <col min="5639" max="5639" width="33" style="141" bestFit="1" customWidth="1"/>
    <col min="5640" max="5640" width="11" style="141"/>
    <col min="5641" max="5641" width="24.7109375" style="141" bestFit="1" customWidth="1"/>
    <col min="5642" max="5642" width="34.28515625" style="141" bestFit="1" customWidth="1"/>
    <col min="5643" max="5889" width="11" style="141"/>
    <col min="5890" max="5891" width="3.85546875" style="141" bestFit="1" customWidth="1"/>
    <col min="5892" max="5892" width="15.42578125" style="141" bestFit="1" customWidth="1"/>
    <col min="5893" max="5893" width="30.5703125" style="141" bestFit="1" customWidth="1"/>
    <col min="5894" max="5894" width="28.85546875" style="141" customWidth="1"/>
    <col min="5895" max="5895" width="33" style="141" bestFit="1" customWidth="1"/>
    <col min="5896" max="5896" width="11" style="141"/>
    <col min="5897" max="5897" width="24.7109375" style="141" bestFit="1" customWidth="1"/>
    <col min="5898" max="5898" width="34.28515625" style="141" bestFit="1" customWidth="1"/>
    <col min="5899" max="6145" width="11" style="141"/>
    <col min="6146" max="6147" width="3.85546875" style="141" bestFit="1" customWidth="1"/>
    <col min="6148" max="6148" width="15.42578125" style="141" bestFit="1" customWidth="1"/>
    <col min="6149" max="6149" width="30.5703125" style="141" bestFit="1" customWidth="1"/>
    <col min="6150" max="6150" width="28.85546875" style="141" customWidth="1"/>
    <col min="6151" max="6151" width="33" style="141" bestFit="1" customWidth="1"/>
    <col min="6152" max="6152" width="11" style="141"/>
    <col min="6153" max="6153" width="24.7109375" style="141" bestFit="1" customWidth="1"/>
    <col min="6154" max="6154" width="34.28515625" style="141" bestFit="1" customWidth="1"/>
    <col min="6155" max="6401" width="11" style="141"/>
    <col min="6402" max="6403" width="3.85546875" style="141" bestFit="1" customWidth="1"/>
    <col min="6404" max="6404" width="15.42578125" style="141" bestFit="1" customWidth="1"/>
    <col min="6405" max="6405" width="30.5703125" style="141" bestFit="1" customWidth="1"/>
    <col min="6406" max="6406" width="28.85546875" style="141" customWidth="1"/>
    <col min="6407" max="6407" width="33" style="141" bestFit="1" customWidth="1"/>
    <col min="6408" max="6408" width="11" style="141"/>
    <col min="6409" max="6409" width="24.7109375" style="141" bestFit="1" customWidth="1"/>
    <col min="6410" max="6410" width="34.28515625" style="141" bestFit="1" customWidth="1"/>
    <col min="6411" max="6657" width="11" style="141"/>
    <col min="6658" max="6659" width="3.85546875" style="141" bestFit="1" customWidth="1"/>
    <col min="6660" max="6660" width="15.42578125" style="141" bestFit="1" customWidth="1"/>
    <col min="6661" max="6661" width="30.5703125" style="141" bestFit="1" customWidth="1"/>
    <col min="6662" max="6662" width="28.85546875" style="141" customWidth="1"/>
    <col min="6663" max="6663" width="33" style="141" bestFit="1" customWidth="1"/>
    <col min="6664" max="6664" width="11" style="141"/>
    <col min="6665" max="6665" width="24.7109375" style="141" bestFit="1" customWidth="1"/>
    <col min="6666" max="6666" width="34.28515625" style="141" bestFit="1" customWidth="1"/>
    <col min="6667" max="6913" width="11" style="141"/>
    <col min="6914" max="6915" width="3.85546875" style="141" bestFit="1" customWidth="1"/>
    <col min="6916" max="6916" width="15.42578125" style="141" bestFit="1" customWidth="1"/>
    <col min="6917" max="6917" width="30.5703125" style="141" bestFit="1" customWidth="1"/>
    <col min="6918" max="6918" width="28.85546875" style="141" customWidth="1"/>
    <col min="6919" max="6919" width="33" style="141" bestFit="1" customWidth="1"/>
    <col min="6920" max="6920" width="11" style="141"/>
    <col min="6921" max="6921" width="24.7109375" style="141" bestFit="1" customWidth="1"/>
    <col min="6922" max="6922" width="34.28515625" style="141" bestFit="1" customWidth="1"/>
    <col min="6923" max="7169" width="11" style="141"/>
    <col min="7170" max="7171" width="3.85546875" style="141" bestFit="1" customWidth="1"/>
    <col min="7172" max="7172" width="15.42578125" style="141" bestFit="1" customWidth="1"/>
    <col min="7173" max="7173" width="30.5703125" style="141" bestFit="1" customWidth="1"/>
    <col min="7174" max="7174" width="28.85546875" style="141" customWidth="1"/>
    <col min="7175" max="7175" width="33" style="141" bestFit="1" customWidth="1"/>
    <col min="7176" max="7176" width="11" style="141"/>
    <col min="7177" max="7177" width="24.7109375" style="141" bestFit="1" customWidth="1"/>
    <col min="7178" max="7178" width="34.28515625" style="141" bestFit="1" customWidth="1"/>
    <col min="7179" max="7425" width="11" style="141"/>
    <col min="7426" max="7427" width="3.85546875" style="141" bestFit="1" customWidth="1"/>
    <col min="7428" max="7428" width="15.42578125" style="141" bestFit="1" customWidth="1"/>
    <col min="7429" max="7429" width="30.5703125" style="141" bestFit="1" customWidth="1"/>
    <col min="7430" max="7430" width="28.85546875" style="141" customWidth="1"/>
    <col min="7431" max="7431" width="33" style="141" bestFit="1" customWidth="1"/>
    <col min="7432" max="7432" width="11" style="141"/>
    <col min="7433" max="7433" width="24.7109375" style="141" bestFit="1" customWidth="1"/>
    <col min="7434" max="7434" width="34.28515625" style="141" bestFit="1" customWidth="1"/>
    <col min="7435" max="7681" width="11" style="141"/>
    <col min="7682" max="7683" width="3.85546875" style="141" bestFit="1" customWidth="1"/>
    <col min="7684" max="7684" width="15.42578125" style="141" bestFit="1" customWidth="1"/>
    <col min="7685" max="7685" width="30.5703125" style="141" bestFit="1" customWidth="1"/>
    <col min="7686" max="7686" width="28.85546875" style="141" customWidth="1"/>
    <col min="7687" max="7687" width="33" style="141" bestFit="1" customWidth="1"/>
    <col min="7688" max="7688" width="11" style="141"/>
    <col min="7689" max="7689" width="24.7109375" style="141" bestFit="1" customWidth="1"/>
    <col min="7690" max="7690" width="34.28515625" style="141" bestFit="1" customWidth="1"/>
    <col min="7691" max="7937" width="11" style="141"/>
    <col min="7938" max="7939" width="3.85546875" style="141" bestFit="1" customWidth="1"/>
    <col min="7940" max="7940" width="15.42578125" style="141" bestFit="1" customWidth="1"/>
    <col min="7941" max="7941" width="30.5703125" style="141" bestFit="1" customWidth="1"/>
    <col min="7942" max="7942" width="28.85546875" style="141" customWidth="1"/>
    <col min="7943" max="7943" width="33" style="141" bestFit="1" customWidth="1"/>
    <col min="7944" max="7944" width="11" style="141"/>
    <col min="7945" max="7945" width="24.7109375" style="141" bestFit="1" customWidth="1"/>
    <col min="7946" max="7946" width="34.28515625" style="141" bestFit="1" customWidth="1"/>
    <col min="7947" max="8193" width="11" style="141"/>
    <col min="8194" max="8195" width="3.85546875" style="141" bestFit="1" customWidth="1"/>
    <col min="8196" max="8196" width="15.42578125" style="141" bestFit="1" customWidth="1"/>
    <col min="8197" max="8197" width="30.5703125" style="141" bestFit="1" customWidth="1"/>
    <col min="8198" max="8198" width="28.85546875" style="141" customWidth="1"/>
    <col min="8199" max="8199" width="33" style="141" bestFit="1" customWidth="1"/>
    <col min="8200" max="8200" width="11" style="141"/>
    <col min="8201" max="8201" width="24.7109375" style="141" bestFit="1" customWidth="1"/>
    <col min="8202" max="8202" width="34.28515625" style="141" bestFit="1" customWidth="1"/>
    <col min="8203" max="8449" width="11" style="141"/>
    <col min="8450" max="8451" width="3.85546875" style="141" bestFit="1" customWidth="1"/>
    <col min="8452" max="8452" width="15.42578125" style="141" bestFit="1" customWidth="1"/>
    <col min="8453" max="8453" width="30.5703125" style="141" bestFit="1" customWidth="1"/>
    <col min="8454" max="8454" width="28.85546875" style="141" customWidth="1"/>
    <col min="8455" max="8455" width="33" style="141" bestFit="1" customWidth="1"/>
    <col min="8456" max="8456" width="11" style="141"/>
    <col min="8457" max="8457" width="24.7109375" style="141" bestFit="1" customWidth="1"/>
    <col min="8458" max="8458" width="34.28515625" style="141" bestFit="1" customWidth="1"/>
    <col min="8459" max="8705" width="11" style="141"/>
    <col min="8706" max="8707" width="3.85546875" style="141" bestFit="1" customWidth="1"/>
    <col min="8708" max="8708" width="15.42578125" style="141" bestFit="1" customWidth="1"/>
    <col min="8709" max="8709" width="30.5703125" style="141" bestFit="1" customWidth="1"/>
    <col min="8710" max="8710" width="28.85546875" style="141" customWidth="1"/>
    <col min="8711" max="8711" width="33" style="141" bestFit="1" customWidth="1"/>
    <col min="8712" max="8712" width="11" style="141"/>
    <col min="8713" max="8713" width="24.7109375" style="141" bestFit="1" customWidth="1"/>
    <col min="8714" max="8714" width="34.28515625" style="141" bestFit="1" customWidth="1"/>
    <col min="8715" max="8961" width="11" style="141"/>
    <col min="8962" max="8963" width="3.85546875" style="141" bestFit="1" customWidth="1"/>
    <col min="8964" max="8964" width="15.42578125" style="141" bestFit="1" customWidth="1"/>
    <col min="8965" max="8965" width="30.5703125" style="141" bestFit="1" customWidth="1"/>
    <col min="8966" max="8966" width="28.85546875" style="141" customWidth="1"/>
    <col min="8967" max="8967" width="33" style="141" bestFit="1" customWidth="1"/>
    <col min="8968" max="8968" width="11" style="141"/>
    <col min="8969" max="8969" width="24.7109375" style="141" bestFit="1" customWidth="1"/>
    <col min="8970" max="8970" width="34.28515625" style="141" bestFit="1" customWidth="1"/>
    <col min="8971" max="9217" width="11" style="141"/>
    <col min="9218" max="9219" width="3.85546875" style="141" bestFit="1" customWidth="1"/>
    <col min="9220" max="9220" width="15.42578125" style="141" bestFit="1" customWidth="1"/>
    <col min="9221" max="9221" width="30.5703125" style="141" bestFit="1" customWidth="1"/>
    <col min="9222" max="9222" width="28.85546875" style="141" customWidth="1"/>
    <col min="9223" max="9223" width="33" style="141" bestFit="1" customWidth="1"/>
    <col min="9224" max="9224" width="11" style="141"/>
    <col min="9225" max="9225" width="24.7109375" style="141" bestFit="1" customWidth="1"/>
    <col min="9226" max="9226" width="34.28515625" style="141" bestFit="1" customWidth="1"/>
    <col min="9227" max="9473" width="11" style="141"/>
    <col min="9474" max="9475" width="3.85546875" style="141" bestFit="1" customWidth="1"/>
    <col min="9476" max="9476" width="15.42578125" style="141" bestFit="1" customWidth="1"/>
    <col min="9477" max="9477" width="30.5703125" style="141" bestFit="1" customWidth="1"/>
    <col min="9478" max="9478" width="28.85546875" style="141" customWidth="1"/>
    <col min="9479" max="9479" width="33" style="141" bestFit="1" customWidth="1"/>
    <col min="9480" max="9480" width="11" style="141"/>
    <col min="9481" max="9481" width="24.7109375" style="141" bestFit="1" customWidth="1"/>
    <col min="9482" max="9482" width="34.28515625" style="141" bestFit="1" customWidth="1"/>
    <col min="9483" max="9729" width="11" style="141"/>
    <col min="9730" max="9731" width="3.85546875" style="141" bestFit="1" customWidth="1"/>
    <col min="9732" max="9732" width="15.42578125" style="141" bestFit="1" customWidth="1"/>
    <col min="9733" max="9733" width="30.5703125" style="141" bestFit="1" customWidth="1"/>
    <col min="9734" max="9734" width="28.85546875" style="141" customWidth="1"/>
    <col min="9735" max="9735" width="33" style="141" bestFit="1" customWidth="1"/>
    <col min="9736" max="9736" width="11" style="141"/>
    <col min="9737" max="9737" width="24.7109375" style="141" bestFit="1" customWidth="1"/>
    <col min="9738" max="9738" width="34.28515625" style="141" bestFit="1" customWidth="1"/>
    <col min="9739" max="9985" width="11" style="141"/>
    <col min="9986" max="9987" width="3.85546875" style="141" bestFit="1" customWidth="1"/>
    <col min="9988" max="9988" width="15.42578125" style="141" bestFit="1" customWidth="1"/>
    <col min="9989" max="9989" width="30.5703125" style="141" bestFit="1" customWidth="1"/>
    <col min="9990" max="9990" width="28.85546875" style="141" customWidth="1"/>
    <col min="9991" max="9991" width="33" style="141" bestFit="1" customWidth="1"/>
    <col min="9992" max="9992" width="11" style="141"/>
    <col min="9993" max="9993" width="24.7109375" style="141" bestFit="1" customWidth="1"/>
    <col min="9994" max="9994" width="34.28515625" style="141" bestFit="1" customWidth="1"/>
    <col min="9995" max="10241" width="11" style="141"/>
    <col min="10242" max="10243" width="3.85546875" style="141" bestFit="1" customWidth="1"/>
    <col min="10244" max="10244" width="15.42578125" style="141" bestFit="1" customWidth="1"/>
    <col min="10245" max="10245" width="30.5703125" style="141" bestFit="1" customWidth="1"/>
    <col min="10246" max="10246" width="28.85546875" style="141" customWidth="1"/>
    <col min="10247" max="10247" width="33" style="141" bestFit="1" customWidth="1"/>
    <col min="10248" max="10248" width="11" style="141"/>
    <col min="10249" max="10249" width="24.7109375" style="141" bestFit="1" customWidth="1"/>
    <col min="10250" max="10250" width="34.28515625" style="141" bestFit="1" customWidth="1"/>
    <col min="10251" max="10497" width="11" style="141"/>
    <col min="10498" max="10499" width="3.85546875" style="141" bestFit="1" customWidth="1"/>
    <col min="10500" max="10500" width="15.42578125" style="141" bestFit="1" customWidth="1"/>
    <col min="10501" max="10501" width="30.5703125" style="141" bestFit="1" customWidth="1"/>
    <col min="10502" max="10502" width="28.85546875" style="141" customWidth="1"/>
    <col min="10503" max="10503" width="33" style="141" bestFit="1" customWidth="1"/>
    <col min="10504" max="10504" width="11" style="141"/>
    <col min="10505" max="10505" width="24.7109375" style="141" bestFit="1" customWidth="1"/>
    <col min="10506" max="10506" width="34.28515625" style="141" bestFit="1" customWidth="1"/>
    <col min="10507" max="10753" width="11" style="141"/>
    <col min="10754" max="10755" width="3.85546875" style="141" bestFit="1" customWidth="1"/>
    <col min="10756" max="10756" width="15.42578125" style="141" bestFit="1" customWidth="1"/>
    <col min="10757" max="10757" width="30.5703125" style="141" bestFit="1" customWidth="1"/>
    <col min="10758" max="10758" width="28.85546875" style="141" customWidth="1"/>
    <col min="10759" max="10759" width="33" style="141" bestFit="1" customWidth="1"/>
    <col min="10760" max="10760" width="11" style="141"/>
    <col min="10761" max="10761" width="24.7109375" style="141" bestFit="1" customWidth="1"/>
    <col min="10762" max="10762" width="34.28515625" style="141" bestFit="1" customWidth="1"/>
    <col min="10763" max="11009" width="11" style="141"/>
    <col min="11010" max="11011" width="3.85546875" style="141" bestFit="1" customWidth="1"/>
    <col min="11012" max="11012" width="15.42578125" style="141" bestFit="1" customWidth="1"/>
    <col min="11013" max="11013" width="30.5703125" style="141" bestFit="1" customWidth="1"/>
    <col min="11014" max="11014" width="28.85546875" style="141" customWidth="1"/>
    <col min="11015" max="11015" width="33" style="141" bestFit="1" customWidth="1"/>
    <col min="11016" max="11016" width="11" style="141"/>
    <col min="11017" max="11017" width="24.7109375" style="141" bestFit="1" customWidth="1"/>
    <col min="11018" max="11018" width="34.28515625" style="141" bestFit="1" customWidth="1"/>
    <col min="11019" max="11265" width="11" style="141"/>
    <col min="11266" max="11267" width="3.85546875" style="141" bestFit="1" customWidth="1"/>
    <col min="11268" max="11268" width="15.42578125" style="141" bestFit="1" customWidth="1"/>
    <col min="11269" max="11269" width="30.5703125" style="141" bestFit="1" customWidth="1"/>
    <col min="11270" max="11270" width="28.85546875" style="141" customWidth="1"/>
    <col min="11271" max="11271" width="33" style="141" bestFit="1" customWidth="1"/>
    <col min="11272" max="11272" width="11" style="141"/>
    <col min="11273" max="11273" width="24.7109375" style="141" bestFit="1" customWidth="1"/>
    <col min="11274" max="11274" width="34.28515625" style="141" bestFit="1" customWidth="1"/>
    <col min="11275" max="11521" width="11" style="141"/>
    <col min="11522" max="11523" width="3.85546875" style="141" bestFit="1" customWidth="1"/>
    <col min="11524" max="11524" width="15.42578125" style="141" bestFit="1" customWidth="1"/>
    <col min="11525" max="11525" width="30.5703125" style="141" bestFit="1" customWidth="1"/>
    <col min="11526" max="11526" width="28.85546875" style="141" customWidth="1"/>
    <col min="11527" max="11527" width="33" style="141" bestFit="1" customWidth="1"/>
    <col min="11528" max="11528" width="11" style="141"/>
    <col min="11529" max="11529" width="24.7109375" style="141" bestFit="1" customWidth="1"/>
    <col min="11530" max="11530" width="34.28515625" style="141" bestFit="1" customWidth="1"/>
    <col min="11531" max="11777" width="11" style="141"/>
    <col min="11778" max="11779" width="3.85546875" style="141" bestFit="1" customWidth="1"/>
    <col min="11780" max="11780" width="15.42578125" style="141" bestFit="1" customWidth="1"/>
    <col min="11781" max="11781" width="30.5703125" style="141" bestFit="1" customWidth="1"/>
    <col min="11782" max="11782" width="28.85546875" style="141" customWidth="1"/>
    <col min="11783" max="11783" width="33" style="141" bestFit="1" customWidth="1"/>
    <col min="11784" max="11784" width="11" style="141"/>
    <col min="11785" max="11785" width="24.7109375" style="141" bestFit="1" customWidth="1"/>
    <col min="11786" max="11786" width="34.28515625" style="141" bestFit="1" customWidth="1"/>
    <col min="11787" max="12033" width="11" style="141"/>
    <col min="12034" max="12035" width="3.85546875" style="141" bestFit="1" customWidth="1"/>
    <col min="12036" max="12036" width="15.42578125" style="141" bestFit="1" customWidth="1"/>
    <col min="12037" max="12037" width="30.5703125" style="141" bestFit="1" customWidth="1"/>
    <col min="12038" max="12038" width="28.85546875" style="141" customWidth="1"/>
    <col min="12039" max="12039" width="33" style="141" bestFit="1" customWidth="1"/>
    <col min="12040" max="12040" width="11" style="141"/>
    <col min="12041" max="12041" width="24.7109375" style="141" bestFit="1" customWidth="1"/>
    <col min="12042" max="12042" width="34.28515625" style="141" bestFit="1" customWidth="1"/>
    <col min="12043" max="12289" width="11" style="141"/>
    <col min="12290" max="12291" width="3.85546875" style="141" bestFit="1" customWidth="1"/>
    <col min="12292" max="12292" width="15.42578125" style="141" bestFit="1" customWidth="1"/>
    <col min="12293" max="12293" width="30.5703125" style="141" bestFit="1" customWidth="1"/>
    <col min="12294" max="12294" width="28.85546875" style="141" customWidth="1"/>
    <col min="12295" max="12295" width="33" style="141" bestFit="1" customWidth="1"/>
    <col min="12296" max="12296" width="11" style="141"/>
    <col min="12297" max="12297" width="24.7109375" style="141" bestFit="1" customWidth="1"/>
    <col min="12298" max="12298" width="34.28515625" style="141" bestFit="1" customWidth="1"/>
    <col min="12299" max="12545" width="11" style="141"/>
    <col min="12546" max="12547" width="3.85546875" style="141" bestFit="1" customWidth="1"/>
    <col min="12548" max="12548" width="15.42578125" style="141" bestFit="1" customWidth="1"/>
    <col min="12549" max="12549" width="30.5703125" style="141" bestFit="1" customWidth="1"/>
    <col min="12550" max="12550" width="28.85546875" style="141" customWidth="1"/>
    <col min="12551" max="12551" width="33" style="141" bestFit="1" customWidth="1"/>
    <col min="12552" max="12552" width="11" style="141"/>
    <col min="12553" max="12553" width="24.7109375" style="141" bestFit="1" customWidth="1"/>
    <col min="12554" max="12554" width="34.28515625" style="141" bestFit="1" customWidth="1"/>
    <col min="12555" max="12801" width="11" style="141"/>
    <col min="12802" max="12803" width="3.85546875" style="141" bestFit="1" customWidth="1"/>
    <col min="12804" max="12804" width="15.42578125" style="141" bestFit="1" customWidth="1"/>
    <col min="12805" max="12805" width="30.5703125" style="141" bestFit="1" customWidth="1"/>
    <col min="12806" max="12806" width="28.85546875" style="141" customWidth="1"/>
    <col min="12807" max="12807" width="33" style="141" bestFit="1" customWidth="1"/>
    <col min="12808" max="12808" width="11" style="141"/>
    <col min="12809" max="12809" width="24.7109375" style="141" bestFit="1" customWidth="1"/>
    <col min="12810" max="12810" width="34.28515625" style="141" bestFit="1" customWidth="1"/>
    <col min="12811" max="13057" width="11" style="141"/>
    <col min="13058" max="13059" width="3.85546875" style="141" bestFit="1" customWidth="1"/>
    <col min="13060" max="13060" width="15.42578125" style="141" bestFit="1" customWidth="1"/>
    <col min="13061" max="13061" width="30.5703125" style="141" bestFit="1" customWidth="1"/>
    <col min="13062" max="13062" width="28.85546875" style="141" customWidth="1"/>
    <col min="13063" max="13063" width="33" style="141" bestFit="1" customWidth="1"/>
    <col min="13064" max="13064" width="11" style="141"/>
    <col min="13065" max="13065" width="24.7109375" style="141" bestFit="1" customWidth="1"/>
    <col min="13066" max="13066" width="34.28515625" style="141" bestFit="1" customWidth="1"/>
    <col min="13067" max="13313" width="11" style="141"/>
    <col min="13314" max="13315" width="3.85546875" style="141" bestFit="1" customWidth="1"/>
    <col min="13316" max="13316" width="15.42578125" style="141" bestFit="1" customWidth="1"/>
    <col min="13317" max="13317" width="30.5703125" style="141" bestFit="1" customWidth="1"/>
    <col min="13318" max="13318" width="28.85546875" style="141" customWidth="1"/>
    <col min="13319" max="13319" width="33" style="141" bestFit="1" customWidth="1"/>
    <col min="13320" max="13320" width="11" style="141"/>
    <col min="13321" max="13321" width="24.7109375" style="141" bestFit="1" customWidth="1"/>
    <col min="13322" max="13322" width="34.28515625" style="141" bestFit="1" customWidth="1"/>
    <col min="13323" max="13569" width="11" style="141"/>
    <col min="13570" max="13571" width="3.85546875" style="141" bestFit="1" customWidth="1"/>
    <col min="13572" max="13572" width="15.42578125" style="141" bestFit="1" customWidth="1"/>
    <col min="13573" max="13573" width="30.5703125" style="141" bestFit="1" customWidth="1"/>
    <col min="13574" max="13574" width="28.85546875" style="141" customWidth="1"/>
    <col min="13575" max="13575" width="33" style="141" bestFit="1" customWidth="1"/>
    <col min="13576" max="13576" width="11" style="141"/>
    <col min="13577" max="13577" width="24.7109375" style="141" bestFit="1" customWidth="1"/>
    <col min="13578" max="13578" width="34.28515625" style="141" bestFit="1" customWidth="1"/>
    <col min="13579" max="13825" width="11" style="141"/>
    <col min="13826" max="13827" width="3.85546875" style="141" bestFit="1" customWidth="1"/>
    <col min="13828" max="13828" width="15.42578125" style="141" bestFit="1" customWidth="1"/>
    <col min="13829" max="13829" width="30.5703125" style="141" bestFit="1" customWidth="1"/>
    <col min="13830" max="13830" width="28.85546875" style="141" customWidth="1"/>
    <col min="13831" max="13831" width="33" style="141" bestFit="1" customWidth="1"/>
    <col min="13832" max="13832" width="11" style="141"/>
    <col min="13833" max="13833" width="24.7109375" style="141" bestFit="1" customWidth="1"/>
    <col min="13834" max="13834" width="34.28515625" style="141" bestFit="1" customWidth="1"/>
    <col min="13835" max="14081" width="11" style="141"/>
    <col min="14082" max="14083" width="3.85546875" style="141" bestFit="1" customWidth="1"/>
    <col min="14084" max="14084" width="15.42578125" style="141" bestFit="1" customWidth="1"/>
    <col min="14085" max="14085" width="30.5703125" style="141" bestFit="1" customWidth="1"/>
    <col min="14086" max="14086" width="28.85546875" style="141" customWidth="1"/>
    <col min="14087" max="14087" width="33" style="141" bestFit="1" customWidth="1"/>
    <col min="14088" max="14088" width="11" style="141"/>
    <col min="14089" max="14089" width="24.7109375" style="141" bestFit="1" customWidth="1"/>
    <col min="14090" max="14090" width="34.28515625" style="141" bestFit="1" customWidth="1"/>
    <col min="14091" max="14337" width="11" style="141"/>
    <col min="14338" max="14339" width="3.85546875" style="141" bestFit="1" customWidth="1"/>
    <col min="14340" max="14340" width="15.42578125" style="141" bestFit="1" customWidth="1"/>
    <col min="14341" max="14341" width="30.5703125" style="141" bestFit="1" customWidth="1"/>
    <col min="14342" max="14342" width="28.85546875" style="141" customWidth="1"/>
    <col min="14343" max="14343" width="33" style="141" bestFit="1" customWidth="1"/>
    <col min="14344" max="14344" width="11" style="141"/>
    <col min="14345" max="14345" width="24.7109375" style="141" bestFit="1" customWidth="1"/>
    <col min="14346" max="14346" width="34.28515625" style="141" bestFit="1" customWidth="1"/>
    <col min="14347" max="14593" width="11" style="141"/>
    <col min="14594" max="14595" width="3.85546875" style="141" bestFit="1" customWidth="1"/>
    <col min="14596" max="14596" width="15.42578125" style="141" bestFit="1" customWidth="1"/>
    <col min="14597" max="14597" width="30.5703125" style="141" bestFit="1" customWidth="1"/>
    <col min="14598" max="14598" width="28.85546875" style="141" customWidth="1"/>
    <col min="14599" max="14599" width="33" style="141" bestFit="1" customWidth="1"/>
    <col min="14600" max="14600" width="11" style="141"/>
    <col min="14601" max="14601" width="24.7109375" style="141" bestFit="1" customWidth="1"/>
    <col min="14602" max="14602" width="34.28515625" style="141" bestFit="1" customWidth="1"/>
    <col min="14603" max="14849" width="11" style="141"/>
    <col min="14850" max="14851" width="3.85546875" style="141" bestFit="1" customWidth="1"/>
    <col min="14852" max="14852" width="15.42578125" style="141" bestFit="1" customWidth="1"/>
    <col min="14853" max="14853" width="30.5703125" style="141" bestFit="1" customWidth="1"/>
    <col min="14854" max="14854" width="28.85546875" style="141" customWidth="1"/>
    <col min="14855" max="14855" width="33" style="141" bestFit="1" customWidth="1"/>
    <col min="14856" max="14856" width="11" style="141"/>
    <col min="14857" max="14857" width="24.7109375" style="141" bestFit="1" customWidth="1"/>
    <col min="14858" max="14858" width="34.28515625" style="141" bestFit="1" customWidth="1"/>
    <col min="14859" max="15105" width="11" style="141"/>
    <col min="15106" max="15107" width="3.85546875" style="141" bestFit="1" customWidth="1"/>
    <col min="15108" max="15108" width="15.42578125" style="141" bestFit="1" customWidth="1"/>
    <col min="15109" max="15109" width="30.5703125" style="141" bestFit="1" customWidth="1"/>
    <col min="15110" max="15110" width="28.85546875" style="141" customWidth="1"/>
    <col min="15111" max="15111" width="33" style="141" bestFit="1" customWidth="1"/>
    <col min="15112" max="15112" width="11" style="141"/>
    <col min="15113" max="15113" width="24.7109375" style="141" bestFit="1" customWidth="1"/>
    <col min="15114" max="15114" width="34.28515625" style="141" bestFit="1" customWidth="1"/>
    <col min="15115" max="15361" width="11" style="141"/>
    <col min="15362" max="15363" width="3.85546875" style="141" bestFit="1" customWidth="1"/>
    <col min="15364" max="15364" width="15.42578125" style="141" bestFit="1" customWidth="1"/>
    <col min="15365" max="15365" width="30.5703125" style="141" bestFit="1" customWidth="1"/>
    <col min="15366" max="15366" width="28.85546875" style="141" customWidth="1"/>
    <col min="15367" max="15367" width="33" style="141" bestFit="1" customWidth="1"/>
    <col min="15368" max="15368" width="11" style="141"/>
    <col min="15369" max="15369" width="24.7109375" style="141" bestFit="1" customWidth="1"/>
    <col min="15370" max="15370" width="34.28515625" style="141" bestFit="1" customWidth="1"/>
    <col min="15371" max="15617" width="11" style="141"/>
    <col min="15618" max="15619" width="3.85546875" style="141" bestFit="1" customWidth="1"/>
    <col min="15620" max="15620" width="15.42578125" style="141" bestFit="1" customWidth="1"/>
    <col min="15621" max="15621" width="30.5703125" style="141" bestFit="1" customWidth="1"/>
    <col min="15622" max="15622" width="28.85546875" style="141" customWidth="1"/>
    <col min="15623" max="15623" width="33" style="141" bestFit="1" customWidth="1"/>
    <col min="15624" max="15624" width="11" style="141"/>
    <col min="15625" max="15625" width="24.7109375" style="141" bestFit="1" customWidth="1"/>
    <col min="15626" max="15626" width="34.28515625" style="141" bestFit="1" customWidth="1"/>
    <col min="15627" max="15873" width="11" style="141"/>
    <col min="15874" max="15875" width="3.85546875" style="141" bestFit="1" customWidth="1"/>
    <col min="15876" max="15876" width="15.42578125" style="141" bestFit="1" customWidth="1"/>
    <col min="15877" max="15877" width="30.5703125" style="141" bestFit="1" customWidth="1"/>
    <col min="15878" max="15878" width="28.85546875" style="141" customWidth="1"/>
    <col min="15879" max="15879" width="33" style="141" bestFit="1" customWidth="1"/>
    <col min="15880" max="15880" width="11" style="141"/>
    <col min="15881" max="15881" width="24.7109375" style="141" bestFit="1" customWidth="1"/>
    <col min="15882" max="15882" width="34.28515625" style="141" bestFit="1" customWidth="1"/>
    <col min="15883" max="16129" width="11" style="141"/>
    <col min="16130" max="16131" width="3.85546875" style="141" bestFit="1" customWidth="1"/>
    <col min="16132" max="16132" width="15.42578125" style="141" bestFit="1" customWidth="1"/>
    <col min="16133" max="16133" width="30.5703125" style="141" bestFit="1" customWidth="1"/>
    <col min="16134" max="16134" width="28.85546875" style="141" customWidth="1"/>
    <col min="16135" max="16135" width="33" style="141" bestFit="1" customWidth="1"/>
    <col min="16136" max="16136" width="11" style="141"/>
    <col min="16137" max="16137" width="24.7109375" style="141" bestFit="1" customWidth="1"/>
    <col min="16138" max="16138" width="34.28515625" style="141" bestFit="1" customWidth="1"/>
    <col min="16139" max="16384" width="11" style="141"/>
  </cols>
  <sheetData>
    <row r="2" spans="2:11" x14ac:dyDescent="0.2">
      <c r="B2" s="413" t="s">
        <v>291</v>
      </c>
      <c r="C2" s="414"/>
      <c r="D2" s="414"/>
      <c r="E2" s="414"/>
      <c r="F2" s="414"/>
      <c r="G2" s="414"/>
      <c r="H2" s="414"/>
      <c r="I2" s="414"/>
      <c r="J2" s="414"/>
      <c r="K2" s="415"/>
    </row>
    <row r="3" spans="2:11" x14ac:dyDescent="0.2">
      <c r="B3" s="416"/>
      <c r="C3" s="417"/>
      <c r="D3" s="417"/>
      <c r="E3" s="417"/>
      <c r="F3" s="417"/>
      <c r="G3" s="417"/>
      <c r="H3" s="417"/>
      <c r="I3" s="417"/>
      <c r="J3" s="417"/>
      <c r="K3" s="418"/>
    </row>
    <row r="4" spans="2:11" x14ac:dyDescent="0.2">
      <c r="B4" s="416"/>
      <c r="C4" s="417"/>
      <c r="D4" s="417"/>
      <c r="E4" s="417"/>
      <c r="F4" s="417"/>
      <c r="G4" s="417"/>
      <c r="H4" s="417"/>
      <c r="I4" s="417"/>
      <c r="J4" s="417"/>
      <c r="K4" s="418"/>
    </row>
    <row r="5" spans="2:11" x14ac:dyDescent="0.2">
      <c r="B5" s="416"/>
      <c r="C5" s="417"/>
      <c r="D5" s="417"/>
      <c r="E5" s="417"/>
      <c r="F5" s="417"/>
      <c r="G5" s="417"/>
      <c r="H5" s="417"/>
      <c r="I5" s="417"/>
      <c r="J5" s="417"/>
      <c r="K5" s="418"/>
    </row>
    <row r="6" spans="2:11" x14ac:dyDescent="0.2">
      <c r="B6" s="416"/>
      <c r="C6" s="417"/>
      <c r="D6" s="417"/>
      <c r="E6" s="417"/>
      <c r="F6" s="417"/>
      <c r="G6" s="417"/>
      <c r="H6" s="417"/>
      <c r="I6" s="417"/>
      <c r="J6" s="417"/>
      <c r="K6" s="418"/>
    </row>
    <row r="7" spans="2:11" x14ac:dyDescent="0.2">
      <c r="B7" s="416"/>
      <c r="C7" s="417"/>
      <c r="D7" s="417"/>
      <c r="E7" s="417"/>
      <c r="F7" s="417"/>
      <c r="G7" s="417"/>
      <c r="H7" s="417"/>
      <c r="I7" s="417"/>
      <c r="J7" s="417"/>
      <c r="K7" s="418"/>
    </row>
    <row r="8" spans="2:11" x14ac:dyDescent="0.2">
      <c r="B8" s="416"/>
      <c r="C8" s="417"/>
      <c r="D8" s="417"/>
      <c r="E8" s="417"/>
      <c r="F8" s="417"/>
      <c r="G8" s="417"/>
      <c r="H8" s="417"/>
      <c r="I8" s="417"/>
      <c r="J8" s="417"/>
      <c r="K8" s="418"/>
    </row>
    <row r="9" spans="2:11" x14ac:dyDescent="0.2">
      <c r="B9" s="416"/>
      <c r="C9" s="417"/>
      <c r="D9" s="417"/>
      <c r="E9" s="417"/>
      <c r="F9" s="417"/>
      <c r="G9" s="417"/>
      <c r="H9" s="417"/>
      <c r="I9" s="417"/>
      <c r="J9" s="417"/>
      <c r="K9" s="418"/>
    </row>
    <row r="10" spans="2:11" x14ac:dyDescent="0.2">
      <c r="B10" s="416"/>
      <c r="C10" s="417"/>
      <c r="D10" s="417"/>
      <c r="E10" s="417"/>
      <c r="F10" s="417"/>
      <c r="G10" s="417"/>
      <c r="H10" s="417"/>
      <c r="I10" s="417"/>
      <c r="J10" s="417"/>
      <c r="K10" s="418"/>
    </row>
    <row r="11" spans="2:11" x14ac:dyDescent="0.2">
      <c r="B11" s="419"/>
      <c r="C11" s="420"/>
      <c r="D11" s="420"/>
      <c r="E11" s="420"/>
      <c r="F11" s="420"/>
      <c r="G11" s="420"/>
      <c r="H11" s="420"/>
      <c r="I11" s="420"/>
      <c r="J11" s="420"/>
      <c r="K11" s="421"/>
    </row>
    <row r="14" spans="2:11" x14ac:dyDescent="0.2">
      <c r="B14" s="149" t="s">
        <v>289</v>
      </c>
      <c r="C14" s="150" t="s">
        <v>290</v>
      </c>
      <c r="D14" s="141" t="s">
        <v>283</v>
      </c>
      <c r="E14" s="141" t="s">
        <v>284</v>
      </c>
      <c r="F14" s="147" t="s">
        <v>285</v>
      </c>
      <c r="G14" s="148" t="s">
        <v>286</v>
      </c>
      <c r="I14" s="147" t="s">
        <v>285</v>
      </c>
      <c r="J14" s="148" t="s">
        <v>286</v>
      </c>
    </row>
    <row r="15" spans="2:11" x14ac:dyDescent="0.2">
      <c r="B15" s="151">
        <v>100</v>
      </c>
      <c r="C15" s="152">
        <v>104</v>
      </c>
      <c r="D15" s="141">
        <f>SQRT((9*VAR(B$15:B$24)+9*VAR(C$15:C$24))/18)</f>
        <v>7.1071169338284497</v>
      </c>
      <c r="E15" s="141">
        <f>(VAR(B$15:B$24)/10+VAR(C$15:C$24)/10)^2/(((VAR(B$15:B$24)/10)^2+(VAR(C$15:C$24)/10)^2)/11)-2</f>
        <v>14.797365176863231</v>
      </c>
      <c r="F15" s="145">
        <f>AVERAGE(B$15:B$24)-AVERAGE(C$15:C$24)-TINV(0.05,18)*D15*SQRT(1/10+1/10)</f>
        <v>1.9224308209333447</v>
      </c>
      <c r="G15" s="146">
        <f>AVERAGE(B$15:B$24)-AVERAGE(C$15:C$24)+TINV(0.05,18)*D15*SQRT(1/10+1/10)</f>
        <v>15.277569179066644</v>
      </c>
      <c r="I15" s="147">
        <f>AVERAGE(B$15:B$24)-AVERAGE(C$15:C$24)-TINV(0.05,14)*SQRT(VAR(B$15:B$24)/10+VAR(C$15:C$24)/10)</f>
        <v>1.7830114546900404</v>
      </c>
      <c r="J15" s="148">
        <f>AVERAGE(B$15:B$24)-AVERAGE(C$15:C$24)+TINV(0.05,14)*SQRT(VAR(B$15:B$24)/10+VAR(C$15:C$24)/10)</f>
        <v>15.416988545309948</v>
      </c>
    </row>
    <row r="16" spans="2:11" x14ac:dyDescent="0.2">
      <c r="B16" s="151">
        <v>102</v>
      </c>
      <c r="C16" s="152">
        <v>88</v>
      </c>
    </row>
    <row r="17" spans="2:11" x14ac:dyDescent="0.2">
      <c r="B17" s="151">
        <v>96</v>
      </c>
      <c r="C17" s="152">
        <v>100</v>
      </c>
    </row>
    <row r="18" spans="2:11" x14ac:dyDescent="0.2">
      <c r="B18" s="151">
        <v>106</v>
      </c>
      <c r="C18" s="152">
        <v>98</v>
      </c>
      <c r="F18" s="147" t="s">
        <v>287</v>
      </c>
      <c r="G18" s="148" t="s">
        <v>288</v>
      </c>
    </row>
    <row r="19" spans="2:11" x14ac:dyDescent="0.2">
      <c r="B19" s="151">
        <v>110</v>
      </c>
      <c r="C19" s="152">
        <v>102</v>
      </c>
      <c r="F19" s="145">
        <f>(VAR(B$15:B$24)/VAR(C$15:C$24))/FINV(0.025,9,9)</f>
        <v>0.87181463681446603</v>
      </c>
      <c r="G19" s="146">
        <f>(VAR(B$15:B$24)/VAR(C$15:C$24))*FINV(0.025,9,9)</f>
        <v>14.130919972227362</v>
      </c>
    </row>
    <row r="20" spans="2:11" x14ac:dyDescent="0.2">
      <c r="B20" s="151">
        <v>110</v>
      </c>
      <c r="C20" s="152">
        <v>92</v>
      </c>
    </row>
    <row r="21" spans="2:11" x14ac:dyDescent="0.2">
      <c r="B21" s="151">
        <v>120</v>
      </c>
      <c r="C21" s="152">
        <v>96</v>
      </c>
    </row>
    <row r="22" spans="2:11" ht="12.75" customHeight="1" x14ac:dyDescent="0.2">
      <c r="B22" s="151">
        <v>112</v>
      </c>
      <c r="C22" s="152">
        <v>100</v>
      </c>
      <c r="H22" s="142"/>
      <c r="I22" s="142"/>
      <c r="J22" s="142"/>
      <c r="K22" s="142"/>
    </row>
    <row r="23" spans="2:11" x14ac:dyDescent="0.2">
      <c r="B23" s="151">
        <v>112</v>
      </c>
      <c r="C23" s="152">
        <v>96</v>
      </c>
      <c r="H23" s="142"/>
      <c r="I23" s="142"/>
      <c r="J23" s="142"/>
      <c r="K23" s="142"/>
    </row>
    <row r="24" spans="2:11" x14ac:dyDescent="0.2">
      <c r="B24" s="153">
        <v>90</v>
      </c>
      <c r="C24" s="154">
        <v>96</v>
      </c>
      <c r="H24" s="142"/>
      <c r="I24" s="142"/>
      <c r="J24" s="142"/>
      <c r="K24" s="142"/>
    </row>
    <row r="25" spans="2:11" x14ac:dyDescent="0.2">
      <c r="H25" s="142"/>
      <c r="I25" s="142"/>
      <c r="J25" s="142"/>
      <c r="K25" s="142"/>
    </row>
    <row r="26" spans="2:11" ht="12.75" customHeight="1" x14ac:dyDescent="0.2">
      <c r="H26" s="142"/>
      <c r="I26" s="496" t="s">
        <v>292</v>
      </c>
      <c r="J26" s="497"/>
      <c r="K26" s="498"/>
    </row>
    <row r="27" spans="2:11" x14ac:dyDescent="0.2">
      <c r="H27" s="142"/>
      <c r="I27" s="499"/>
      <c r="J27" s="500"/>
      <c r="K27" s="501"/>
    </row>
    <row r="28" spans="2:11" x14ac:dyDescent="0.2">
      <c r="H28" s="142"/>
      <c r="I28" s="499"/>
      <c r="J28" s="500"/>
      <c r="K28" s="501"/>
    </row>
    <row r="29" spans="2:11" x14ac:dyDescent="0.2">
      <c r="H29" s="142"/>
      <c r="I29" s="499"/>
      <c r="J29" s="500"/>
      <c r="K29" s="501"/>
    </row>
    <row r="30" spans="2:11" x14ac:dyDescent="0.2">
      <c r="H30" s="142"/>
      <c r="I30" s="499"/>
      <c r="J30" s="500"/>
      <c r="K30" s="501"/>
    </row>
    <row r="31" spans="2:11" x14ac:dyDescent="0.2">
      <c r="H31" s="142"/>
      <c r="I31" s="499"/>
      <c r="J31" s="500"/>
      <c r="K31" s="501"/>
    </row>
    <row r="32" spans="2:11" x14ac:dyDescent="0.2">
      <c r="I32" s="499"/>
      <c r="J32" s="500"/>
      <c r="K32" s="501"/>
    </row>
    <row r="33" spans="9:11" x14ac:dyDescent="0.2">
      <c r="I33" s="499"/>
      <c r="J33" s="500"/>
      <c r="K33" s="501"/>
    </row>
    <row r="34" spans="9:11" x14ac:dyDescent="0.2">
      <c r="I34" s="502"/>
      <c r="J34" s="503"/>
      <c r="K34" s="504"/>
    </row>
    <row r="38" spans="9:11" ht="12.75" customHeight="1" x14ac:dyDescent="0.2">
      <c r="I38" s="496" t="s">
        <v>293</v>
      </c>
      <c r="J38" s="497"/>
      <c r="K38" s="498"/>
    </row>
    <row r="39" spans="9:11" x14ac:dyDescent="0.2">
      <c r="I39" s="499"/>
      <c r="J39" s="500"/>
      <c r="K39" s="501"/>
    </row>
    <row r="40" spans="9:11" x14ac:dyDescent="0.2">
      <c r="I40" s="499"/>
      <c r="J40" s="500"/>
      <c r="K40" s="501"/>
    </row>
    <row r="41" spans="9:11" x14ac:dyDescent="0.2">
      <c r="I41" s="499"/>
      <c r="J41" s="500"/>
      <c r="K41" s="501"/>
    </row>
    <row r="42" spans="9:11" x14ac:dyDescent="0.2">
      <c r="I42" s="499"/>
      <c r="J42" s="500"/>
      <c r="K42" s="501"/>
    </row>
    <row r="43" spans="9:11" x14ac:dyDescent="0.2">
      <c r="I43" s="499"/>
      <c r="J43" s="500"/>
      <c r="K43" s="501"/>
    </row>
    <row r="44" spans="9:11" x14ac:dyDescent="0.2">
      <c r="I44" s="499"/>
      <c r="J44" s="500"/>
      <c r="K44" s="501"/>
    </row>
    <row r="45" spans="9:11" x14ac:dyDescent="0.2">
      <c r="I45" s="499"/>
      <c r="J45" s="500"/>
      <c r="K45" s="501"/>
    </row>
    <row r="46" spans="9:11" x14ac:dyDescent="0.2">
      <c r="I46" s="502"/>
      <c r="J46" s="503"/>
      <c r="K46" s="504"/>
    </row>
  </sheetData>
  <mergeCells count="3">
    <mergeCell ref="B2:K11"/>
    <mergeCell ref="I26:K34"/>
    <mergeCell ref="I38:K46"/>
  </mergeCells>
  <pageMargins left="0.75" right="0.75" top="1" bottom="1" header="0" footer="0"/>
  <pageSetup paperSize="9" orientation="portrait" horizontalDpi="2438" verticalDpi="2438"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2:K19"/>
  <sheetViews>
    <sheetView workbookViewId="0">
      <selection activeCell="G27" sqref="G27"/>
    </sheetView>
  </sheetViews>
  <sheetFormatPr baseColWidth="10" defaultColWidth="11" defaultRowHeight="12.75" x14ac:dyDescent="0.2"/>
  <cols>
    <col min="1" max="1" width="5.140625" style="140" customWidth="1"/>
    <col min="2" max="2" width="27.28515625" style="140" customWidth="1"/>
    <col min="3" max="3" width="38.85546875" style="140" bestFit="1" customWidth="1"/>
    <col min="4" max="257" width="11" style="140"/>
    <col min="258" max="258" width="27.28515625" style="140" bestFit="1" customWidth="1"/>
    <col min="259" max="259" width="38.85546875" style="140" bestFit="1" customWidth="1"/>
    <col min="260" max="513" width="11" style="140"/>
    <col min="514" max="514" width="27.28515625" style="140" bestFit="1" customWidth="1"/>
    <col min="515" max="515" width="38.85546875" style="140" bestFit="1" customWidth="1"/>
    <col min="516" max="769" width="11" style="140"/>
    <col min="770" max="770" width="27.28515625" style="140" bestFit="1" customWidth="1"/>
    <col min="771" max="771" width="38.85546875" style="140" bestFit="1" customWidth="1"/>
    <col min="772" max="1025" width="11" style="140"/>
    <col min="1026" max="1026" width="27.28515625" style="140" bestFit="1" customWidth="1"/>
    <col min="1027" max="1027" width="38.85546875" style="140" bestFit="1" customWidth="1"/>
    <col min="1028" max="1281" width="11" style="140"/>
    <col min="1282" max="1282" width="27.28515625" style="140" bestFit="1" customWidth="1"/>
    <col min="1283" max="1283" width="38.85546875" style="140" bestFit="1" customWidth="1"/>
    <col min="1284" max="1537" width="11" style="140"/>
    <col min="1538" max="1538" width="27.28515625" style="140" bestFit="1" customWidth="1"/>
    <col min="1539" max="1539" width="38.85546875" style="140" bestFit="1" customWidth="1"/>
    <col min="1540" max="1793" width="11" style="140"/>
    <col min="1794" max="1794" width="27.28515625" style="140" bestFit="1" customWidth="1"/>
    <col min="1795" max="1795" width="38.85546875" style="140" bestFit="1" customWidth="1"/>
    <col min="1796" max="2049" width="11" style="140"/>
    <col min="2050" max="2050" width="27.28515625" style="140" bestFit="1" customWidth="1"/>
    <col min="2051" max="2051" width="38.85546875" style="140" bestFit="1" customWidth="1"/>
    <col min="2052" max="2305" width="11" style="140"/>
    <col min="2306" max="2306" width="27.28515625" style="140" bestFit="1" customWidth="1"/>
    <col min="2307" max="2307" width="38.85546875" style="140" bestFit="1" customWidth="1"/>
    <col min="2308" max="2561" width="11" style="140"/>
    <col min="2562" max="2562" width="27.28515625" style="140" bestFit="1" customWidth="1"/>
    <col min="2563" max="2563" width="38.85546875" style="140" bestFit="1" customWidth="1"/>
    <col min="2564" max="2817" width="11" style="140"/>
    <col min="2818" max="2818" width="27.28515625" style="140" bestFit="1" customWidth="1"/>
    <col min="2819" max="2819" width="38.85546875" style="140" bestFit="1" customWidth="1"/>
    <col min="2820" max="3073" width="11" style="140"/>
    <col min="3074" max="3074" width="27.28515625" style="140" bestFit="1" customWidth="1"/>
    <col min="3075" max="3075" width="38.85546875" style="140" bestFit="1" customWidth="1"/>
    <col min="3076" max="3329" width="11" style="140"/>
    <col min="3330" max="3330" width="27.28515625" style="140" bestFit="1" customWidth="1"/>
    <col min="3331" max="3331" width="38.85546875" style="140" bestFit="1" customWidth="1"/>
    <col min="3332" max="3585" width="11" style="140"/>
    <col min="3586" max="3586" width="27.28515625" style="140" bestFit="1" customWidth="1"/>
    <col min="3587" max="3587" width="38.85546875" style="140" bestFit="1" customWidth="1"/>
    <col min="3588" max="3841" width="11" style="140"/>
    <col min="3842" max="3842" width="27.28515625" style="140" bestFit="1" customWidth="1"/>
    <col min="3843" max="3843" width="38.85546875" style="140" bestFit="1" customWidth="1"/>
    <col min="3844" max="4097" width="11" style="140"/>
    <col min="4098" max="4098" width="27.28515625" style="140" bestFit="1" customWidth="1"/>
    <col min="4099" max="4099" width="38.85546875" style="140" bestFit="1" customWidth="1"/>
    <col min="4100" max="4353" width="11" style="140"/>
    <col min="4354" max="4354" width="27.28515625" style="140" bestFit="1" customWidth="1"/>
    <col min="4355" max="4355" width="38.85546875" style="140" bestFit="1" customWidth="1"/>
    <col min="4356" max="4609" width="11" style="140"/>
    <col min="4610" max="4610" width="27.28515625" style="140" bestFit="1" customWidth="1"/>
    <col min="4611" max="4611" width="38.85546875" style="140" bestFit="1" customWidth="1"/>
    <col min="4612" max="4865" width="11" style="140"/>
    <col min="4866" max="4866" width="27.28515625" style="140" bestFit="1" customWidth="1"/>
    <col min="4867" max="4867" width="38.85546875" style="140" bestFit="1" customWidth="1"/>
    <col min="4868" max="5121" width="11" style="140"/>
    <col min="5122" max="5122" width="27.28515625" style="140" bestFit="1" customWidth="1"/>
    <col min="5123" max="5123" width="38.85546875" style="140" bestFit="1" customWidth="1"/>
    <col min="5124" max="5377" width="11" style="140"/>
    <col min="5378" max="5378" width="27.28515625" style="140" bestFit="1" customWidth="1"/>
    <col min="5379" max="5379" width="38.85546875" style="140" bestFit="1" customWidth="1"/>
    <col min="5380" max="5633" width="11" style="140"/>
    <col min="5634" max="5634" width="27.28515625" style="140" bestFit="1" customWidth="1"/>
    <col min="5635" max="5635" width="38.85546875" style="140" bestFit="1" customWidth="1"/>
    <col min="5636" max="5889" width="11" style="140"/>
    <col min="5890" max="5890" width="27.28515625" style="140" bestFit="1" customWidth="1"/>
    <col min="5891" max="5891" width="38.85546875" style="140" bestFit="1" customWidth="1"/>
    <col min="5892" max="6145" width="11" style="140"/>
    <col min="6146" max="6146" width="27.28515625" style="140" bestFit="1" customWidth="1"/>
    <col min="6147" max="6147" width="38.85546875" style="140" bestFit="1" customWidth="1"/>
    <col min="6148" max="6401" width="11" style="140"/>
    <col min="6402" max="6402" width="27.28515625" style="140" bestFit="1" customWidth="1"/>
    <col min="6403" max="6403" width="38.85546875" style="140" bestFit="1" customWidth="1"/>
    <col min="6404" max="6657" width="11" style="140"/>
    <col min="6658" max="6658" width="27.28515625" style="140" bestFit="1" customWidth="1"/>
    <col min="6659" max="6659" width="38.85546875" style="140" bestFit="1" customWidth="1"/>
    <col min="6660" max="6913" width="11" style="140"/>
    <col min="6914" max="6914" width="27.28515625" style="140" bestFit="1" customWidth="1"/>
    <col min="6915" max="6915" width="38.85546875" style="140" bestFit="1" customWidth="1"/>
    <col min="6916" max="7169" width="11" style="140"/>
    <col min="7170" max="7170" width="27.28515625" style="140" bestFit="1" customWidth="1"/>
    <col min="7171" max="7171" width="38.85546875" style="140" bestFit="1" customWidth="1"/>
    <col min="7172" max="7425" width="11" style="140"/>
    <col min="7426" max="7426" width="27.28515625" style="140" bestFit="1" customWidth="1"/>
    <col min="7427" max="7427" width="38.85546875" style="140" bestFit="1" customWidth="1"/>
    <col min="7428" max="7681" width="11" style="140"/>
    <col min="7682" max="7682" width="27.28515625" style="140" bestFit="1" customWidth="1"/>
    <col min="7683" max="7683" width="38.85546875" style="140" bestFit="1" customWidth="1"/>
    <col min="7684" max="7937" width="11" style="140"/>
    <col min="7938" max="7938" width="27.28515625" style="140" bestFit="1" customWidth="1"/>
    <col min="7939" max="7939" width="38.85546875" style="140" bestFit="1" customWidth="1"/>
    <col min="7940" max="8193" width="11" style="140"/>
    <col min="8194" max="8194" width="27.28515625" style="140" bestFit="1" customWidth="1"/>
    <col min="8195" max="8195" width="38.85546875" style="140" bestFit="1" customWidth="1"/>
    <col min="8196" max="8449" width="11" style="140"/>
    <col min="8450" max="8450" width="27.28515625" style="140" bestFit="1" customWidth="1"/>
    <col min="8451" max="8451" width="38.85546875" style="140" bestFit="1" customWidth="1"/>
    <col min="8452" max="8705" width="11" style="140"/>
    <col min="8706" max="8706" width="27.28515625" style="140" bestFit="1" customWidth="1"/>
    <col min="8707" max="8707" width="38.85546875" style="140" bestFit="1" customWidth="1"/>
    <col min="8708" max="8961" width="11" style="140"/>
    <col min="8962" max="8962" width="27.28515625" style="140" bestFit="1" customWidth="1"/>
    <col min="8963" max="8963" width="38.85546875" style="140" bestFit="1" customWidth="1"/>
    <col min="8964" max="9217" width="11" style="140"/>
    <col min="9218" max="9218" width="27.28515625" style="140" bestFit="1" customWidth="1"/>
    <col min="9219" max="9219" width="38.85546875" style="140" bestFit="1" customWidth="1"/>
    <col min="9220" max="9473" width="11" style="140"/>
    <col min="9474" max="9474" width="27.28515625" style="140" bestFit="1" customWidth="1"/>
    <col min="9475" max="9475" width="38.85546875" style="140" bestFit="1" customWidth="1"/>
    <col min="9476" max="9729" width="11" style="140"/>
    <col min="9730" max="9730" width="27.28515625" style="140" bestFit="1" customWidth="1"/>
    <col min="9731" max="9731" width="38.85546875" style="140" bestFit="1" customWidth="1"/>
    <col min="9732" max="9985" width="11" style="140"/>
    <col min="9986" max="9986" width="27.28515625" style="140" bestFit="1" customWidth="1"/>
    <col min="9987" max="9987" width="38.85546875" style="140" bestFit="1" customWidth="1"/>
    <col min="9988" max="10241" width="11" style="140"/>
    <col min="10242" max="10242" width="27.28515625" style="140" bestFit="1" customWidth="1"/>
    <col min="10243" max="10243" width="38.85546875" style="140" bestFit="1" customWidth="1"/>
    <col min="10244" max="10497" width="11" style="140"/>
    <col min="10498" max="10498" width="27.28515625" style="140" bestFit="1" customWidth="1"/>
    <col min="10499" max="10499" width="38.85546875" style="140" bestFit="1" customWidth="1"/>
    <col min="10500" max="10753" width="11" style="140"/>
    <col min="10754" max="10754" width="27.28515625" style="140" bestFit="1" customWidth="1"/>
    <col min="10755" max="10755" width="38.85546875" style="140" bestFit="1" customWidth="1"/>
    <col min="10756" max="11009" width="11" style="140"/>
    <col min="11010" max="11010" width="27.28515625" style="140" bestFit="1" customWidth="1"/>
    <col min="11011" max="11011" width="38.85546875" style="140" bestFit="1" customWidth="1"/>
    <col min="11012" max="11265" width="11" style="140"/>
    <col min="11266" max="11266" width="27.28515625" style="140" bestFit="1" customWidth="1"/>
    <col min="11267" max="11267" width="38.85546875" style="140" bestFit="1" customWidth="1"/>
    <col min="11268" max="11521" width="11" style="140"/>
    <col min="11522" max="11522" width="27.28515625" style="140" bestFit="1" customWidth="1"/>
    <col min="11523" max="11523" width="38.85546875" style="140" bestFit="1" customWidth="1"/>
    <col min="11524" max="11777" width="11" style="140"/>
    <col min="11778" max="11778" width="27.28515625" style="140" bestFit="1" customWidth="1"/>
    <col min="11779" max="11779" width="38.85546875" style="140" bestFit="1" customWidth="1"/>
    <col min="11780" max="12033" width="11" style="140"/>
    <col min="12034" max="12034" width="27.28515625" style="140" bestFit="1" customWidth="1"/>
    <col min="12035" max="12035" width="38.85546875" style="140" bestFit="1" customWidth="1"/>
    <col min="12036" max="12289" width="11" style="140"/>
    <col min="12290" max="12290" width="27.28515625" style="140" bestFit="1" customWidth="1"/>
    <col min="12291" max="12291" width="38.85546875" style="140" bestFit="1" customWidth="1"/>
    <col min="12292" max="12545" width="11" style="140"/>
    <col min="12546" max="12546" width="27.28515625" style="140" bestFit="1" customWidth="1"/>
    <col min="12547" max="12547" width="38.85546875" style="140" bestFit="1" customWidth="1"/>
    <col min="12548" max="12801" width="11" style="140"/>
    <col min="12802" max="12802" width="27.28515625" style="140" bestFit="1" customWidth="1"/>
    <col min="12803" max="12803" width="38.85546875" style="140" bestFit="1" customWidth="1"/>
    <col min="12804" max="13057" width="11" style="140"/>
    <col min="13058" max="13058" width="27.28515625" style="140" bestFit="1" customWidth="1"/>
    <col min="13059" max="13059" width="38.85546875" style="140" bestFit="1" customWidth="1"/>
    <col min="13060" max="13313" width="11" style="140"/>
    <col min="13314" max="13314" width="27.28515625" style="140" bestFit="1" customWidth="1"/>
    <col min="13315" max="13315" width="38.85546875" style="140" bestFit="1" customWidth="1"/>
    <col min="13316" max="13569" width="11" style="140"/>
    <col min="13570" max="13570" width="27.28515625" style="140" bestFit="1" customWidth="1"/>
    <col min="13571" max="13571" width="38.85546875" style="140" bestFit="1" customWidth="1"/>
    <col min="13572" max="13825" width="11" style="140"/>
    <col min="13826" max="13826" width="27.28515625" style="140" bestFit="1" customWidth="1"/>
    <col min="13827" max="13827" width="38.85546875" style="140" bestFit="1" customWidth="1"/>
    <col min="13828" max="14081" width="11" style="140"/>
    <col min="14082" max="14082" width="27.28515625" style="140" bestFit="1" customWidth="1"/>
    <col min="14083" max="14083" width="38.85546875" style="140" bestFit="1" customWidth="1"/>
    <col min="14084" max="14337" width="11" style="140"/>
    <col min="14338" max="14338" width="27.28515625" style="140" bestFit="1" customWidth="1"/>
    <col min="14339" max="14339" width="38.85546875" style="140" bestFit="1" customWidth="1"/>
    <col min="14340" max="14593" width="11" style="140"/>
    <col min="14594" max="14594" width="27.28515625" style="140" bestFit="1" customWidth="1"/>
    <col min="14595" max="14595" width="38.85546875" style="140" bestFit="1" customWidth="1"/>
    <col min="14596" max="14849" width="11" style="140"/>
    <col min="14850" max="14850" width="27.28515625" style="140" bestFit="1" customWidth="1"/>
    <col min="14851" max="14851" width="38.85546875" style="140" bestFit="1" customWidth="1"/>
    <col min="14852" max="15105" width="11" style="140"/>
    <col min="15106" max="15106" width="27.28515625" style="140" bestFit="1" customWidth="1"/>
    <col min="15107" max="15107" width="38.85546875" style="140" bestFit="1" customWidth="1"/>
    <col min="15108" max="15361" width="11" style="140"/>
    <col min="15362" max="15362" width="27.28515625" style="140" bestFit="1" customWidth="1"/>
    <col min="15363" max="15363" width="38.85546875" style="140" bestFit="1" customWidth="1"/>
    <col min="15364" max="15617" width="11" style="140"/>
    <col min="15618" max="15618" width="27.28515625" style="140" bestFit="1" customWidth="1"/>
    <col min="15619" max="15619" width="38.85546875" style="140" bestFit="1" customWidth="1"/>
    <col min="15620" max="15873" width="11" style="140"/>
    <col min="15874" max="15874" width="27.28515625" style="140" bestFit="1" customWidth="1"/>
    <col min="15875" max="15875" width="38.85546875" style="140" bestFit="1" customWidth="1"/>
    <col min="15876" max="16129" width="11" style="140"/>
    <col min="16130" max="16130" width="27.28515625" style="140" bestFit="1" customWidth="1"/>
    <col min="16131" max="16131" width="38.85546875" style="140" bestFit="1" customWidth="1"/>
    <col min="16132" max="16384" width="11" style="140"/>
  </cols>
  <sheetData>
    <row r="2" spans="2:11" ht="12.75" customHeight="1" x14ac:dyDescent="0.2">
      <c r="B2" s="413" t="s">
        <v>296</v>
      </c>
      <c r="C2" s="414"/>
      <c r="D2" s="414"/>
      <c r="E2" s="414"/>
      <c r="F2" s="414"/>
      <c r="G2" s="414"/>
      <c r="H2" s="414"/>
      <c r="I2" s="414"/>
      <c r="J2" s="414"/>
      <c r="K2" s="415"/>
    </row>
    <row r="3" spans="2:11" x14ac:dyDescent="0.2">
      <c r="B3" s="416"/>
      <c r="C3" s="417"/>
      <c r="D3" s="417"/>
      <c r="E3" s="417"/>
      <c r="F3" s="417"/>
      <c r="G3" s="417"/>
      <c r="H3" s="417"/>
      <c r="I3" s="417"/>
      <c r="J3" s="417"/>
      <c r="K3" s="418"/>
    </row>
    <row r="4" spans="2:11" x14ac:dyDescent="0.2">
      <c r="B4" s="416"/>
      <c r="C4" s="417"/>
      <c r="D4" s="417"/>
      <c r="E4" s="417"/>
      <c r="F4" s="417"/>
      <c r="G4" s="417"/>
      <c r="H4" s="417"/>
      <c r="I4" s="417"/>
      <c r="J4" s="417"/>
      <c r="K4" s="418"/>
    </row>
    <row r="5" spans="2:11" x14ac:dyDescent="0.2">
      <c r="B5" s="416"/>
      <c r="C5" s="417"/>
      <c r="D5" s="417"/>
      <c r="E5" s="417"/>
      <c r="F5" s="417"/>
      <c r="G5" s="417"/>
      <c r="H5" s="417"/>
      <c r="I5" s="417"/>
      <c r="J5" s="417"/>
      <c r="K5" s="418"/>
    </row>
    <row r="6" spans="2:11" x14ac:dyDescent="0.2">
      <c r="B6" s="416"/>
      <c r="C6" s="417"/>
      <c r="D6" s="417"/>
      <c r="E6" s="417"/>
      <c r="F6" s="417"/>
      <c r="G6" s="417"/>
      <c r="H6" s="417"/>
      <c r="I6" s="417"/>
      <c r="J6" s="417"/>
      <c r="K6" s="418"/>
    </row>
    <row r="7" spans="2:11" x14ac:dyDescent="0.2">
      <c r="B7" s="416"/>
      <c r="C7" s="417"/>
      <c r="D7" s="417"/>
      <c r="E7" s="417"/>
      <c r="F7" s="417"/>
      <c r="G7" s="417"/>
      <c r="H7" s="417"/>
      <c r="I7" s="417"/>
      <c r="J7" s="417"/>
      <c r="K7" s="418"/>
    </row>
    <row r="8" spans="2:11" x14ac:dyDescent="0.2">
      <c r="B8" s="416"/>
      <c r="C8" s="417"/>
      <c r="D8" s="417"/>
      <c r="E8" s="417"/>
      <c r="F8" s="417"/>
      <c r="G8" s="417"/>
      <c r="H8" s="417"/>
      <c r="I8" s="417"/>
      <c r="J8" s="417"/>
      <c r="K8" s="418"/>
    </row>
    <row r="9" spans="2:11" x14ac:dyDescent="0.2">
      <c r="B9" s="416"/>
      <c r="C9" s="417"/>
      <c r="D9" s="417"/>
      <c r="E9" s="417"/>
      <c r="F9" s="417"/>
      <c r="G9" s="417"/>
      <c r="H9" s="417"/>
      <c r="I9" s="417"/>
      <c r="J9" s="417"/>
      <c r="K9" s="418"/>
    </row>
    <row r="10" spans="2:11" x14ac:dyDescent="0.2">
      <c r="B10" s="419"/>
      <c r="C10" s="420"/>
      <c r="D10" s="420"/>
      <c r="E10" s="420"/>
      <c r="F10" s="420"/>
      <c r="G10" s="420"/>
      <c r="H10" s="420"/>
      <c r="I10" s="420"/>
      <c r="J10" s="420"/>
      <c r="K10" s="421"/>
    </row>
    <row r="11" spans="2:11" x14ac:dyDescent="0.2">
      <c r="B11" s="142"/>
      <c r="C11" s="142"/>
      <c r="D11" s="142"/>
      <c r="E11" s="142"/>
      <c r="F11" s="142"/>
      <c r="G11" s="142"/>
      <c r="H11" s="142"/>
      <c r="I11" s="142"/>
      <c r="J11" s="142"/>
    </row>
    <row r="13" spans="2:11" x14ac:dyDescent="0.2">
      <c r="B13" s="147" t="s">
        <v>294</v>
      </c>
      <c r="C13" s="148" t="s">
        <v>295</v>
      </c>
      <c r="G13" s="496" t="s">
        <v>297</v>
      </c>
      <c r="H13" s="497"/>
      <c r="I13" s="497"/>
      <c r="J13" s="497"/>
      <c r="K13" s="498"/>
    </row>
    <row r="14" spans="2:11" x14ac:dyDescent="0.2">
      <c r="B14" s="147">
        <f>(0.09-0.08)-NORMSINV(0.025)*SQRT((0.09)*(1-0.09)/300+(0.08)*(1-0.08)/400)</f>
        <v>5.189924439721097E-2</v>
      </c>
      <c r="C14" s="148">
        <f>(0.09-0.08)+NORMSINV(0.025)*SQRT((0.09)*(1-0.09)/300+(0.08)*(1-0.08)/400)</f>
        <v>-3.189924439721098E-2</v>
      </c>
      <c r="G14" s="499"/>
      <c r="H14" s="500"/>
      <c r="I14" s="500"/>
      <c r="J14" s="500"/>
      <c r="K14" s="501"/>
    </row>
    <row r="15" spans="2:11" x14ac:dyDescent="0.2">
      <c r="G15" s="499"/>
      <c r="H15" s="500"/>
      <c r="I15" s="500"/>
      <c r="J15" s="500"/>
      <c r="K15" s="501"/>
    </row>
    <row r="16" spans="2:11" x14ac:dyDescent="0.2">
      <c r="G16" s="499"/>
      <c r="H16" s="500"/>
      <c r="I16" s="500"/>
      <c r="J16" s="500"/>
      <c r="K16" s="501"/>
    </row>
    <row r="17" spans="7:11" x14ac:dyDescent="0.2">
      <c r="G17" s="499"/>
      <c r="H17" s="500"/>
      <c r="I17" s="500"/>
      <c r="J17" s="500"/>
      <c r="K17" s="501"/>
    </row>
    <row r="18" spans="7:11" x14ac:dyDescent="0.2">
      <c r="G18" s="499"/>
      <c r="H18" s="500"/>
      <c r="I18" s="500"/>
      <c r="J18" s="500"/>
      <c r="K18" s="501"/>
    </row>
    <row r="19" spans="7:11" x14ac:dyDescent="0.2">
      <c r="G19" s="502"/>
      <c r="H19" s="503"/>
      <c r="I19" s="503"/>
      <c r="J19" s="503"/>
      <c r="K19" s="504"/>
    </row>
  </sheetData>
  <mergeCells count="2">
    <mergeCell ref="B2:K10"/>
    <mergeCell ref="G13:K19"/>
  </mergeCells>
  <pageMargins left="0.75" right="0.75" top="1" bottom="1" header="0" footer="0"/>
  <headerFooter alignWithMargins="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2:P73"/>
  <sheetViews>
    <sheetView topLeftCell="A15" workbookViewId="0">
      <selection activeCell="C22" sqref="C22"/>
    </sheetView>
  </sheetViews>
  <sheetFormatPr baseColWidth="10" defaultColWidth="11.42578125" defaultRowHeight="15" x14ac:dyDescent="0.25"/>
  <cols>
    <col min="1" max="1" width="5" style="20" customWidth="1"/>
    <col min="2" max="2" width="52.28515625" style="20" bestFit="1" customWidth="1"/>
    <col min="3" max="3" width="12" style="20" bestFit="1" customWidth="1"/>
    <col min="4" max="4" width="11.42578125" style="20"/>
    <col min="5" max="5" width="5.7109375" style="20" customWidth="1"/>
    <col min="6" max="16384" width="11.42578125" style="20"/>
  </cols>
  <sheetData>
    <row r="2" spans="2:14" x14ac:dyDescent="0.25">
      <c r="B2" s="442" t="s">
        <v>354</v>
      </c>
      <c r="C2" s="443"/>
      <c r="D2" s="443"/>
      <c r="E2" s="443"/>
      <c r="F2" s="443"/>
      <c r="G2" s="443"/>
      <c r="H2" s="443"/>
      <c r="I2" s="443"/>
      <c r="J2" s="443"/>
      <c r="K2" s="443"/>
      <c r="L2" s="443"/>
      <c r="M2" s="443"/>
      <c r="N2" s="444"/>
    </row>
    <row r="3" spans="2:14" x14ac:dyDescent="0.25">
      <c r="B3" s="445"/>
      <c r="C3" s="446"/>
      <c r="D3" s="446"/>
      <c r="E3" s="446"/>
      <c r="F3" s="446"/>
      <c r="G3" s="446"/>
      <c r="H3" s="446"/>
      <c r="I3" s="446"/>
      <c r="J3" s="446"/>
      <c r="K3" s="446"/>
      <c r="L3" s="446"/>
      <c r="M3" s="446"/>
      <c r="N3" s="447"/>
    </row>
    <row r="4" spans="2:14" x14ac:dyDescent="0.25">
      <c r="B4" s="445"/>
      <c r="C4" s="446"/>
      <c r="D4" s="446"/>
      <c r="E4" s="446"/>
      <c r="F4" s="446"/>
      <c r="G4" s="446"/>
      <c r="H4" s="446"/>
      <c r="I4" s="446"/>
      <c r="J4" s="446"/>
      <c r="K4" s="446"/>
      <c r="L4" s="446"/>
      <c r="M4" s="446"/>
      <c r="N4" s="447"/>
    </row>
    <row r="5" spans="2:14" x14ac:dyDescent="0.25">
      <c r="B5" s="445"/>
      <c r="C5" s="446"/>
      <c r="D5" s="446"/>
      <c r="E5" s="446"/>
      <c r="F5" s="446"/>
      <c r="G5" s="446"/>
      <c r="H5" s="446"/>
      <c r="I5" s="446"/>
      <c r="J5" s="446"/>
      <c r="K5" s="446"/>
      <c r="L5" s="446"/>
      <c r="M5" s="446"/>
      <c r="N5" s="447"/>
    </row>
    <row r="6" spans="2:14" x14ac:dyDescent="0.25">
      <c r="B6" s="445"/>
      <c r="C6" s="446"/>
      <c r="D6" s="446"/>
      <c r="E6" s="446"/>
      <c r="F6" s="446"/>
      <c r="G6" s="446"/>
      <c r="H6" s="446"/>
      <c r="I6" s="446"/>
      <c r="J6" s="446"/>
      <c r="K6" s="446"/>
      <c r="L6" s="446"/>
      <c r="M6" s="446"/>
      <c r="N6" s="447"/>
    </row>
    <row r="7" spans="2:14" x14ac:dyDescent="0.25">
      <c r="B7" s="445"/>
      <c r="C7" s="446"/>
      <c r="D7" s="446"/>
      <c r="E7" s="446"/>
      <c r="F7" s="446"/>
      <c r="G7" s="446"/>
      <c r="H7" s="446"/>
      <c r="I7" s="446"/>
      <c r="J7" s="446"/>
      <c r="K7" s="446"/>
      <c r="L7" s="446"/>
      <c r="M7" s="446"/>
      <c r="N7" s="447"/>
    </row>
    <row r="8" spans="2:14" x14ac:dyDescent="0.25">
      <c r="B8" s="445"/>
      <c r="C8" s="446"/>
      <c r="D8" s="446"/>
      <c r="E8" s="446"/>
      <c r="F8" s="446"/>
      <c r="G8" s="446"/>
      <c r="H8" s="446"/>
      <c r="I8" s="446"/>
      <c r="J8" s="446"/>
      <c r="K8" s="446"/>
      <c r="L8" s="446"/>
      <c r="M8" s="446"/>
      <c r="N8" s="447"/>
    </row>
    <row r="9" spans="2:14" x14ac:dyDescent="0.25">
      <c r="B9" s="445"/>
      <c r="C9" s="446"/>
      <c r="D9" s="446"/>
      <c r="E9" s="446"/>
      <c r="F9" s="446"/>
      <c r="G9" s="446"/>
      <c r="H9" s="446"/>
      <c r="I9" s="446"/>
      <c r="J9" s="446"/>
      <c r="K9" s="446"/>
      <c r="L9" s="446"/>
      <c r="M9" s="446"/>
      <c r="N9" s="447"/>
    </row>
    <row r="10" spans="2:14" x14ac:dyDescent="0.25">
      <c r="B10" s="445"/>
      <c r="C10" s="446"/>
      <c r="D10" s="446"/>
      <c r="E10" s="446"/>
      <c r="F10" s="446"/>
      <c r="G10" s="446"/>
      <c r="H10" s="446"/>
      <c r="I10" s="446"/>
      <c r="J10" s="446"/>
      <c r="K10" s="446"/>
      <c r="L10" s="446"/>
      <c r="M10" s="446"/>
      <c r="N10" s="447"/>
    </row>
    <row r="11" spans="2:14" x14ac:dyDescent="0.25">
      <c r="B11" s="448"/>
      <c r="C11" s="449"/>
      <c r="D11" s="449"/>
      <c r="E11" s="449"/>
      <c r="F11" s="449"/>
      <c r="G11" s="449"/>
      <c r="H11" s="449"/>
      <c r="I11" s="449"/>
      <c r="J11" s="449"/>
      <c r="K11" s="449"/>
      <c r="L11" s="449"/>
      <c r="M11" s="449"/>
      <c r="N11" s="450"/>
    </row>
    <row r="13" spans="2:14" x14ac:dyDescent="0.25">
      <c r="B13" s="42" t="s">
        <v>11</v>
      </c>
      <c r="C13" s="44" t="s">
        <v>12</v>
      </c>
    </row>
    <row r="14" spans="2:14" x14ac:dyDescent="0.25">
      <c r="B14" s="45">
        <v>10</v>
      </c>
      <c r="C14" s="7">
        <v>15</v>
      </c>
    </row>
    <row r="15" spans="2:14" x14ac:dyDescent="0.25">
      <c r="B15" s="45">
        <v>15</v>
      </c>
      <c r="C15" s="7">
        <v>10</v>
      </c>
    </row>
    <row r="16" spans="2:14" x14ac:dyDescent="0.25">
      <c r="B16" s="45">
        <v>18</v>
      </c>
      <c r="C16" s="7">
        <v>19</v>
      </c>
    </row>
    <row r="17" spans="2:16" x14ac:dyDescent="0.25">
      <c r="B17" s="45">
        <v>23</v>
      </c>
      <c r="C17" s="7">
        <v>9</v>
      </c>
    </row>
    <row r="18" spans="2:16" x14ac:dyDescent="0.25">
      <c r="B18" s="45">
        <v>12</v>
      </c>
      <c r="C18" s="7">
        <v>14</v>
      </c>
    </row>
    <row r="19" spans="2:16" x14ac:dyDescent="0.25">
      <c r="B19" s="45">
        <v>16</v>
      </c>
      <c r="C19" s="7">
        <v>12</v>
      </c>
    </row>
    <row r="20" spans="2:16" x14ac:dyDescent="0.25">
      <c r="B20" s="46">
        <v>15</v>
      </c>
      <c r="C20" s="10">
        <v>18</v>
      </c>
    </row>
    <row r="22" spans="2:16" x14ac:dyDescent="0.25">
      <c r="B22" s="20" t="s">
        <v>340</v>
      </c>
      <c r="C22" s="20">
        <f>AVERAGE(B14:B20)</f>
        <v>15.571428571428571</v>
      </c>
    </row>
    <row r="23" spans="2:16" x14ac:dyDescent="0.25">
      <c r="B23" s="20" t="s">
        <v>341</v>
      </c>
      <c r="C23" s="20">
        <f>AVERAGE(C14:C20)</f>
        <v>13.857142857142858</v>
      </c>
    </row>
    <row r="24" spans="2:16" x14ac:dyDescent="0.25">
      <c r="B24" s="20" t="s">
        <v>342</v>
      </c>
      <c r="C24" s="20">
        <f>VAR(B14:B20)</f>
        <v>17.619047619047631</v>
      </c>
    </row>
    <row r="25" spans="2:16" x14ac:dyDescent="0.25">
      <c r="B25" s="20" t="s">
        <v>343</v>
      </c>
      <c r="C25" s="20">
        <f>VAR(C14:C20)</f>
        <v>14.476190476190482</v>
      </c>
    </row>
    <row r="26" spans="2:16" x14ac:dyDescent="0.25">
      <c r="B26" s="20" t="s">
        <v>344</v>
      </c>
      <c r="C26" s="20">
        <f>C24/C25</f>
        <v>1.2171052631578951</v>
      </c>
      <c r="D26" s="511" t="s">
        <v>347</v>
      </c>
    </row>
    <row r="27" spans="2:16" x14ac:dyDescent="0.25">
      <c r="B27" s="93" t="s">
        <v>345</v>
      </c>
      <c r="C27" s="20">
        <f>FINV(0.95,6,6)</f>
        <v>0.23343402123304799</v>
      </c>
      <c r="D27" s="512"/>
      <c r="F27" s="514" t="s">
        <v>348</v>
      </c>
      <c r="G27" s="515"/>
      <c r="H27" s="515"/>
      <c r="I27" s="516"/>
      <c r="J27" s="313"/>
    </row>
    <row r="28" spans="2:16" x14ac:dyDescent="0.25">
      <c r="B28" s="20" t="s">
        <v>346</v>
      </c>
      <c r="C28" s="20">
        <f>FINV(0.05,6,6)</f>
        <v>4.2838657138226397</v>
      </c>
      <c r="D28" s="513"/>
    </row>
    <row r="29" spans="2:16" x14ac:dyDescent="0.25">
      <c r="B29" s="20" t="s">
        <v>349</v>
      </c>
      <c r="C29" s="20">
        <f>TINV(0.1,12)</f>
        <v>1.7822875556493194</v>
      </c>
    </row>
    <row r="30" spans="2:16" x14ac:dyDescent="0.25">
      <c r="B30" s="20" t="s">
        <v>283</v>
      </c>
      <c r="C30" s="20">
        <f>SQRT((6*C24+6*C25)/12)</f>
        <v>4.0059479586758311</v>
      </c>
    </row>
    <row r="31" spans="2:16" ht="15" customHeight="1" x14ac:dyDescent="0.25">
      <c r="B31" s="20" t="s">
        <v>350</v>
      </c>
      <c r="C31" s="20">
        <f>C29*C30*SQRT(2/7)</f>
        <v>3.8163575428174754</v>
      </c>
      <c r="D31" s="517" t="s">
        <v>352</v>
      </c>
    </row>
    <row r="32" spans="2:16" x14ac:dyDescent="0.25">
      <c r="B32" s="20" t="s">
        <v>351</v>
      </c>
      <c r="C32" s="20">
        <f>C22-C23</f>
        <v>1.7142857142857135</v>
      </c>
      <c r="D32" s="518"/>
      <c r="F32" s="514" t="s">
        <v>353</v>
      </c>
      <c r="G32" s="515"/>
      <c r="H32" s="515"/>
      <c r="I32" s="515"/>
      <c r="J32" s="515"/>
      <c r="K32" s="515"/>
      <c r="L32" s="515"/>
      <c r="M32" s="515"/>
      <c r="N32" s="515"/>
      <c r="O32" s="515"/>
      <c r="P32" s="516"/>
    </row>
    <row r="33" spans="2:16" x14ac:dyDescent="0.25">
      <c r="D33" s="519"/>
    </row>
    <row r="35" spans="2:16" x14ac:dyDescent="0.25">
      <c r="B35" s="1" t="s">
        <v>355</v>
      </c>
      <c r="C35" s="1"/>
      <c r="D35" s="1"/>
    </row>
    <row r="36" spans="2:16" ht="15.75" thickBot="1" x14ac:dyDescent="0.3">
      <c r="B36" s="1"/>
      <c r="C36" s="1"/>
      <c r="D36" s="1"/>
    </row>
    <row r="37" spans="2:16" x14ac:dyDescent="0.25">
      <c r="B37" s="64"/>
      <c r="C37" s="64" t="s">
        <v>356</v>
      </c>
      <c r="D37" s="64" t="s">
        <v>357</v>
      </c>
    </row>
    <row r="38" spans="2:16" x14ac:dyDescent="0.25">
      <c r="B38" s="62" t="s">
        <v>35</v>
      </c>
      <c r="C38" s="62">
        <v>15.571428571428571</v>
      </c>
      <c r="D38" s="62">
        <v>13.857142857142858</v>
      </c>
    </row>
    <row r="39" spans="2:16" x14ac:dyDescent="0.25">
      <c r="B39" s="62" t="s">
        <v>171</v>
      </c>
      <c r="C39" s="62">
        <v>17.619047619047631</v>
      </c>
      <c r="D39" s="62">
        <v>14.476190476190482</v>
      </c>
    </row>
    <row r="40" spans="2:16" x14ac:dyDescent="0.25">
      <c r="B40" s="62" t="s">
        <v>72</v>
      </c>
      <c r="C40" s="62">
        <v>7</v>
      </c>
      <c r="D40" s="62">
        <v>7</v>
      </c>
    </row>
    <row r="41" spans="2:16" x14ac:dyDescent="0.25">
      <c r="B41" s="62" t="s">
        <v>78</v>
      </c>
      <c r="C41" s="62">
        <v>6</v>
      </c>
      <c r="D41" s="62">
        <v>6</v>
      </c>
    </row>
    <row r="42" spans="2:16" x14ac:dyDescent="0.25">
      <c r="B42" s="62" t="s">
        <v>81</v>
      </c>
      <c r="C42" s="62">
        <v>1.2171052631578951</v>
      </c>
      <c r="D42" s="62"/>
    </row>
    <row r="43" spans="2:16" x14ac:dyDescent="0.25">
      <c r="B43" s="62" t="s">
        <v>358</v>
      </c>
      <c r="C43" s="62">
        <v>0.4087824979770785</v>
      </c>
      <c r="D43" s="62"/>
      <c r="F43" s="508" t="s">
        <v>360</v>
      </c>
      <c r="G43" s="509"/>
      <c r="H43" s="509"/>
      <c r="I43" s="509"/>
      <c r="J43" s="509"/>
      <c r="K43" s="509"/>
      <c r="L43" s="509"/>
      <c r="M43" s="509"/>
      <c r="N43" s="509"/>
      <c r="O43" s="509"/>
      <c r="P43" s="510"/>
    </row>
    <row r="44" spans="2:16" ht="15.75" thickBot="1" x14ac:dyDescent="0.3">
      <c r="B44" s="63" t="s">
        <v>359</v>
      </c>
      <c r="C44" s="63">
        <v>3.0545506824589204</v>
      </c>
      <c r="D44" s="63"/>
      <c r="F44" s="505" t="s">
        <v>361</v>
      </c>
      <c r="G44" s="506"/>
      <c r="H44" s="506"/>
      <c r="I44" s="506"/>
      <c r="J44" s="506"/>
      <c r="K44" s="506"/>
      <c r="L44" s="506"/>
      <c r="M44" s="506"/>
      <c r="N44" s="506"/>
      <c r="O44" s="506"/>
      <c r="P44" s="507"/>
    </row>
    <row r="47" spans="2:16" x14ac:dyDescent="0.25">
      <c r="B47" s="1" t="s">
        <v>362</v>
      </c>
      <c r="C47" s="1"/>
      <c r="D47" s="1"/>
    </row>
    <row r="48" spans="2:16" ht="15.75" thickBot="1" x14ac:dyDescent="0.3">
      <c r="B48" s="1"/>
      <c r="C48" s="1"/>
      <c r="D48" s="1"/>
    </row>
    <row r="49" spans="2:16" x14ac:dyDescent="0.25">
      <c r="B49" s="64"/>
      <c r="C49" s="64" t="s">
        <v>356</v>
      </c>
      <c r="D49" s="64" t="s">
        <v>357</v>
      </c>
    </row>
    <row r="50" spans="2:16" x14ac:dyDescent="0.25">
      <c r="B50" s="62" t="s">
        <v>35</v>
      </c>
      <c r="C50" s="62">
        <v>15.571428571428571</v>
      </c>
      <c r="D50" s="62">
        <v>13.857142857142858</v>
      </c>
    </row>
    <row r="51" spans="2:16" x14ac:dyDescent="0.25">
      <c r="B51" s="62" t="s">
        <v>171</v>
      </c>
      <c r="C51" s="62">
        <v>17.619047619047631</v>
      </c>
      <c r="D51" s="62">
        <v>14.476190476190482</v>
      </c>
    </row>
    <row r="52" spans="2:16" x14ac:dyDescent="0.25">
      <c r="B52" s="62" t="s">
        <v>72</v>
      </c>
      <c r="C52" s="62">
        <v>7</v>
      </c>
      <c r="D52" s="62">
        <v>7</v>
      </c>
    </row>
    <row r="53" spans="2:16" x14ac:dyDescent="0.25">
      <c r="B53" s="62" t="s">
        <v>363</v>
      </c>
      <c r="C53" s="62">
        <v>16.047619047619055</v>
      </c>
      <c r="D53" s="62"/>
    </row>
    <row r="54" spans="2:16" x14ac:dyDescent="0.25">
      <c r="B54" s="62" t="s">
        <v>364</v>
      </c>
      <c r="C54" s="62">
        <v>1.71</v>
      </c>
      <c r="D54" s="62"/>
    </row>
    <row r="55" spans="2:16" x14ac:dyDescent="0.25">
      <c r="B55" s="62" t="s">
        <v>78</v>
      </c>
      <c r="C55" s="62">
        <v>12</v>
      </c>
      <c r="D55" s="62"/>
    </row>
    <row r="56" spans="2:16" x14ac:dyDescent="0.25">
      <c r="B56" s="62" t="s">
        <v>84</v>
      </c>
      <c r="C56" s="62">
        <v>2.0014831296065257E-3</v>
      </c>
      <c r="D56" s="62"/>
    </row>
    <row r="57" spans="2:16" x14ac:dyDescent="0.25">
      <c r="B57" s="62" t="s">
        <v>365</v>
      </c>
      <c r="C57" s="62">
        <v>0.4992179684574411</v>
      </c>
      <c r="D57" s="62"/>
    </row>
    <row r="58" spans="2:16" x14ac:dyDescent="0.25">
      <c r="B58" s="62" t="s">
        <v>366</v>
      </c>
      <c r="C58" s="62">
        <v>1.3562173340232047</v>
      </c>
      <c r="D58" s="62"/>
    </row>
    <row r="59" spans="2:16" x14ac:dyDescent="0.25">
      <c r="B59" s="62" t="s">
        <v>367</v>
      </c>
      <c r="C59" s="62">
        <v>0.99843593691488219</v>
      </c>
      <c r="D59" s="62"/>
      <c r="F59" s="508" t="s">
        <v>369</v>
      </c>
      <c r="G59" s="509"/>
      <c r="H59" s="509"/>
      <c r="I59" s="509"/>
      <c r="J59" s="509"/>
      <c r="K59" s="509"/>
      <c r="L59" s="509"/>
      <c r="M59" s="509"/>
      <c r="N59" s="509"/>
      <c r="O59" s="509"/>
      <c r="P59" s="510"/>
    </row>
    <row r="60" spans="2:16" ht="15.75" thickBot="1" x14ac:dyDescent="0.3">
      <c r="B60" s="63" t="s">
        <v>368</v>
      </c>
      <c r="C60" s="63">
        <v>1.7822875556493194</v>
      </c>
      <c r="D60" s="63"/>
      <c r="F60" s="505" t="s">
        <v>377</v>
      </c>
      <c r="G60" s="506"/>
      <c r="H60" s="506"/>
      <c r="I60" s="506"/>
      <c r="J60" s="506"/>
      <c r="K60" s="506"/>
      <c r="L60" s="506"/>
      <c r="M60" s="506"/>
      <c r="N60" s="506"/>
      <c r="O60" s="506"/>
      <c r="P60" s="507"/>
    </row>
    <row r="64" spans="2:16" x14ac:dyDescent="0.25">
      <c r="B64" s="1"/>
      <c r="C64" s="1"/>
      <c r="D64" s="1"/>
    </row>
    <row r="65" spans="2:4" x14ac:dyDescent="0.25">
      <c r="B65" s="1"/>
      <c r="C65" s="1"/>
      <c r="D65" s="1"/>
    </row>
    <row r="66" spans="2:4" x14ac:dyDescent="0.25">
      <c r="B66" s="1"/>
      <c r="C66" s="1"/>
      <c r="D66" s="1"/>
    </row>
    <row r="67" spans="2:4" x14ac:dyDescent="0.25">
      <c r="B67" s="1"/>
      <c r="C67" s="1"/>
      <c r="D67" s="1"/>
    </row>
    <row r="68" spans="2:4" x14ac:dyDescent="0.25">
      <c r="B68" s="1"/>
      <c r="C68" s="1"/>
      <c r="D68" s="1"/>
    </row>
    <row r="69" spans="2:4" x14ac:dyDescent="0.25">
      <c r="B69" s="1"/>
      <c r="C69" s="1"/>
      <c r="D69" s="1"/>
    </row>
    <row r="70" spans="2:4" x14ac:dyDescent="0.25">
      <c r="B70" s="1"/>
      <c r="C70" s="1"/>
      <c r="D70" s="1"/>
    </row>
    <row r="71" spans="2:4" x14ac:dyDescent="0.25">
      <c r="B71" s="1"/>
      <c r="C71" s="1"/>
      <c r="D71" s="1"/>
    </row>
    <row r="72" spans="2:4" x14ac:dyDescent="0.25">
      <c r="B72" s="1"/>
      <c r="C72" s="1"/>
      <c r="D72" s="1"/>
    </row>
    <row r="73" spans="2:4" x14ac:dyDescent="0.25">
      <c r="B73" s="1"/>
      <c r="C73" s="1"/>
      <c r="D73" s="1"/>
    </row>
  </sheetData>
  <mergeCells count="9">
    <mergeCell ref="F44:P44"/>
    <mergeCell ref="F59:P59"/>
    <mergeCell ref="F60:P60"/>
    <mergeCell ref="B2:N11"/>
    <mergeCell ref="D26:D28"/>
    <mergeCell ref="F27:I27"/>
    <mergeCell ref="D31:D33"/>
    <mergeCell ref="F32:P32"/>
    <mergeCell ref="F43:P43"/>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2:M58"/>
  <sheetViews>
    <sheetView topLeftCell="C1" workbookViewId="0">
      <selection activeCell="F54" sqref="F54"/>
    </sheetView>
  </sheetViews>
  <sheetFormatPr baseColWidth="10" defaultColWidth="11.42578125" defaultRowHeight="15" x14ac:dyDescent="0.25"/>
  <cols>
    <col min="1" max="1" width="11.42578125" style="1"/>
    <col min="2" max="2" width="12.28515625" style="1" bestFit="1" customWidth="1"/>
    <col min="3" max="4" width="11.42578125" style="1"/>
    <col min="5" max="5" width="52.28515625" style="1" bestFit="1" customWidth="1"/>
    <col min="6" max="6" width="12.7109375" style="1" bestFit="1" customWidth="1"/>
    <col min="7" max="7" width="11.42578125" style="1"/>
    <col min="8" max="8" width="3.42578125" style="1" customWidth="1"/>
    <col min="9" max="16384" width="11.42578125" style="1"/>
  </cols>
  <sheetData>
    <row r="2" spans="2:12" x14ac:dyDescent="0.25">
      <c r="B2" s="442" t="s">
        <v>387</v>
      </c>
      <c r="C2" s="443"/>
      <c r="D2" s="443"/>
      <c r="E2" s="443"/>
      <c r="F2" s="443"/>
      <c r="G2" s="443"/>
      <c r="H2" s="443"/>
      <c r="I2" s="443"/>
      <c r="J2" s="443"/>
      <c r="K2" s="443"/>
      <c r="L2" s="444"/>
    </row>
    <row r="3" spans="2:12" x14ac:dyDescent="0.25">
      <c r="B3" s="445"/>
      <c r="C3" s="446"/>
      <c r="D3" s="446"/>
      <c r="E3" s="446"/>
      <c r="F3" s="446"/>
      <c r="G3" s="446"/>
      <c r="H3" s="446"/>
      <c r="I3" s="446"/>
      <c r="J3" s="446"/>
      <c r="K3" s="446"/>
      <c r="L3" s="447"/>
    </row>
    <row r="4" spans="2:12" x14ac:dyDescent="0.25">
      <c r="B4" s="445"/>
      <c r="C4" s="446"/>
      <c r="D4" s="446"/>
      <c r="E4" s="446"/>
      <c r="F4" s="446"/>
      <c r="G4" s="446"/>
      <c r="H4" s="446"/>
      <c r="I4" s="446"/>
      <c r="J4" s="446"/>
      <c r="K4" s="446"/>
      <c r="L4" s="447"/>
    </row>
    <row r="5" spans="2:12" x14ac:dyDescent="0.25">
      <c r="B5" s="445"/>
      <c r="C5" s="446"/>
      <c r="D5" s="446"/>
      <c r="E5" s="446"/>
      <c r="F5" s="446"/>
      <c r="G5" s="446"/>
      <c r="H5" s="446"/>
      <c r="I5" s="446"/>
      <c r="J5" s="446"/>
      <c r="K5" s="446"/>
      <c r="L5" s="447"/>
    </row>
    <row r="6" spans="2:12" x14ac:dyDescent="0.25">
      <c r="B6" s="445"/>
      <c r="C6" s="446"/>
      <c r="D6" s="446"/>
      <c r="E6" s="446"/>
      <c r="F6" s="446"/>
      <c r="G6" s="446"/>
      <c r="H6" s="446"/>
      <c r="I6" s="446"/>
      <c r="J6" s="446"/>
      <c r="K6" s="446"/>
      <c r="L6" s="447"/>
    </row>
    <row r="7" spans="2:12" x14ac:dyDescent="0.25">
      <c r="B7" s="445"/>
      <c r="C7" s="446"/>
      <c r="D7" s="446"/>
      <c r="E7" s="446"/>
      <c r="F7" s="446"/>
      <c r="G7" s="446"/>
      <c r="H7" s="446"/>
      <c r="I7" s="446"/>
      <c r="J7" s="446"/>
      <c r="K7" s="446"/>
      <c r="L7" s="447"/>
    </row>
    <row r="8" spans="2:12" x14ac:dyDescent="0.25">
      <c r="B8" s="445"/>
      <c r="C8" s="446"/>
      <c r="D8" s="446"/>
      <c r="E8" s="446"/>
      <c r="F8" s="446"/>
      <c r="G8" s="446"/>
      <c r="H8" s="446"/>
      <c r="I8" s="446"/>
      <c r="J8" s="446"/>
      <c r="K8" s="446"/>
      <c r="L8" s="447"/>
    </row>
    <row r="9" spans="2:12" x14ac:dyDescent="0.25">
      <c r="B9" s="445"/>
      <c r="C9" s="446"/>
      <c r="D9" s="446"/>
      <c r="E9" s="446"/>
      <c r="F9" s="446"/>
      <c r="G9" s="446"/>
      <c r="H9" s="446"/>
      <c r="I9" s="446"/>
      <c r="J9" s="446"/>
      <c r="K9" s="446"/>
      <c r="L9" s="447"/>
    </row>
    <row r="10" spans="2:12" x14ac:dyDescent="0.25">
      <c r="B10" s="445"/>
      <c r="C10" s="446"/>
      <c r="D10" s="446"/>
      <c r="E10" s="446"/>
      <c r="F10" s="446"/>
      <c r="G10" s="446"/>
      <c r="H10" s="446"/>
      <c r="I10" s="446"/>
      <c r="J10" s="446"/>
      <c r="K10" s="446"/>
      <c r="L10" s="447"/>
    </row>
    <row r="11" spans="2:12" x14ac:dyDescent="0.25">
      <c r="B11" s="445"/>
      <c r="C11" s="446"/>
      <c r="D11" s="446"/>
      <c r="E11" s="446"/>
      <c r="F11" s="446"/>
      <c r="G11" s="446"/>
      <c r="H11" s="446"/>
      <c r="I11" s="446"/>
      <c r="J11" s="446"/>
      <c r="K11" s="446"/>
      <c r="L11" s="447"/>
    </row>
    <row r="12" spans="2:12" x14ac:dyDescent="0.25">
      <c r="B12" s="448"/>
      <c r="C12" s="449"/>
      <c r="D12" s="449"/>
      <c r="E12" s="449"/>
      <c r="F12" s="449"/>
      <c r="G12" s="449"/>
      <c r="H12" s="449"/>
      <c r="I12" s="449"/>
      <c r="J12" s="449"/>
      <c r="K12" s="449"/>
      <c r="L12" s="450"/>
    </row>
    <row r="14" spans="2:12" x14ac:dyDescent="0.25">
      <c r="B14" s="42" t="s">
        <v>371</v>
      </c>
      <c r="C14" s="44" t="s">
        <v>372</v>
      </c>
    </row>
    <row r="15" spans="2:12" x14ac:dyDescent="0.25">
      <c r="B15" s="45">
        <v>92</v>
      </c>
      <c r="C15" s="7">
        <v>88</v>
      </c>
    </row>
    <row r="16" spans="2:12" x14ac:dyDescent="0.25">
      <c r="B16" s="45">
        <v>84</v>
      </c>
      <c r="C16" s="7">
        <v>85</v>
      </c>
    </row>
    <row r="17" spans="2:8" x14ac:dyDescent="0.25">
      <c r="B17" s="45">
        <v>93</v>
      </c>
      <c r="C17" s="7">
        <v>82</v>
      </c>
    </row>
    <row r="18" spans="2:8" x14ac:dyDescent="0.25">
      <c r="B18" s="45">
        <v>91</v>
      </c>
      <c r="C18" s="7">
        <v>90</v>
      </c>
    </row>
    <row r="19" spans="2:8" x14ac:dyDescent="0.25">
      <c r="B19" s="45">
        <v>93</v>
      </c>
      <c r="C19" s="7">
        <v>81</v>
      </c>
    </row>
    <row r="20" spans="2:8" x14ac:dyDescent="0.25">
      <c r="B20" s="45">
        <v>90</v>
      </c>
      <c r="C20" s="7">
        <v>93</v>
      </c>
    </row>
    <row r="21" spans="2:8" x14ac:dyDescent="0.25">
      <c r="B21" s="45">
        <v>86</v>
      </c>
      <c r="C21" s="7">
        <v>87</v>
      </c>
    </row>
    <row r="22" spans="2:8" x14ac:dyDescent="0.25">
      <c r="B22" s="45">
        <v>89</v>
      </c>
      <c r="C22" s="7">
        <v>92</v>
      </c>
    </row>
    <row r="23" spans="2:8" x14ac:dyDescent="0.25">
      <c r="B23" s="45">
        <v>91</v>
      </c>
      <c r="C23" s="7">
        <v>86</v>
      </c>
    </row>
    <row r="24" spans="2:8" x14ac:dyDescent="0.25">
      <c r="B24" s="46">
        <v>88</v>
      </c>
      <c r="C24" s="10">
        <v>85</v>
      </c>
    </row>
    <row r="26" spans="2:8" x14ac:dyDescent="0.25">
      <c r="B26" s="1" t="s">
        <v>340</v>
      </c>
      <c r="C26" s="1">
        <f>AVERAGE(B15:B24)</f>
        <v>89.7</v>
      </c>
      <c r="E26" s="1" t="s">
        <v>362</v>
      </c>
    </row>
    <row r="27" spans="2:8" ht="15.75" thickBot="1" x14ac:dyDescent="0.3">
      <c r="B27" s="1" t="s">
        <v>341</v>
      </c>
      <c r="C27" s="1">
        <f>AVERAGE(C15:C24)</f>
        <v>86.9</v>
      </c>
    </row>
    <row r="28" spans="2:8" x14ac:dyDescent="0.25">
      <c r="B28" s="111" t="s">
        <v>373</v>
      </c>
      <c r="C28" s="1">
        <f>C26-C27</f>
        <v>2.7999999999999972</v>
      </c>
      <c r="E28" s="64"/>
      <c r="F28" s="64" t="s">
        <v>356</v>
      </c>
      <c r="G28" s="64" t="s">
        <v>357</v>
      </c>
      <c r="H28" s="312"/>
    </row>
    <row r="29" spans="2:8" x14ac:dyDescent="0.25">
      <c r="B29" s="1" t="s">
        <v>374</v>
      </c>
      <c r="C29" s="1">
        <f>TINV(0.05,18)</f>
        <v>2.1009220402410378</v>
      </c>
      <c r="E29" s="62" t="s">
        <v>35</v>
      </c>
      <c r="F29" s="62">
        <v>89.7</v>
      </c>
      <c r="G29" s="62">
        <v>86.9</v>
      </c>
      <c r="H29" s="62"/>
    </row>
    <row r="30" spans="2:8" x14ac:dyDescent="0.25">
      <c r="B30" s="1" t="s">
        <v>342</v>
      </c>
      <c r="C30" s="1">
        <f>VAR(B15:B24)</f>
        <v>8.9</v>
      </c>
      <c r="E30" s="62" t="s">
        <v>171</v>
      </c>
      <c r="F30" s="62">
        <v>8.9</v>
      </c>
      <c r="G30" s="62">
        <v>15.655555555555553</v>
      </c>
      <c r="H30" s="62"/>
    </row>
    <row r="31" spans="2:8" x14ac:dyDescent="0.25">
      <c r="B31" s="1" t="s">
        <v>343</v>
      </c>
      <c r="C31" s="1">
        <f>VAR(C15:C24)</f>
        <v>15.655555555555553</v>
      </c>
      <c r="E31" s="62" t="s">
        <v>72</v>
      </c>
      <c r="F31" s="62">
        <v>10</v>
      </c>
      <c r="G31" s="62">
        <v>10</v>
      </c>
      <c r="H31" s="62"/>
    </row>
    <row r="32" spans="2:8" x14ac:dyDescent="0.25">
      <c r="B32" s="1" t="s">
        <v>283</v>
      </c>
      <c r="C32" s="1">
        <f>SQRT((9*C30+9*C31)/18)</f>
        <v>3.5039660069381067</v>
      </c>
      <c r="E32" s="62" t="s">
        <v>363</v>
      </c>
      <c r="F32" s="62">
        <v>12.277777777777779</v>
      </c>
      <c r="G32" s="62"/>
      <c r="H32" s="62"/>
    </row>
    <row r="33" spans="2:13" x14ac:dyDescent="0.25">
      <c r="B33" s="1" t="s">
        <v>375</v>
      </c>
      <c r="C33" s="1">
        <f>SQRT(2/10)</f>
        <v>0.44721359549995793</v>
      </c>
      <c r="E33" s="62" t="s">
        <v>364</v>
      </c>
      <c r="F33" s="62">
        <v>2.8</v>
      </c>
      <c r="G33" s="62"/>
      <c r="H33" s="62"/>
    </row>
    <row r="34" spans="2:13" x14ac:dyDescent="0.25">
      <c r="B34" s="111" t="s">
        <v>376</v>
      </c>
      <c r="C34" s="1">
        <f>C29*C32*C33</f>
        <v>3.292189453230673</v>
      </c>
      <c r="E34" s="62" t="s">
        <v>78</v>
      </c>
      <c r="F34" s="62">
        <v>18</v>
      </c>
      <c r="G34" s="62"/>
      <c r="H34" s="62"/>
    </row>
    <row r="35" spans="2:13" x14ac:dyDescent="0.25">
      <c r="E35" s="62" t="s">
        <v>84</v>
      </c>
      <c r="F35" s="62">
        <v>-1.7003823541655431E-15</v>
      </c>
      <c r="G35" s="62"/>
      <c r="H35" s="62"/>
    </row>
    <row r="36" spans="2:13" x14ac:dyDescent="0.25">
      <c r="C36" s="20" t="s">
        <v>381</v>
      </c>
      <c r="E36" s="62" t="s">
        <v>365</v>
      </c>
      <c r="F36" s="62">
        <v>0.5</v>
      </c>
      <c r="G36" s="62"/>
      <c r="H36" s="62"/>
    </row>
    <row r="37" spans="2:13" x14ac:dyDescent="0.25">
      <c r="C37" s="20">
        <f t="shared" ref="C37:C46" si="0">B15-C15</f>
        <v>4</v>
      </c>
      <c r="E37" s="62" t="s">
        <v>366</v>
      </c>
      <c r="F37" s="62">
        <v>1.7340636066175394</v>
      </c>
      <c r="G37" s="62"/>
      <c r="H37" s="62"/>
    </row>
    <row r="38" spans="2:13" x14ac:dyDescent="0.25">
      <c r="C38" s="20">
        <f t="shared" si="0"/>
        <v>-1</v>
      </c>
      <c r="E38" s="62" t="s">
        <v>367</v>
      </c>
      <c r="F38" s="62">
        <v>1</v>
      </c>
      <c r="G38" s="62"/>
      <c r="H38" s="62"/>
    </row>
    <row r="39" spans="2:13" ht="15.75" thickBot="1" x14ac:dyDescent="0.3">
      <c r="C39" s="20">
        <f t="shared" si="0"/>
        <v>11</v>
      </c>
      <c r="E39" s="63" t="s">
        <v>368</v>
      </c>
      <c r="F39" s="63">
        <v>2.1009220402410378</v>
      </c>
      <c r="G39" s="63"/>
      <c r="H39" s="62"/>
    </row>
    <row r="40" spans="2:13" x14ac:dyDescent="0.25">
      <c r="C40" s="20">
        <f t="shared" si="0"/>
        <v>1</v>
      </c>
    </row>
    <row r="41" spans="2:13" x14ac:dyDescent="0.25">
      <c r="C41" s="20">
        <f t="shared" si="0"/>
        <v>12</v>
      </c>
    </row>
    <row r="42" spans="2:13" x14ac:dyDescent="0.25">
      <c r="C42" s="20">
        <f t="shared" si="0"/>
        <v>-3</v>
      </c>
    </row>
    <row r="43" spans="2:13" x14ac:dyDescent="0.25">
      <c r="C43" s="20">
        <f t="shared" si="0"/>
        <v>-1</v>
      </c>
    </row>
    <row r="44" spans="2:13" x14ac:dyDescent="0.25">
      <c r="C44" s="20">
        <f t="shared" si="0"/>
        <v>-3</v>
      </c>
    </row>
    <row r="45" spans="2:13" x14ac:dyDescent="0.25">
      <c r="C45" s="20">
        <f t="shared" si="0"/>
        <v>5</v>
      </c>
      <c r="E45" s="1" t="s">
        <v>378</v>
      </c>
    </row>
    <row r="46" spans="2:13" ht="15.75" thickBot="1" x14ac:dyDescent="0.3">
      <c r="C46" s="20">
        <f t="shared" si="0"/>
        <v>3</v>
      </c>
    </row>
    <row r="47" spans="2:13" x14ac:dyDescent="0.25">
      <c r="B47" s="1" t="s">
        <v>380</v>
      </c>
      <c r="C47" s="1">
        <f>AVERAGE(C37:C46)</f>
        <v>2.8</v>
      </c>
      <c r="E47" s="64"/>
      <c r="F47" s="64" t="s">
        <v>356</v>
      </c>
      <c r="G47" s="64" t="s">
        <v>357</v>
      </c>
      <c r="H47" s="312"/>
      <c r="I47" s="487" t="s">
        <v>386</v>
      </c>
      <c r="J47" s="488"/>
      <c r="K47" s="488"/>
      <c r="L47" s="488"/>
      <c r="M47" s="489"/>
    </row>
    <row r="48" spans="2:13" x14ac:dyDescent="0.25">
      <c r="B48" s="1" t="s">
        <v>382</v>
      </c>
      <c r="C48" s="1">
        <f>TINV(0.05,9)</f>
        <v>2.2621571627982053</v>
      </c>
      <c r="E48" s="62" t="s">
        <v>35</v>
      </c>
      <c r="F48" s="62">
        <v>89.7</v>
      </c>
      <c r="G48" s="62">
        <v>86.9</v>
      </c>
      <c r="H48" s="62"/>
      <c r="I48" s="490"/>
      <c r="J48" s="491"/>
      <c r="K48" s="491"/>
      <c r="L48" s="491"/>
      <c r="M48" s="492"/>
    </row>
    <row r="49" spans="2:13" x14ac:dyDescent="0.25">
      <c r="B49" s="1" t="s">
        <v>383</v>
      </c>
      <c r="C49" s="1">
        <f>VAR(C37:C46)</f>
        <v>28.622222222222224</v>
      </c>
      <c r="E49" s="62" t="s">
        <v>171</v>
      </c>
      <c r="F49" s="62">
        <v>8.9</v>
      </c>
      <c r="G49" s="62">
        <v>15.655555555555553</v>
      </c>
      <c r="H49" s="62"/>
      <c r="I49" s="490"/>
      <c r="J49" s="491"/>
      <c r="K49" s="491"/>
      <c r="L49" s="491"/>
      <c r="M49" s="492"/>
    </row>
    <row r="50" spans="2:13" x14ac:dyDescent="0.25">
      <c r="B50" s="1" t="s">
        <v>384</v>
      </c>
      <c r="C50" s="1">
        <f>SQRT(C49)</f>
        <v>5.3499740393970345</v>
      </c>
      <c r="E50" s="62" t="s">
        <v>72</v>
      </c>
      <c r="F50" s="62">
        <v>10</v>
      </c>
      <c r="G50" s="62">
        <v>10</v>
      </c>
      <c r="H50" s="62"/>
      <c r="I50" s="490"/>
      <c r="J50" s="491"/>
      <c r="K50" s="491"/>
      <c r="L50" s="491"/>
      <c r="M50" s="492"/>
    </row>
    <row r="51" spans="2:13" x14ac:dyDescent="0.25">
      <c r="B51" s="111" t="s">
        <v>376</v>
      </c>
      <c r="C51" s="1">
        <f>C48*C50/SQRT(10)</f>
        <v>3.827140875846442</v>
      </c>
      <c r="E51" s="62" t="s">
        <v>379</v>
      </c>
      <c r="F51" s="62">
        <v>-0.17225797405843804</v>
      </c>
      <c r="G51" s="62"/>
      <c r="H51" s="62"/>
      <c r="I51" s="490"/>
      <c r="J51" s="491"/>
      <c r="K51" s="491"/>
      <c r="L51" s="491"/>
      <c r="M51" s="492"/>
    </row>
    <row r="52" spans="2:13" x14ac:dyDescent="0.25">
      <c r="E52" s="62" t="s">
        <v>364</v>
      </c>
      <c r="F52" s="62">
        <v>2.8</v>
      </c>
      <c r="G52" s="62"/>
      <c r="H52" s="62"/>
      <c r="I52" s="490"/>
      <c r="J52" s="491"/>
      <c r="K52" s="491"/>
      <c r="L52" s="491"/>
      <c r="M52" s="492"/>
    </row>
    <row r="53" spans="2:13" x14ac:dyDescent="0.25">
      <c r="B53" s="520" t="s">
        <v>385</v>
      </c>
      <c r="C53" s="521"/>
      <c r="E53" s="62" t="s">
        <v>78</v>
      </c>
      <c r="F53" s="62">
        <v>9</v>
      </c>
      <c r="G53" s="62"/>
      <c r="H53" s="62"/>
      <c r="I53" s="490"/>
      <c r="J53" s="491"/>
      <c r="K53" s="491"/>
      <c r="L53" s="491"/>
      <c r="M53" s="492"/>
    </row>
    <row r="54" spans="2:13" x14ac:dyDescent="0.25">
      <c r="B54" s="522"/>
      <c r="C54" s="523"/>
      <c r="E54" s="62" t="s">
        <v>84</v>
      </c>
      <c r="F54" s="62">
        <v>0</v>
      </c>
      <c r="G54" s="62"/>
      <c r="H54" s="62"/>
      <c r="I54" s="493"/>
      <c r="J54" s="494"/>
      <c r="K54" s="494"/>
      <c r="L54" s="494"/>
      <c r="M54" s="495"/>
    </row>
    <row r="55" spans="2:13" x14ac:dyDescent="0.25">
      <c r="B55" s="522"/>
      <c r="C55" s="523"/>
      <c r="E55" s="62" t="s">
        <v>365</v>
      </c>
      <c r="F55" s="62">
        <v>0.5</v>
      </c>
      <c r="G55" s="62"/>
      <c r="H55" s="62"/>
    </row>
    <row r="56" spans="2:13" x14ac:dyDescent="0.25">
      <c r="B56" s="522"/>
      <c r="C56" s="523"/>
      <c r="E56" s="62" t="s">
        <v>366</v>
      </c>
      <c r="F56" s="62">
        <v>1.8331129326562374</v>
      </c>
      <c r="G56" s="62"/>
      <c r="H56" s="62"/>
    </row>
    <row r="57" spans="2:13" x14ac:dyDescent="0.25">
      <c r="B57" s="524"/>
      <c r="C57" s="525"/>
      <c r="E57" s="62" t="s">
        <v>367</v>
      </c>
      <c r="F57" s="62">
        <v>1</v>
      </c>
      <c r="G57" s="62"/>
      <c r="H57" s="62"/>
    </row>
    <row r="58" spans="2:13" ht="15.75" thickBot="1" x14ac:dyDescent="0.3">
      <c r="E58" s="63" t="s">
        <v>368</v>
      </c>
      <c r="F58" s="63">
        <v>2.2621571627982053</v>
      </c>
      <c r="G58" s="63"/>
      <c r="H58" s="62"/>
    </row>
  </sheetData>
  <mergeCells count="3">
    <mergeCell ref="I47:M54"/>
    <mergeCell ref="B53:C57"/>
    <mergeCell ref="B2:L12"/>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2:M20"/>
  <sheetViews>
    <sheetView workbookViewId="0">
      <selection activeCell="C20" sqref="C20"/>
    </sheetView>
  </sheetViews>
  <sheetFormatPr baseColWidth="10" defaultColWidth="11.42578125" defaultRowHeight="15" x14ac:dyDescent="0.25"/>
  <cols>
    <col min="1" max="1" width="11.42578125" style="1"/>
    <col min="2" max="2" width="13.85546875" style="1" bestFit="1" customWidth="1"/>
    <col min="3" max="5" width="11.42578125" style="1"/>
    <col min="6" max="6" width="15.140625" style="1" bestFit="1" customWidth="1"/>
    <col min="7" max="16384" width="11.42578125" style="1"/>
  </cols>
  <sheetData>
    <row r="2" spans="2:13" ht="15" customHeight="1" x14ac:dyDescent="0.25">
      <c r="B2" s="442" t="s">
        <v>395</v>
      </c>
      <c r="C2" s="443"/>
      <c r="D2" s="443"/>
      <c r="E2" s="443"/>
      <c r="F2" s="443"/>
      <c r="G2" s="443"/>
      <c r="H2" s="443"/>
      <c r="I2" s="443"/>
      <c r="J2" s="443"/>
      <c r="K2" s="443"/>
      <c r="L2" s="443"/>
      <c r="M2" s="444"/>
    </row>
    <row r="3" spans="2:13" x14ac:dyDescent="0.25">
      <c r="B3" s="445"/>
      <c r="C3" s="446"/>
      <c r="D3" s="446"/>
      <c r="E3" s="446"/>
      <c r="F3" s="446"/>
      <c r="G3" s="446"/>
      <c r="H3" s="446"/>
      <c r="I3" s="446"/>
      <c r="J3" s="446"/>
      <c r="K3" s="446"/>
      <c r="L3" s="446"/>
      <c r="M3" s="447"/>
    </row>
    <row r="4" spans="2:13" x14ac:dyDescent="0.25">
      <c r="B4" s="445"/>
      <c r="C4" s="446"/>
      <c r="D4" s="446"/>
      <c r="E4" s="446"/>
      <c r="F4" s="446"/>
      <c r="G4" s="446"/>
      <c r="H4" s="446"/>
      <c r="I4" s="446"/>
      <c r="J4" s="446"/>
      <c r="K4" s="446"/>
      <c r="L4" s="446"/>
      <c r="M4" s="447"/>
    </row>
    <row r="5" spans="2:13" x14ac:dyDescent="0.25">
      <c r="B5" s="445"/>
      <c r="C5" s="446"/>
      <c r="D5" s="446"/>
      <c r="E5" s="446"/>
      <c r="F5" s="446"/>
      <c r="G5" s="446"/>
      <c r="H5" s="446"/>
      <c r="I5" s="446"/>
      <c r="J5" s="446"/>
      <c r="K5" s="446"/>
      <c r="L5" s="446"/>
      <c r="M5" s="447"/>
    </row>
    <row r="6" spans="2:13" x14ac:dyDescent="0.25">
      <c r="B6" s="445"/>
      <c r="C6" s="446"/>
      <c r="D6" s="446"/>
      <c r="E6" s="446"/>
      <c r="F6" s="446"/>
      <c r="G6" s="446"/>
      <c r="H6" s="446"/>
      <c r="I6" s="446"/>
      <c r="J6" s="446"/>
      <c r="K6" s="446"/>
      <c r="L6" s="446"/>
      <c r="M6" s="447"/>
    </row>
    <row r="7" spans="2:13" x14ac:dyDescent="0.25">
      <c r="B7" s="445"/>
      <c r="C7" s="446"/>
      <c r="D7" s="446"/>
      <c r="E7" s="446"/>
      <c r="F7" s="446"/>
      <c r="G7" s="446"/>
      <c r="H7" s="446"/>
      <c r="I7" s="446"/>
      <c r="J7" s="446"/>
      <c r="K7" s="446"/>
      <c r="L7" s="446"/>
      <c r="M7" s="447"/>
    </row>
    <row r="8" spans="2:13" x14ac:dyDescent="0.25">
      <c r="B8" s="445"/>
      <c r="C8" s="446"/>
      <c r="D8" s="446"/>
      <c r="E8" s="446"/>
      <c r="F8" s="446"/>
      <c r="G8" s="446"/>
      <c r="H8" s="446"/>
      <c r="I8" s="446"/>
      <c r="J8" s="446"/>
      <c r="K8" s="446"/>
      <c r="L8" s="446"/>
      <c r="M8" s="447"/>
    </row>
    <row r="9" spans="2:13" x14ac:dyDescent="0.25">
      <c r="B9" s="445"/>
      <c r="C9" s="446"/>
      <c r="D9" s="446"/>
      <c r="E9" s="446"/>
      <c r="F9" s="446"/>
      <c r="G9" s="446"/>
      <c r="H9" s="446"/>
      <c r="I9" s="446"/>
      <c r="J9" s="446"/>
      <c r="K9" s="446"/>
      <c r="L9" s="446"/>
      <c r="M9" s="447"/>
    </row>
    <row r="10" spans="2:13" x14ac:dyDescent="0.25">
      <c r="B10" s="448"/>
      <c r="C10" s="449"/>
      <c r="D10" s="449"/>
      <c r="E10" s="449"/>
      <c r="F10" s="449"/>
      <c r="G10" s="449"/>
      <c r="H10" s="449"/>
      <c r="I10" s="449"/>
      <c r="J10" s="449"/>
      <c r="K10" s="449"/>
      <c r="L10" s="449"/>
      <c r="M10" s="450"/>
    </row>
    <row r="16" spans="2:13" x14ac:dyDescent="0.25">
      <c r="B16" s="111" t="s">
        <v>388</v>
      </c>
      <c r="C16" s="1">
        <v>0.14000000000000001</v>
      </c>
      <c r="D16" s="529" t="s">
        <v>390</v>
      </c>
      <c r="E16" s="529">
        <f>C16-C17</f>
        <v>3.0000000000000013E-2</v>
      </c>
      <c r="F16" s="529" t="s">
        <v>393</v>
      </c>
    </row>
    <row r="17" spans="2:13" x14ac:dyDescent="0.25">
      <c r="B17" s="111" t="s">
        <v>389</v>
      </c>
      <c r="C17" s="1">
        <v>0.11</v>
      </c>
      <c r="D17" s="529"/>
      <c r="E17" s="529"/>
      <c r="F17" s="529"/>
      <c r="G17" s="520" t="s">
        <v>394</v>
      </c>
      <c r="H17" s="526"/>
      <c r="I17" s="526"/>
      <c r="J17" s="526"/>
      <c r="K17" s="526"/>
      <c r="L17" s="526"/>
      <c r="M17" s="521"/>
    </row>
    <row r="18" spans="2:13" x14ac:dyDescent="0.25">
      <c r="D18" s="315"/>
      <c r="E18" s="315"/>
      <c r="F18" s="529"/>
      <c r="G18" s="522"/>
      <c r="H18" s="527"/>
      <c r="I18" s="527"/>
      <c r="J18" s="527"/>
      <c r="K18" s="527"/>
      <c r="L18" s="527"/>
      <c r="M18" s="523"/>
    </row>
    <row r="19" spans="2:13" x14ac:dyDescent="0.25">
      <c r="B19" s="1" t="s">
        <v>391</v>
      </c>
      <c r="C19" s="1">
        <f>NORMINV(0.975,0,1)</f>
        <v>1.9599639845400536</v>
      </c>
      <c r="D19" s="529" t="s">
        <v>392</v>
      </c>
      <c r="E19" s="529">
        <f>C19*C20</f>
        <v>4.3363511074747778E-2</v>
      </c>
      <c r="F19" s="529"/>
      <c r="G19" s="524"/>
      <c r="H19" s="528"/>
      <c r="I19" s="528"/>
      <c r="J19" s="528"/>
      <c r="K19" s="528"/>
      <c r="L19" s="528"/>
      <c r="M19" s="525"/>
    </row>
    <row r="20" spans="2:13" x14ac:dyDescent="0.25">
      <c r="B20" s="1" t="s">
        <v>375</v>
      </c>
      <c r="C20" s="1">
        <f>SQRT((0.11*(1-0.11))/200)</f>
        <v>2.2124646889837587E-2</v>
      </c>
      <c r="D20" s="529"/>
      <c r="E20" s="529"/>
      <c r="F20" s="529"/>
    </row>
  </sheetData>
  <mergeCells count="7">
    <mergeCell ref="G17:M19"/>
    <mergeCell ref="B2:M10"/>
    <mergeCell ref="D16:D17"/>
    <mergeCell ref="E16:E17"/>
    <mergeCell ref="D19:D20"/>
    <mergeCell ref="E19:E20"/>
    <mergeCell ref="F16:F20"/>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M9"/>
  <sheetViews>
    <sheetView workbookViewId="0">
      <selection activeCell="K19" sqref="K19"/>
    </sheetView>
  </sheetViews>
  <sheetFormatPr baseColWidth="10" defaultColWidth="11.42578125" defaultRowHeight="15" x14ac:dyDescent="0.25"/>
  <cols>
    <col min="1" max="12" width="11.42578125" style="1"/>
    <col min="13" max="13" width="26.140625" style="1" customWidth="1"/>
    <col min="14" max="16384" width="11.42578125" style="1"/>
  </cols>
  <sheetData>
    <row r="3" spans="2:13" x14ac:dyDescent="0.25">
      <c r="B3" s="442" t="s">
        <v>396</v>
      </c>
      <c r="C3" s="443"/>
      <c r="D3" s="443"/>
      <c r="E3" s="443"/>
      <c r="F3" s="443"/>
      <c r="G3" s="443"/>
      <c r="H3" s="443"/>
      <c r="I3" s="443"/>
      <c r="J3" s="443"/>
      <c r="K3" s="443"/>
      <c r="L3" s="443"/>
      <c r="M3" s="444"/>
    </row>
    <row r="4" spans="2:13" x14ac:dyDescent="0.25">
      <c r="B4" s="445"/>
      <c r="C4" s="446"/>
      <c r="D4" s="446"/>
      <c r="E4" s="446"/>
      <c r="F4" s="446"/>
      <c r="G4" s="446"/>
      <c r="H4" s="446"/>
      <c r="I4" s="446"/>
      <c r="J4" s="446"/>
      <c r="K4" s="446"/>
      <c r="L4" s="446"/>
      <c r="M4" s="447"/>
    </row>
    <row r="5" spans="2:13" x14ac:dyDescent="0.25">
      <c r="B5" s="445"/>
      <c r="C5" s="446"/>
      <c r="D5" s="446"/>
      <c r="E5" s="446"/>
      <c r="F5" s="446"/>
      <c r="G5" s="446"/>
      <c r="H5" s="446"/>
      <c r="I5" s="446"/>
      <c r="J5" s="446"/>
      <c r="K5" s="446"/>
      <c r="L5" s="446"/>
      <c r="M5" s="447"/>
    </row>
    <row r="6" spans="2:13" x14ac:dyDescent="0.25">
      <c r="B6" s="445"/>
      <c r="C6" s="446"/>
      <c r="D6" s="446"/>
      <c r="E6" s="446"/>
      <c r="F6" s="446"/>
      <c r="G6" s="446"/>
      <c r="H6" s="446"/>
      <c r="I6" s="446"/>
      <c r="J6" s="446"/>
      <c r="K6" s="446"/>
      <c r="L6" s="446"/>
      <c r="M6" s="447"/>
    </row>
    <row r="7" spans="2:13" x14ac:dyDescent="0.25">
      <c r="B7" s="445"/>
      <c r="C7" s="446"/>
      <c r="D7" s="446"/>
      <c r="E7" s="446"/>
      <c r="F7" s="446"/>
      <c r="G7" s="446"/>
      <c r="H7" s="446"/>
      <c r="I7" s="446"/>
      <c r="J7" s="446"/>
      <c r="K7" s="446"/>
      <c r="L7" s="446"/>
      <c r="M7" s="447"/>
    </row>
    <row r="8" spans="2:13" x14ac:dyDescent="0.25">
      <c r="B8" s="445"/>
      <c r="C8" s="446"/>
      <c r="D8" s="446"/>
      <c r="E8" s="446"/>
      <c r="F8" s="446"/>
      <c r="G8" s="446"/>
      <c r="H8" s="446"/>
      <c r="I8" s="446"/>
      <c r="J8" s="446"/>
      <c r="K8" s="446"/>
      <c r="L8" s="446"/>
      <c r="M8" s="447"/>
    </row>
    <row r="9" spans="2:13" x14ac:dyDescent="0.25">
      <c r="B9" s="448"/>
      <c r="C9" s="449"/>
      <c r="D9" s="449"/>
      <c r="E9" s="449"/>
      <c r="F9" s="449"/>
      <c r="G9" s="449"/>
      <c r="H9" s="449"/>
      <c r="I9" s="449"/>
      <c r="J9" s="449"/>
      <c r="K9" s="449"/>
      <c r="L9" s="449"/>
      <c r="M9" s="450"/>
    </row>
  </sheetData>
  <mergeCells count="1">
    <mergeCell ref="B3:M9"/>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N74"/>
  <sheetViews>
    <sheetView workbookViewId="0">
      <selection activeCell="E29" sqref="E29"/>
    </sheetView>
  </sheetViews>
  <sheetFormatPr baseColWidth="10" defaultColWidth="11.42578125" defaultRowHeight="15" x14ac:dyDescent="0.25"/>
  <cols>
    <col min="1" max="1" width="11.42578125" style="1"/>
    <col min="2" max="2" width="32.85546875" style="1" bestFit="1" customWidth="1"/>
    <col min="3" max="3" width="17.7109375" style="1" bestFit="1" customWidth="1"/>
    <col min="4" max="4" width="19" style="1" bestFit="1" customWidth="1"/>
    <col min="5" max="5" width="25.42578125" style="1" bestFit="1" customWidth="1"/>
    <col min="6" max="6" width="12.7109375" style="1" bestFit="1" customWidth="1"/>
    <col min="7" max="7" width="15.85546875" style="1" bestFit="1" customWidth="1"/>
    <col min="8" max="8" width="12.85546875" style="1" bestFit="1" customWidth="1"/>
    <col min="9" max="9" width="13.5703125" style="1" bestFit="1" customWidth="1"/>
    <col min="10" max="10" width="14.42578125" style="1" bestFit="1" customWidth="1"/>
    <col min="11" max="16384" width="11.42578125" style="1"/>
  </cols>
  <sheetData>
    <row r="3" spans="2:14" x14ac:dyDescent="0.25">
      <c r="B3" s="442" t="s">
        <v>474</v>
      </c>
      <c r="C3" s="443"/>
      <c r="D3" s="443"/>
      <c r="E3" s="443"/>
      <c r="F3" s="443"/>
      <c r="G3" s="443"/>
      <c r="H3" s="443"/>
      <c r="I3" s="443"/>
      <c r="J3" s="443"/>
      <c r="K3" s="443"/>
      <c r="L3" s="443"/>
      <c r="M3" s="443"/>
      <c r="N3" s="444"/>
    </row>
    <row r="4" spans="2:14" x14ac:dyDescent="0.25">
      <c r="B4" s="445"/>
      <c r="C4" s="446"/>
      <c r="D4" s="446"/>
      <c r="E4" s="446"/>
      <c r="F4" s="446"/>
      <c r="G4" s="446"/>
      <c r="H4" s="446"/>
      <c r="I4" s="446"/>
      <c r="J4" s="446"/>
      <c r="K4" s="446"/>
      <c r="L4" s="446"/>
      <c r="M4" s="446"/>
      <c r="N4" s="447"/>
    </row>
    <row r="5" spans="2:14" x14ac:dyDescent="0.25">
      <c r="B5" s="445"/>
      <c r="C5" s="446"/>
      <c r="D5" s="446"/>
      <c r="E5" s="446"/>
      <c r="F5" s="446"/>
      <c r="G5" s="446"/>
      <c r="H5" s="446"/>
      <c r="I5" s="446"/>
      <c r="J5" s="446"/>
      <c r="K5" s="446"/>
      <c r="L5" s="446"/>
      <c r="M5" s="446"/>
      <c r="N5" s="447"/>
    </row>
    <row r="6" spans="2:14" x14ac:dyDescent="0.25">
      <c r="B6" s="445"/>
      <c r="C6" s="446"/>
      <c r="D6" s="446"/>
      <c r="E6" s="446"/>
      <c r="F6" s="446"/>
      <c r="G6" s="446"/>
      <c r="H6" s="446"/>
      <c r="I6" s="446"/>
      <c r="J6" s="446"/>
      <c r="K6" s="446"/>
      <c r="L6" s="446"/>
      <c r="M6" s="446"/>
      <c r="N6" s="447"/>
    </row>
    <row r="7" spans="2:14" x14ac:dyDescent="0.25">
      <c r="B7" s="445"/>
      <c r="C7" s="446"/>
      <c r="D7" s="446"/>
      <c r="E7" s="446"/>
      <c r="F7" s="446"/>
      <c r="G7" s="446"/>
      <c r="H7" s="446"/>
      <c r="I7" s="446"/>
      <c r="J7" s="446"/>
      <c r="K7" s="446"/>
      <c r="L7" s="446"/>
      <c r="M7" s="446"/>
      <c r="N7" s="447"/>
    </row>
    <row r="8" spans="2:14" x14ac:dyDescent="0.25">
      <c r="B8" s="445"/>
      <c r="C8" s="446"/>
      <c r="D8" s="446"/>
      <c r="E8" s="446"/>
      <c r="F8" s="446"/>
      <c r="G8" s="446"/>
      <c r="H8" s="446"/>
      <c r="I8" s="446"/>
      <c r="J8" s="446"/>
      <c r="K8" s="446"/>
      <c r="L8" s="446"/>
      <c r="M8" s="446"/>
      <c r="N8" s="447"/>
    </row>
    <row r="9" spans="2:14" x14ac:dyDescent="0.25">
      <c r="B9" s="445"/>
      <c r="C9" s="446"/>
      <c r="D9" s="446"/>
      <c r="E9" s="446"/>
      <c r="F9" s="446"/>
      <c r="G9" s="446"/>
      <c r="H9" s="446"/>
      <c r="I9" s="446"/>
      <c r="J9" s="446"/>
      <c r="K9" s="446"/>
      <c r="L9" s="446"/>
      <c r="M9" s="446"/>
      <c r="N9" s="447"/>
    </row>
    <row r="10" spans="2:14" x14ac:dyDescent="0.25">
      <c r="B10" s="445"/>
      <c r="C10" s="446"/>
      <c r="D10" s="446"/>
      <c r="E10" s="446"/>
      <c r="F10" s="446"/>
      <c r="G10" s="446"/>
      <c r="H10" s="446"/>
      <c r="I10" s="446"/>
      <c r="J10" s="446"/>
      <c r="K10" s="446"/>
      <c r="L10" s="446"/>
      <c r="M10" s="446"/>
      <c r="N10" s="447"/>
    </row>
    <row r="11" spans="2:14" x14ac:dyDescent="0.25">
      <c r="B11" s="445"/>
      <c r="C11" s="446"/>
      <c r="D11" s="446"/>
      <c r="E11" s="446"/>
      <c r="F11" s="446"/>
      <c r="G11" s="446"/>
      <c r="H11" s="446"/>
      <c r="I11" s="446"/>
      <c r="J11" s="446"/>
      <c r="K11" s="446"/>
      <c r="L11" s="446"/>
      <c r="M11" s="446"/>
      <c r="N11" s="447"/>
    </row>
    <row r="12" spans="2:14" x14ac:dyDescent="0.25">
      <c r="B12" s="445"/>
      <c r="C12" s="446"/>
      <c r="D12" s="446"/>
      <c r="E12" s="446"/>
      <c r="F12" s="446"/>
      <c r="G12" s="446"/>
      <c r="H12" s="446"/>
      <c r="I12" s="446"/>
      <c r="J12" s="446"/>
      <c r="K12" s="446"/>
      <c r="L12" s="446"/>
      <c r="M12" s="446"/>
      <c r="N12" s="447"/>
    </row>
    <row r="13" spans="2:14" x14ac:dyDescent="0.25">
      <c r="B13" s="448"/>
      <c r="C13" s="449"/>
      <c r="D13" s="449"/>
      <c r="E13" s="449"/>
      <c r="F13" s="449"/>
      <c r="G13" s="449"/>
      <c r="H13" s="449"/>
      <c r="I13" s="449"/>
      <c r="J13" s="449"/>
      <c r="K13" s="449"/>
      <c r="L13" s="449"/>
      <c r="M13" s="449"/>
      <c r="N13" s="450"/>
    </row>
    <row r="16" spans="2:14" x14ac:dyDescent="0.25">
      <c r="B16" s="27" t="s">
        <v>11</v>
      </c>
      <c r="C16" s="29" t="s">
        <v>12</v>
      </c>
      <c r="D16" s="321" t="s">
        <v>469</v>
      </c>
      <c r="E16" s="321" t="s">
        <v>470</v>
      </c>
    </row>
    <row r="17" spans="2:5" x14ac:dyDescent="0.25">
      <c r="B17" s="322">
        <v>15.3</v>
      </c>
      <c r="C17" s="323">
        <v>30.5</v>
      </c>
      <c r="D17" s="321">
        <f>$C$35*B17+$C$36</f>
        <v>31.381151150711844</v>
      </c>
      <c r="E17" s="321">
        <f>(C17-D17)^2</f>
        <v>0.77642735040080668</v>
      </c>
    </row>
    <row r="18" spans="2:5" x14ac:dyDescent="0.25">
      <c r="B18" s="322">
        <v>17.8</v>
      </c>
      <c r="C18" s="323">
        <v>32.6</v>
      </c>
      <c r="D18" s="323">
        <f t="shared" ref="D18:D26" si="0">$C$35*B18+$C$36</f>
        <v>35.360177910430316</v>
      </c>
      <c r="E18" s="323">
        <f t="shared" ref="E18:E26" si="1">(C18-D18)^2</f>
        <v>7.6185820972274589</v>
      </c>
    </row>
    <row r="19" spans="2:5" x14ac:dyDescent="0.25">
      <c r="B19" s="322">
        <v>20.7</v>
      </c>
      <c r="C19" s="323">
        <v>38.299999999999997</v>
      </c>
      <c r="D19" s="323">
        <f t="shared" si="0"/>
        <v>39.975848951703746</v>
      </c>
      <c r="E19" s="323">
        <f t="shared" si="1"/>
        <v>2.808469708926554</v>
      </c>
    </row>
    <row r="20" spans="2:5" x14ac:dyDescent="0.25">
      <c r="B20" s="322">
        <v>25.1</v>
      </c>
      <c r="C20" s="323">
        <v>45.7</v>
      </c>
      <c r="D20" s="323">
        <f t="shared" si="0"/>
        <v>46.978936048808258</v>
      </c>
      <c r="E20" s="323">
        <f t="shared" si="1"/>
        <v>1.6356774169412713</v>
      </c>
    </row>
    <row r="21" spans="2:5" x14ac:dyDescent="0.25">
      <c r="B21" s="322">
        <v>16.399999999999999</v>
      </c>
      <c r="C21" s="323">
        <v>33.6</v>
      </c>
      <c r="D21" s="323">
        <f t="shared" si="0"/>
        <v>33.131922924987968</v>
      </c>
      <c r="E21" s="323">
        <f t="shared" si="1"/>
        <v>0.21909614815182046</v>
      </c>
    </row>
    <row r="22" spans="2:5" x14ac:dyDescent="0.25">
      <c r="B22" s="322">
        <v>21.6</v>
      </c>
      <c r="C22" s="323">
        <v>42.2</v>
      </c>
      <c r="D22" s="323">
        <f t="shared" si="0"/>
        <v>41.408298585202395</v>
      </c>
      <c r="E22" s="323">
        <f t="shared" si="1"/>
        <v>0.62679113019253352</v>
      </c>
    </row>
    <row r="23" spans="2:5" x14ac:dyDescent="0.25">
      <c r="B23" s="322">
        <v>19.600000000000001</v>
      </c>
      <c r="C23" s="323">
        <v>37.5</v>
      </c>
      <c r="D23" s="323">
        <f t="shared" si="0"/>
        <v>38.225077177427622</v>
      </c>
      <c r="E23" s="323">
        <f t="shared" si="1"/>
        <v>0.52573691322640681</v>
      </c>
    </row>
    <row r="24" spans="2:5" x14ac:dyDescent="0.25">
      <c r="B24" s="322">
        <v>18.8</v>
      </c>
      <c r="C24" s="323">
        <v>38.1</v>
      </c>
      <c r="D24" s="323">
        <f t="shared" si="0"/>
        <v>36.951788614317707</v>
      </c>
      <c r="E24" s="323">
        <f t="shared" si="1"/>
        <v>1.3183893862104556</v>
      </c>
    </row>
    <row r="25" spans="2:5" x14ac:dyDescent="0.25">
      <c r="B25" s="322">
        <v>20.2</v>
      </c>
      <c r="C25" s="323">
        <v>41.6</v>
      </c>
      <c r="D25" s="323">
        <f t="shared" si="0"/>
        <v>39.180043599760047</v>
      </c>
      <c r="E25" s="323">
        <f t="shared" si="1"/>
        <v>5.8561889790623169</v>
      </c>
    </row>
    <row r="26" spans="2:5" x14ac:dyDescent="0.25">
      <c r="B26" s="324">
        <v>19.399999999999999</v>
      </c>
      <c r="C26" s="325">
        <v>40.4</v>
      </c>
      <c r="D26" s="325">
        <f t="shared" si="0"/>
        <v>37.906755036650139</v>
      </c>
      <c r="E26" s="325">
        <f t="shared" si="1"/>
        <v>6.2162704472694408</v>
      </c>
    </row>
    <row r="27" spans="2:5" x14ac:dyDescent="0.25">
      <c r="E27" s="1">
        <f>SUM(E17:E26)</f>
        <v>27.601629577609064</v>
      </c>
    </row>
    <row r="28" spans="2:5" x14ac:dyDescent="0.25">
      <c r="E28" s="1">
        <f>SQRT(E27/8)</f>
        <v>1.8574723947346117</v>
      </c>
    </row>
    <row r="29" spans="2:5" x14ac:dyDescent="0.25">
      <c r="B29" s="71" t="s">
        <v>340</v>
      </c>
      <c r="C29" s="72">
        <f>AVERAGE(B17:B26)</f>
        <v>19.490000000000002</v>
      </c>
      <c r="E29" s="1">
        <f>SQRT(10*C31)</f>
        <v>8.2673454022437287</v>
      </c>
    </row>
    <row r="30" spans="2:5" x14ac:dyDescent="0.25">
      <c r="B30" s="73" t="s">
        <v>341</v>
      </c>
      <c r="C30" s="74">
        <f>AVERAGE(C17:C26)</f>
        <v>38.050000000000004</v>
      </c>
    </row>
    <row r="31" spans="2:5" x14ac:dyDescent="0.25">
      <c r="B31" s="73" t="s">
        <v>9</v>
      </c>
      <c r="C31" s="74">
        <f>_xlfn.VAR.P(B17:B26)</f>
        <v>6.8349000000000526</v>
      </c>
    </row>
    <row r="32" spans="2:5" x14ac:dyDescent="0.25">
      <c r="B32" s="73" t="s">
        <v>16</v>
      </c>
      <c r="C32" s="74">
        <f>_xlfn.VAR.P(C17:C26)</f>
        <v>20.074499999999535</v>
      </c>
    </row>
    <row r="33" spans="2:11" x14ac:dyDescent="0.25">
      <c r="B33" s="75" t="s">
        <v>4</v>
      </c>
      <c r="C33" s="76">
        <f>COVAR(B17:B26,C17:C26)</f>
        <v>10.878500000000001</v>
      </c>
    </row>
    <row r="35" spans="2:11" x14ac:dyDescent="0.25">
      <c r="B35" s="71" t="s">
        <v>103</v>
      </c>
      <c r="C35" s="72">
        <f>C33/C31</f>
        <v>1.5916107038873892</v>
      </c>
      <c r="E35" s="71" t="s">
        <v>471</v>
      </c>
      <c r="F35" s="72">
        <f>C35*E29/E28</f>
        <v>7.0840328352903095</v>
      </c>
      <c r="G35" s="487" t="s">
        <v>473</v>
      </c>
      <c r="H35" s="488"/>
      <c r="I35" s="488"/>
      <c r="J35" s="488"/>
      <c r="K35" s="489"/>
    </row>
    <row r="36" spans="2:11" x14ac:dyDescent="0.25">
      <c r="B36" s="75" t="s">
        <v>102</v>
      </c>
      <c r="C36" s="76">
        <f>C30-C35*C29</f>
        <v>7.0295073812347866</v>
      </c>
      <c r="E36" s="75" t="s">
        <v>472</v>
      </c>
      <c r="F36" s="76">
        <f>TINV(0.1,8)</f>
        <v>1.8595480375308981</v>
      </c>
      <c r="G36" s="493"/>
      <c r="H36" s="494"/>
      <c r="I36" s="494"/>
      <c r="J36" s="494"/>
      <c r="K36" s="495"/>
    </row>
    <row r="37" spans="2:11" x14ac:dyDescent="0.25">
      <c r="B37" s="97"/>
      <c r="C37" s="97"/>
      <c r="E37" s="97"/>
      <c r="F37" s="97"/>
      <c r="G37" s="107"/>
      <c r="H37" s="107"/>
      <c r="I37" s="107"/>
      <c r="J37" s="107"/>
      <c r="K37" s="107"/>
    </row>
    <row r="38" spans="2:11" x14ac:dyDescent="0.25">
      <c r="B38" s="97"/>
      <c r="C38" s="97"/>
      <c r="E38" s="97" t="s">
        <v>477</v>
      </c>
      <c r="F38" s="97">
        <f>C35*20.5+C36</f>
        <v>39.657526810926264</v>
      </c>
      <c r="G38" s="107"/>
      <c r="H38" s="107"/>
      <c r="I38" s="107"/>
      <c r="J38" s="107"/>
      <c r="K38" s="107"/>
    </row>
    <row r="39" spans="2:11" x14ac:dyDescent="0.25">
      <c r="B39" s="97"/>
      <c r="C39" s="97"/>
      <c r="E39" s="97" t="s">
        <v>478</v>
      </c>
      <c r="F39" s="97">
        <f>TINV(0.05,8)*SQRT(E27/8)*SQRT(0.1+((20.5-C29)^2/(10*C31)))</f>
        <v>1.4520763834155139</v>
      </c>
      <c r="G39" s="107"/>
      <c r="H39" s="107"/>
      <c r="I39" s="107"/>
      <c r="J39" s="107"/>
      <c r="K39" s="107"/>
    </row>
    <row r="41" spans="2:11" x14ac:dyDescent="0.25">
      <c r="B41" s="1" t="s">
        <v>67</v>
      </c>
    </row>
    <row r="42" spans="2:11" ht="15.75" thickBot="1" x14ac:dyDescent="0.3"/>
    <row r="43" spans="2:11" x14ac:dyDescent="0.25">
      <c r="B43" s="61" t="s">
        <v>68</v>
      </c>
      <c r="C43" s="61"/>
    </row>
    <row r="44" spans="2:11" x14ac:dyDescent="0.25">
      <c r="B44" s="62" t="s">
        <v>69</v>
      </c>
      <c r="C44" s="62">
        <v>0.92871094783051</v>
      </c>
    </row>
    <row r="45" spans="2:11" x14ac:dyDescent="0.25">
      <c r="B45" s="62" t="s">
        <v>70</v>
      </c>
      <c r="C45" s="62">
        <v>0.86250402462024434</v>
      </c>
    </row>
    <row r="46" spans="2:11" x14ac:dyDescent="0.25">
      <c r="B46" s="62" t="s">
        <v>71</v>
      </c>
      <c r="C46" s="62">
        <v>0.84531702769777484</v>
      </c>
    </row>
    <row r="47" spans="2:11" x14ac:dyDescent="0.25">
      <c r="B47" s="62" t="s">
        <v>36</v>
      </c>
      <c r="C47" s="62">
        <v>1.8574723947346115</v>
      </c>
    </row>
    <row r="48" spans="2:11" ht="15.75" thickBot="1" x14ac:dyDescent="0.3">
      <c r="B48" s="63" t="s">
        <v>72</v>
      </c>
      <c r="C48" s="63">
        <v>10</v>
      </c>
    </row>
    <row r="50" spans="2:10" ht="15.75" thickBot="1" x14ac:dyDescent="0.3">
      <c r="B50" s="1" t="s">
        <v>73</v>
      </c>
    </row>
    <row r="51" spans="2:10" x14ac:dyDescent="0.25">
      <c r="B51" s="64"/>
      <c r="C51" s="64" t="s">
        <v>78</v>
      </c>
      <c r="D51" s="64" t="s">
        <v>79</v>
      </c>
      <c r="E51" s="64" t="s">
        <v>80</v>
      </c>
      <c r="F51" s="64" t="s">
        <v>81</v>
      </c>
      <c r="G51" s="64" t="s">
        <v>82</v>
      </c>
    </row>
    <row r="52" spans="2:10" x14ac:dyDescent="0.25">
      <c r="B52" s="62" t="s">
        <v>74</v>
      </c>
      <c r="C52" s="62">
        <v>1</v>
      </c>
      <c r="D52" s="62">
        <v>173.14337042239103</v>
      </c>
      <c r="E52" s="62">
        <v>173.14337042239103</v>
      </c>
      <c r="F52" s="66">
        <v>50.183521211471678</v>
      </c>
      <c r="G52" s="66">
        <v>1.0361526755205038E-4</v>
      </c>
    </row>
    <row r="53" spans="2:10" x14ac:dyDescent="0.25">
      <c r="B53" s="62" t="s">
        <v>75</v>
      </c>
      <c r="C53" s="62">
        <v>8</v>
      </c>
      <c r="D53" s="62">
        <v>27.60162957760906</v>
      </c>
      <c r="E53" s="62">
        <v>3.4502036972011325</v>
      </c>
      <c r="F53" s="62"/>
      <c r="G53" s="62"/>
    </row>
    <row r="54" spans="2:10" ht="15.75" thickBot="1" x14ac:dyDescent="0.3">
      <c r="B54" s="63" t="s">
        <v>76</v>
      </c>
      <c r="C54" s="63">
        <v>9</v>
      </c>
      <c r="D54" s="63">
        <v>200.74500000000009</v>
      </c>
      <c r="E54" s="63"/>
      <c r="F54" s="63"/>
      <c r="G54" s="63"/>
    </row>
    <row r="55" spans="2:10" ht="15.75" thickBot="1" x14ac:dyDescent="0.3"/>
    <row r="56" spans="2:10" x14ac:dyDescent="0.25">
      <c r="B56" s="64"/>
      <c r="C56" s="64" t="s">
        <v>83</v>
      </c>
      <c r="D56" s="64" t="s">
        <v>36</v>
      </c>
      <c r="E56" s="64" t="s">
        <v>84</v>
      </c>
      <c r="F56" s="64" t="s">
        <v>85</v>
      </c>
      <c r="G56" s="64" t="s">
        <v>86</v>
      </c>
      <c r="H56" s="64" t="s">
        <v>87</v>
      </c>
      <c r="I56" s="64" t="s">
        <v>88</v>
      </c>
      <c r="J56" s="64" t="s">
        <v>89</v>
      </c>
    </row>
    <row r="57" spans="2:10" x14ac:dyDescent="0.25">
      <c r="B57" s="62" t="s">
        <v>77</v>
      </c>
      <c r="C57" s="66">
        <v>7.0295073812345592</v>
      </c>
      <c r="D57" s="62">
        <v>4.4181510939782687</v>
      </c>
      <c r="E57" s="62">
        <v>1.5910518295346319</v>
      </c>
      <c r="F57" s="62">
        <v>0.15026230578760894</v>
      </c>
      <c r="G57" s="62">
        <v>-3.1587673114361436</v>
      </c>
      <c r="H57" s="62">
        <v>17.217782073905262</v>
      </c>
      <c r="I57" s="62">
        <v>-3.1587673114361436</v>
      </c>
      <c r="J57" s="62">
        <v>17.217782073905262</v>
      </c>
    </row>
    <row r="58" spans="2:10" ht="15.75" thickBot="1" x14ac:dyDescent="0.3">
      <c r="B58" s="63" t="s">
        <v>475</v>
      </c>
      <c r="C58" s="67">
        <v>1.5916107038874008</v>
      </c>
      <c r="D58" s="63">
        <v>0.22467579426771098</v>
      </c>
      <c r="E58" s="67">
        <v>7.0840328352903361</v>
      </c>
      <c r="F58" s="63">
        <v>1.0361526755205074E-4</v>
      </c>
      <c r="G58" s="63">
        <v>1.0735073932257786</v>
      </c>
      <c r="H58" s="63">
        <v>2.1097140145490227</v>
      </c>
      <c r="I58" s="63">
        <v>1.0735073932257786</v>
      </c>
      <c r="J58" s="63">
        <v>2.1097140145490227</v>
      </c>
    </row>
    <row r="62" spans="2:10" x14ac:dyDescent="0.25">
      <c r="B62" s="1" t="s">
        <v>93</v>
      </c>
    </row>
    <row r="63" spans="2:10" ht="15.75" thickBot="1" x14ac:dyDescent="0.3"/>
    <row r="64" spans="2:10" x14ac:dyDescent="0.25">
      <c r="B64" s="64" t="s">
        <v>94</v>
      </c>
      <c r="C64" s="64" t="s">
        <v>476</v>
      </c>
      <c r="D64" s="64" t="s">
        <v>75</v>
      </c>
      <c r="E64" s="64" t="s">
        <v>96</v>
      </c>
    </row>
    <row r="65" spans="2:5" x14ac:dyDescent="0.25">
      <c r="B65" s="62">
        <v>1</v>
      </c>
      <c r="C65" s="62">
        <v>31.381151150711791</v>
      </c>
      <c r="D65" s="62">
        <v>-0.88115115071179062</v>
      </c>
      <c r="E65" s="62">
        <v>-0.50315791154004585</v>
      </c>
    </row>
    <row r="66" spans="2:5" x14ac:dyDescent="0.25">
      <c r="B66" s="62">
        <v>2</v>
      </c>
      <c r="C66" s="62">
        <v>35.360177910430295</v>
      </c>
      <c r="D66" s="62">
        <v>-2.7601779104302935</v>
      </c>
      <c r="E66" s="62">
        <v>-1.5761261297442584</v>
      </c>
    </row>
    <row r="67" spans="2:5" x14ac:dyDescent="0.25">
      <c r="B67" s="62">
        <v>3</v>
      </c>
      <c r="C67" s="62">
        <v>39.975848951703753</v>
      </c>
      <c r="D67" s="62">
        <v>-1.675848951703756</v>
      </c>
      <c r="E67" s="62">
        <v>-0.95694893879976184</v>
      </c>
    </row>
    <row r="68" spans="2:5" x14ac:dyDescent="0.25">
      <c r="B68" s="62">
        <v>4</v>
      </c>
      <c r="C68" s="62">
        <v>46.978936048808322</v>
      </c>
      <c r="D68" s="62">
        <v>-1.278936048808319</v>
      </c>
      <c r="E68" s="62">
        <v>-0.73030238999500774</v>
      </c>
    </row>
    <row r="69" spans="2:5" x14ac:dyDescent="0.25">
      <c r="B69" s="62">
        <v>5</v>
      </c>
      <c r="C69" s="62">
        <v>33.131922924987933</v>
      </c>
      <c r="D69" s="62">
        <v>0.46807707501206863</v>
      </c>
      <c r="E69" s="62">
        <v>0.26728295515768929</v>
      </c>
    </row>
    <row r="70" spans="2:5" x14ac:dyDescent="0.25">
      <c r="B70" s="62">
        <v>6</v>
      </c>
      <c r="C70" s="62">
        <v>41.408298585202417</v>
      </c>
      <c r="D70" s="62">
        <v>0.79170141479758627</v>
      </c>
      <c r="E70" s="62">
        <v>0.4520800206764376</v>
      </c>
    </row>
    <row r="71" spans="2:5" x14ac:dyDescent="0.25">
      <c r="B71" s="62">
        <v>7</v>
      </c>
      <c r="C71" s="62">
        <v>38.225077177427622</v>
      </c>
      <c r="D71" s="62">
        <v>-0.72507717742762168</v>
      </c>
      <c r="E71" s="62">
        <v>-0.41403602322385491</v>
      </c>
    </row>
    <row r="72" spans="2:5" x14ac:dyDescent="0.25">
      <c r="B72" s="62">
        <v>8</v>
      </c>
      <c r="C72" s="62">
        <v>36.951788614317692</v>
      </c>
      <c r="D72" s="62">
        <v>1.1482113856823091</v>
      </c>
      <c r="E72" s="62">
        <v>0.65565555053718461</v>
      </c>
    </row>
    <row r="73" spans="2:5" x14ac:dyDescent="0.25">
      <c r="B73" s="62">
        <v>9</v>
      </c>
      <c r="C73" s="62">
        <v>39.180043599760054</v>
      </c>
      <c r="D73" s="62">
        <v>2.419956400239947</v>
      </c>
      <c r="E73" s="62">
        <v>1.3818516918228048</v>
      </c>
    </row>
    <row r="74" spans="2:5" ht="15.75" thickBot="1" x14ac:dyDescent="0.3">
      <c r="B74" s="63">
        <v>10</v>
      </c>
      <c r="C74" s="63">
        <v>37.906755036650132</v>
      </c>
      <c r="D74" s="63">
        <v>2.4932449633498663</v>
      </c>
      <c r="E74" s="63">
        <v>1.4237011751088107</v>
      </c>
    </row>
  </sheetData>
  <mergeCells count="2">
    <mergeCell ref="G35:K36"/>
    <mergeCell ref="B3:N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2:O53"/>
  <sheetViews>
    <sheetView topLeftCell="A16" workbookViewId="0">
      <selection activeCell="H26" sqref="H26:H27"/>
    </sheetView>
  </sheetViews>
  <sheetFormatPr baseColWidth="10" defaultColWidth="11.42578125" defaultRowHeight="12.75" x14ac:dyDescent="0.2"/>
  <cols>
    <col min="1" max="1" width="11.42578125" style="155"/>
    <col min="2" max="2" width="6.5703125" style="155" customWidth="1"/>
    <col min="3" max="3" width="9.140625" style="155" customWidth="1"/>
    <col min="4" max="4" width="12.28515625" style="155" bestFit="1" customWidth="1"/>
    <col min="5" max="5" width="11.42578125" style="155"/>
    <col min="6" max="6" width="8.7109375" style="155" customWidth="1"/>
    <col min="7" max="7" width="11.42578125" style="155" customWidth="1"/>
    <col min="8" max="8" width="9.140625" style="155" customWidth="1"/>
    <col min="9" max="16384" width="11.42578125" style="155"/>
  </cols>
  <sheetData>
    <row r="2" spans="2:12" ht="15" customHeight="1" x14ac:dyDescent="0.2">
      <c r="B2" s="413" t="s">
        <v>298</v>
      </c>
      <c r="C2" s="414"/>
      <c r="D2" s="414"/>
      <c r="E2" s="414"/>
      <c r="F2" s="414"/>
      <c r="G2" s="414"/>
      <c r="H2" s="414"/>
      <c r="I2" s="414"/>
      <c r="J2" s="414"/>
      <c r="K2" s="414"/>
      <c r="L2" s="415"/>
    </row>
    <row r="3" spans="2:12" ht="15" customHeight="1" x14ac:dyDescent="0.2">
      <c r="B3" s="416"/>
      <c r="C3" s="417"/>
      <c r="D3" s="417"/>
      <c r="E3" s="417"/>
      <c r="F3" s="417"/>
      <c r="G3" s="417"/>
      <c r="H3" s="417"/>
      <c r="I3" s="417"/>
      <c r="J3" s="417"/>
      <c r="K3" s="417"/>
      <c r="L3" s="418"/>
    </row>
    <row r="4" spans="2:12" ht="15" customHeight="1" x14ac:dyDescent="0.2">
      <c r="B4" s="416"/>
      <c r="C4" s="417"/>
      <c r="D4" s="417"/>
      <c r="E4" s="417"/>
      <c r="F4" s="417"/>
      <c r="G4" s="417"/>
      <c r="H4" s="417"/>
      <c r="I4" s="417"/>
      <c r="J4" s="417"/>
      <c r="K4" s="417"/>
      <c r="L4" s="418"/>
    </row>
    <row r="5" spans="2:12" x14ac:dyDescent="0.2">
      <c r="B5" s="419"/>
      <c r="C5" s="420"/>
      <c r="D5" s="420"/>
      <c r="E5" s="420"/>
      <c r="F5" s="420"/>
      <c r="G5" s="420"/>
      <c r="H5" s="420"/>
      <c r="I5" s="420"/>
      <c r="J5" s="420"/>
      <c r="K5" s="420"/>
      <c r="L5" s="421"/>
    </row>
    <row r="7" spans="2:12" ht="14.25" x14ac:dyDescent="0.2">
      <c r="D7" s="410" t="s">
        <v>129</v>
      </c>
      <c r="E7" s="411"/>
      <c r="F7" s="412" t="s">
        <v>130</v>
      </c>
      <c r="G7" s="411"/>
    </row>
    <row r="8" spans="2:12" ht="48" customHeight="1" x14ac:dyDescent="0.2">
      <c r="D8" s="180" t="s">
        <v>131</v>
      </c>
      <c r="E8" s="181" t="s">
        <v>132</v>
      </c>
      <c r="F8" s="182" t="s">
        <v>131</v>
      </c>
      <c r="G8" s="181" t="s">
        <v>133</v>
      </c>
    </row>
    <row r="9" spans="2:12" ht="14.25" x14ac:dyDescent="0.2">
      <c r="D9" s="183">
        <v>15</v>
      </c>
      <c r="E9" s="184">
        <v>800</v>
      </c>
      <c r="F9" s="185">
        <v>10</v>
      </c>
      <c r="G9" s="184">
        <v>800</v>
      </c>
    </row>
    <row r="10" spans="2:12" ht="14.25" x14ac:dyDescent="0.2">
      <c r="D10" s="183">
        <v>20</v>
      </c>
      <c r="E10" s="184">
        <v>1000</v>
      </c>
      <c r="F10" s="185">
        <v>30</v>
      </c>
      <c r="G10" s="184">
        <v>1000</v>
      </c>
    </row>
    <row r="11" spans="2:12" ht="14.25" x14ac:dyDescent="0.2">
      <c r="D11" s="183">
        <v>30</v>
      </c>
      <c r="E11" s="184">
        <v>1200</v>
      </c>
      <c r="F11" s="185">
        <v>35</v>
      </c>
      <c r="G11" s="184">
        <v>1200</v>
      </c>
    </row>
    <row r="12" spans="2:12" ht="14.25" x14ac:dyDescent="0.2">
      <c r="D12" s="183">
        <v>20</v>
      </c>
      <c r="E12" s="184">
        <v>1500</v>
      </c>
      <c r="F12" s="185">
        <v>24</v>
      </c>
      <c r="G12" s="184">
        <v>1500</v>
      </c>
    </row>
    <row r="13" spans="2:12" ht="14.25" x14ac:dyDescent="0.2">
      <c r="D13" s="186">
        <v>15</v>
      </c>
      <c r="E13" s="187">
        <v>7500</v>
      </c>
      <c r="F13" s="188">
        <v>1</v>
      </c>
      <c r="G13" s="187">
        <v>7500</v>
      </c>
    </row>
    <row r="15" spans="2:12" ht="6.75" customHeight="1" x14ac:dyDescent="0.2"/>
    <row r="16" spans="2:12" x14ac:dyDescent="0.2">
      <c r="C16" s="156" t="s">
        <v>134</v>
      </c>
    </row>
    <row r="17" spans="2:15" ht="5.25" customHeight="1" x14ac:dyDescent="0.2">
      <c r="C17" s="156"/>
    </row>
    <row r="18" spans="2:15" x14ac:dyDescent="0.2">
      <c r="C18" s="157" t="s">
        <v>135</v>
      </c>
      <c r="D18" s="157" t="s">
        <v>136</v>
      </c>
    </row>
    <row r="19" spans="2:15" ht="15.75" x14ac:dyDescent="0.3">
      <c r="C19" s="158" t="s">
        <v>137</v>
      </c>
      <c r="D19" s="159" t="s">
        <v>138</v>
      </c>
      <c r="E19" s="159" t="s">
        <v>139</v>
      </c>
      <c r="F19" s="159" t="s">
        <v>140</v>
      </c>
      <c r="G19" s="160" t="s">
        <v>141</v>
      </c>
      <c r="H19" s="159" t="s">
        <v>142</v>
      </c>
      <c r="I19" s="159" t="s">
        <v>143</v>
      </c>
      <c r="J19" s="159" t="s">
        <v>144</v>
      </c>
      <c r="N19" s="155">
        <v>0</v>
      </c>
      <c r="O19" s="155">
        <v>0</v>
      </c>
    </row>
    <row r="20" spans="2:15" x14ac:dyDescent="0.2">
      <c r="C20" s="158"/>
      <c r="D20" s="159"/>
      <c r="E20" s="159"/>
      <c r="F20" s="159"/>
      <c r="G20" s="160"/>
      <c r="H20" s="161">
        <v>0</v>
      </c>
      <c r="I20" s="161">
        <v>0</v>
      </c>
      <c r="J20" s="159"/>
      <c r="N20" s="155">
        <v>100</v>
      </c>
      <c r="O20" s="155">
        <v>100</v>
      </c>
    </row>
    <row r="21" spans="2:15" x14ac:dyDescent="0.2">
      <c r="B21" s="162"/>
      <c r="C21" s="163">
        <v>800</v>
      </c>
      <c r="D21" s="163">
        <v>15</v>
      </c>
      <c r="E21" s="164">
        <f>C21*D21</f>
        <v>12000</v>
      </c>
      <c r="F21" s="164">
        <f>E21</f>
        <v>12000</v>
      </c>
      <c r="G21" s="165">
        <f>D21</f>
        <v>15</v>
      </c>
      <c r="H21" s="166">
        <f>(G21/D$26)*100</f>
        <v>15</v>
      </c>
      <c r="I21" s="166">
        <f>(F21/E$26)*100</f>
        <v>5.7007125890736345</v>
      </c>
      <c r="J21" s="166">
        <f>H21-I21</f>
        <v>9.2992874109263646</v>
      </c>
    </row>
    <row r="22" spans="2:15" x14ac:dyDescent="0.2">
      <c r="B22" s="167"/>
      <c r="C22" s="168">
        <v>1000</v>
      </c>
      <c r="D22" s="168">
        <v>20</v>
      </c>
      <c r="E22" s="169">
        <f>C22*D22</f>
        <v>20000</v>
      </c>
      <c r="F22" s="169">
        <f>F21+E22</f>
        <v>32000</v>
      </c>
      <c r="G22" s="165">
        <f>G21+D22</f>
        <v>35</v>
      </c>
      <c r="H22" s="170">
        <f>(G22/D$26)*100</f>
        <v>35</v>
      </c>
      <c r="I22" s="166">
        <f>(F22/E$26)*100</f>
        <v>15.201900237529692</v>
      </c>
      <c r="J22" s="166">
        <f>H22-I22</f>
        <v>19.798099762470308</v>
      </c>
    </row>
    <row r="23" spans="2:15" x14ac:dyDescent="0.2">
      <c r="B23" s="167"/>
      <c r="C23" s="168">
        <v>1200</v>
      </c>
      <c r="D23" s="168">
        <v>30</v>
      </c>
      <c r="E23" s="169">
        <f>C23*D23</f>
        <v>36000</v>
      </c>
      <c r="F23" s="169">
        <f>F22+E23</f>
        <v>68000</v>
      </c>
      <c r="G23" s="165">
        <f>G22+D23</f>
        <v>65</v>
      </c>
      <c r="H23" s="170">
        <f>(G23/D$26)*100</f>
        <v>65</v>
      </c>
      <c r="I23" s="166">
        <f>(F23/E$26)*100</f>
        <v>32.304038004750595</v>
      </c>
      <c r="J23" s="166">
        <f>H23-I23</f>
        <v>32.695961995249405</v>
      </c>
    </row>
    <row r="24" spans="2:15" x14ac:dyDescent="0.2">
      <c r="B24" s="167"/>
      <c r="C24" s="168">
        <v>1500</v>
      </c>
      <c r="D24" s="168">
        <v>20</v>
      </c>
      <c r="E24" s="169">
        <f>C24*D24</f>
        <v>30000</v>
      </c>
      <c r="F24" s="169">
        <f>F23+E24</f>
        <v>98000</v>
      </c>
      <c r="G24" s="165">
        <f>G23+D24</f>
        <v>85</v>
      </c>
      <c r="H24" s="170">
        <f>(G24/D$26)*100</f>
        <v>85</v>
      </c>
      <c r="I24" s="166">
        <f>(F24/E$26)*100</f>
        <v>46.555819477434682</v>
      </c>
      <c r="J24" s="166">
        <f>H24-I24</f>
        <v>38.444180522565318</v>
      </c>
    </row>
    <row r="25" spans="2:15" x14ac:dyDescent="0.2">
      <c r="B25" s="167"/>
      <c r="C25" s="168">
        <v>7500</v>
      </c>
      <c r="D25" s="168">
        <v>15</v>
      </c>
      <c r="E25" s="169">
        <f>C25*D25</f>
        <v>112500</v>
      </c>
      <c r="F25" s="169">
        <f>F24+E25</f>
        <v>210500</v>
      </c>
      <c r="G25" s="165">
        <f>G24+D25</f>
        <v>100</v>
      </c>
      <c r="H25" s="170">
        <f>(G25/D$26)*100</f>
        <v>100</v>
      </c>
      <c r="I25" s="166">
        <f>(F25/E$26)*100</f>
        <v>100</v>
      </c>
      <c r="J25" s="166">
        <f>H25-I25</f>
        <v>0</v>
      </c>
    </row>
    <row r="26" spans="2:15" x14ac:dyDescent="0.2">
      <c r="D26" s="155">
        <f>SUM(D21:D25)</f>
        <v>100</v>
      </c>
      <c r="E26" s="171">
        <f>SUM(E21:E25)</f>
        <v>210500</v>
      </c>
      <c r="H26" s="172">
        <f>SUM(H21:H24)</f>
        <v>200</v>
      </c>
      <c r="J26" s="173">
        <f>SUM(J21:J24)</f>
        <v>100.23752969121139</v>
      </c>
    </row>
    <row r="28" spans="2:15" x14ac:dyDescent="0.2">
      <c r="I28" s="174" t="s">
        <v>145</v>
      </c>
      <c r="J28" s="175">
        <f>J26/H26</f>
        <v>0.50118764845605701</v>
      </c>
    </row>
    <row r="30" spans="2:15" ht="6" customHeight="1" x14ac:dyDescent="0.2"/>
    <row r="31" spans="2:15" x14ac:dyDescent="0.2">
      <c r="C31" s="156" t="s">
        <v>146</v>
      </c>
    </row>
    <row r="32" spans="2:15" ht="7.5" customHeight="1" x14ac:dyDescent="0.2">
      <c r="C32" s="156"/>
    </row>
    <row r="33" spans="3:10" x14ac:dyDescent="0.2">
      <c r="C33" s="157" t="s">
        <v>135</v>
      </c>
      <c r="D33" s="157" t="s">
        <v>136</v>
      </c>
    </row>
    <row r="34" spans="3:10" ht="15.75" x14ac:dyDescent="0.3">
      <c r="C34" s="158" t="s">
        <v>137</v>
      </c>
      <c r="D34" s="159" t="s">
        <v>138</v>
      </c>
      <c r="E34" s="159" t="s">
        <v>139</v>
      </c>
      <c r="F34" s="159" t="s">
        <v>140</v>
      </c>
      <c r="G34" s="160" t="s">
        <v>141</v>
      </c>
      <c r="H34" s="159" t="s">
        <v>142</v>
      </c>
      <c r="I34" s="159" t="s">
        <v>143</v>
      </c>
      <c r="J34" s="159" t="s">
        <v>144</v>
      </c>
    </row>
    <row r="35" spans="3:10" x14ac:dyDescent="0.2">
      <c r="C35" s="158"/>
      <c r="D35" s="159"/>
      <c r="E35" s="159"/>
      <c r="F35" s="159"/>
      <c r="G35" s="160"/>
      <c r="H35" s="161">
        <v>0</v>
      </c>
      <c r="I35" s="161">
        <v>0</v>
      </c>
      <c r="J35" s="159"/>
    </row>
    <row r="36" spans="3:10" x14ac:dyDescent="0.2">
      <c r="C36" s="163">
        <v>800</v>
      </c>
      <c r="D36" s="163">
        <v>10</v>
      </c>
      <c r="E36" s="164">
        <f>C36*D36</f>
        <v>8000</v>
      </c>
      <c r="F36" s="164">
        <f>E36</f>
        <v>8000</v>
      </c>
      <c r="G36" s="165">
        <f>D36</f>
        <v>10</v>
      </c>
      <c r="H36" s="166">
        <f>(G36/D$41)*100</f>
        <v>10</v>
      </c>
      <c r="I36" s="166">
        <f>(F36/E$41)*100</f>
        <v>6.4777327935222671</v>
      </c>
      <c r="J36" s="166">
        <f>H36-I36</f>
        <v>3.5222672064777329</v>
      </c>
    </row>
    <row r="37" spans="3:10" x14ac:dyDescent="0.2">
      <c r="C37" s="168">
        <v>1000</v>
      </c>
      <c r="D37" s="168">
        <v>30</v>
      </c>
      <c r="E37" s="169">
        <f>C37*D37</f>
        <v>30000</v>
      </c>
      <c r="F37" s="169">
        <f>F36+E37</f>
        <v>38000</v>
      </c>
      <c r="G37" s="165">
        <f>G36+D37</f>
        <v>40</v>
      </c>
      <c r="H37" s="170">
        <f>(G37/D$26)*100</f>
        <v>40</v>
      </c>
      <c r="I37" s="166">
        <f>(F37/E$41)*100</f>
        <v>30.76923076923077</v>
      </c>
      <c r="J37" s="166">
        <f>H37-I37</f>
        <v>9.2307692307692299</v>
      </c>
    </row>
    <row r="38" spans="3:10" x14ac:dyDescent="0.2">
      <c r="C38" s="168">
        <v>1200</v>
      </c>
      <c r="D38" s="168">
        <v>35</v>
      </c>
      <c r="E38" s="169">
        <f>C38*D38</f>
        <v>42000</v>
      </c>
      <c r="F38" s="169">
        <f>F37+E38</f>
        <v>80000</v>
      </c>
      <c r="G38" s="165">
        <f>G37+D38</f>
        <v>75</v>
      </c>
      <c r="H38" s="170">
        <f>(G38/D$26)*100</f>
        <v>75</v>
      </c>
      <c r="I38" s="166">
        <f>(F38/E$41)*100</f>
        <v>64.777327935222672</v>
      </c>
      <c r="J38" s="166">
        <f>H38-I38</f>
        <v>10.222672064777328</v>
      </c>
    </row>
    <row r="39" spans="3:10" x14ac:dyDescent="0.2">
      <c r="C39" s="168">
        <v>1500</v>
      </c>
      <c r="D39" s="168">
        <v>24</v>
      </c>
      <c r="E39" s="169">
        <f>C39*D39</f>
        <v>36000</v>
      </c>
      <c r="F39" s="169">
        <f>F38+E39</f>
        <v>116000</v>
      </c>
      <c r="G39" s="165">
        <f>G38+D39</f>
        <v>99</v>
      </c>
      <c r="H39" s="170">
        <f>(G39/D$26)*100</f>
        <v>99</v>
      </c>
      <c r="I39" s="166">
        <f>(F39/E$41)*100</f>
        <v>93.927125506072869</v>
      </c>
      <c r="J39" s="166">
        <f>H39-I39</f>
        <v>5.0728744939271309</v>
      </c>
    </row>
    <row r="40" spans="3:10" x14ac:dyDescent="0.2">
      <c r="C40" s="168">
        <v>7500</v>
      </c>
      <c r="D40" s="168">
        <v>1</v>
      </c>
      <c r="E40" s="169">
        <f>C40*D40</f>
        <v>7500</v>
      </c>
      <c r="F40" s="169">
        <f>F39+E40</f>
        <v>123500</v>
      </c>
      <c r="G40" s="165">
        <f>G39+D40</f>
        <v>100</v>
      </c>
      <c r="H40" s="170">
        <f>(G40/D$26)*100</f>
        <v>100</v>
      </c>
      <c r="I40" s="166">
        <f>(F40/E$41)*100</f>
        <v>100</v>
      </c>
      <c r="J40" s="166">
        <f>H40-I40</f>
        <v>0</v>
      </c>
    </row>
    <row r="41" spans="3:10" x14ac:dyDescent="0.2">
      <c r="D41" s="155">
        <f>SUM(D36:D40)</f>
        <v>100</v>
      </c>
      <c r="E41" s="171">
        <f>SUM(E36:E40)</f>
        <v>123500</v>
      </c>
      <c r="H41" s="172">
        <f>SUM(H36:H39)</f>
        <v>224</v>
      </c>
      <c r="J41" s="173">
        <f>SUM(J36:J39)</f>
        <v>28.048582995951421</v>
      </c>
    </row>
    <row r="43" spans="3:10" x14ac:dyDescent="0.2">
      <c r="I43" s="174" t="s">
        <v>145</v>
      </c>
      <c r="J43" s="175">
        <f>J41/H41</f>
        <v>0.12521688837478312</v>
      </c>
    </row>
    <row r="46" spans="3:10" x14ac:dyDescent="0.2">
      <c r="D46" s="176" t="s">
        <v>147</v>
      </c>
    </row>
    <row r="48" spans="3:10" x14ac:dyDescent="0.2">
      <c r="D48" s="155" t="s">
        <v>148</v>
      </c>
    </row>
    <row r="49" spans="4:4" x14ac:dyDescent="0.2">
      <c r="D49" s="155" t="s">
        <v>149</v>
      </c>
    </row>
    <row r="50" spans="4:4" x14ac:dyDescent="0.2">
      <c r="D50" s="155" t="s">
        <v>150</v>
      </c>
    </row>
    <row r="52" spans="4:4" x14ac:dyDescent="0.2">
      <c r="D52" s="155" t="s">
        <v>151</v>
      </c>
    </row>
    <row r="53" spans="4:4" x14ac:dyDescent="0.2">
      <c r="D53" s="155" t="s">
        <v>152</v>
      </c>
    </row>
  </sheetData>
  <mergeCells count="3">
    <mergeCell ref="D7:E7"/>
    <mergeCell ref="F7:G7"/>
    <mergeCell ref="B2:L5"/>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N41"/>
  <sheetViews>
    <sheetView topLeftCell="A9" workbookViewId="0">
      <selection activeCell="Q38" sqref="Q38"/>
    </sheetView>
  </sheetViews>
  <sheetFormatPr baseColWidth="10" defaultRowHeight="12" x14ac:dyDescent="0.2"/>
  <cols>
    <col min="1" max="1" width="11.42578125" style="133"/>
    <col min="2" max="2" width="24.28515625" style="133" bestFit="1" customWidth="1"/>
    <col min="3" max="7" width="12" style="133" bestFit="1" customWidth="1"/>
    <col min="8" max="8" width="6.28515625" style="133" bestFit="1" customWidth="1"/>
    <col min="9" max="9" width="5.5703125" style="133" customWidth="1"/>
    <col min="10" max="10" width="12.85546875" style="133" customWidth="1"/>
    <col min="11" max="16" width="5.5703125" style="133" customWidth="1"/>
    <col min="17" max="17" width="11.5703125" style="133" bestFit="1" customWidth="1"/>
    <col min="18" max="257" width="11.42578125" style="133"/>
    <col min="258" max="258" width="14.42578125" style="133" customWidth="1"/>
    <col min="259" max="259" width="12.42578125" style="133" customWidth="1"/>
    <col min="260" max="260" width="7.5703125" style="133" customWidth="1"/>
    <col min="261" max="261" width="7.42578125" style="133" customWidth="1"/>
    <col min="262" max="263" width="7.5703125" style="133" customWidth="1"/>
    <col min="264" max="264" width="7.42578125" style="133" customWidth="1"/>
    <col min="265" max="265" width="5.5703125" style="133" customWidth="1"/>
    <col min="266" max="266" width="12.85546875" style="133" customWidth="1"/>
    <col min="267" max="272" width="5.5703125" style="133" customWidth="1"/>
    <col min="273" max="273" width="11.5703125" style="133" bestFit="1" customWidth="1"/>
    <col min="274" max="513" width="11.42578125" style="133"/>
    <col min="514" max="514" width="14.42578125" style="133" customWidth="1"/>
    <col min="515" max="515" width="12.42578125" style="133" customWidth="1"/>
    <col min="516" max="516" width="7.5703125" style="133" customWidth="1"/>
    <col min="517" max="517" width="7.42578125" style="133" customWidth="1"/>
    <col min="518" max="519" width="7.5703125" style="133" customWidth="1"/>
    <col min="520" max="520" width="7.42578125" style="133" customWidth="1"/>
    <col min="521" max="521" width="5.5703125" style="133" customWidth="1"/>
    <col min="522" max="522" width="12.85546875" style="133" customWidth="1"/>
    <col min="523" max="528" width="5.5703125" style="133" customWidth="1"/>
    <col min="529" max="529" width="11.5703125" style="133" bestFit="1" customWidth="1"/>
    <col min="530" max="769" width="11.42578125" style="133"/>
    <col min="770" max="770" width="14.42578125" style="133" customWidth="1"/>
    <col min="771" max="771" width="12.42578125" style="133" customWidth="1"/>
    <col min="772" max="772" width="7.5703125" style="133" customWidth="1"/>
    <col min="773" max="773" width="7.42578125" style="133" customWidth="1"/>
    <col min="774" max="775" width="7.5703125" style="133" customWidth="1"/>
    <col min="776" max="776" width="7.42578125" style="133" customWidth="1"/>
    <col min="777" max="777" width="5.5703125" style="133" customWidth="1"/>
    <col min="778" max="778" width="12.85546875" style="133" customWidth="1"/>
    <col min="779" max="784" width="5.5703125" style="133" customWidth="1"/>
    <col min="785" max="785" width="11.5703125" style="133" bestFit="1" customWidth="1"/>
    <col min="786" max="1025" width="11.42578125" style="133"/>
    <col min="1026" max="1026" width="14.42578125" style="133" customWidth="1"/>
    <col min="1027" max="1027" width="12.42578125" style="133" customWidth="1"/>
    <col min="1028" max="1028" width="7.5703125" style="133" customWidth="1"/>
    <col min="1029" max="1029" width="7.42578125" style="133" customWidth="1"/>
    <col min="1030" max="1031" width="7.5703125" style="133" customWidth="1"/>
    <col min="1032" max="1032" width="7.42578125" style="133" customWidth="1"/>
    <col min="1033" max="1033" width="5.5703125" style="133" customWidth="1"/>
    <col min="1034" max="1034" width="12.85546875" style="133" customWidth="1"/>
    <col min="1035" max="1040" width="5.5703125" style="133" customWidth="1"/>
    <col min="1041" max="1041" width="11.5703125" style="133" bestFit="1" customWidth="1"/>
    <col min="1042" max="1281" width="11.42578125" style="133"/>
    <col min="1282" max="1282" width="14.42578125" style="133" customWidth="1"/>
    <col min="1283" max="1283" width="12.42578125" style="133" customWidth="1"/>
    <col min="1284" max="1284" width="7.5703125" style="133" customWidth="1"/>
    <col min="1285" max="1285" width="7.42578125" style="133" customWidth="1"/>
    <col min="1286" max="1287" width="7.5703125" style="133" customWidth="1"/>
    <col min="1288" max="1288" width="7.42578125" style="133" customWidth="1"/>
    <col min="1289" max="1289" width="5.5703125" style="133" customWidth="1"/>
    <col min="1290" max="1290" width="12.85546875" style="133" customWidth="1"/>
    <col min="1291" max="1296" width="5.5703125" style="133" customWidth="1"/>
    <col min="1297" max="1297" width="11.5703125" style="133" bestFit="1" customWidth="1"/>
    <col min="1298" max="1537" width="11.42578125" style="133"/>
    <col min="1538" max="1538" width="14.42578125" style="133" customWidth="1"/>
    <col min="1539" max="1539" width="12.42578125" style="133" customWidth="1"/>
    <col min="1540" max="1540" width="7.5703125" style="133" customWidth="1"/>
    <col min="1541" max="1541" width="7.42578125" style="133" customWidth="1"/>
    <col min="1542" max="1543" width="7.5703125" style="133" customWidth="1"/>
    <col min="1544" max="1544" width="7.42578125" style="133" customWidth="1"/>
    <col min="1545" max="1545" width="5.5703125" style="133" customWidth="1"/>
    <col min="1546" max="1546" width="12.85546875" style="133" customWidth="1"/>
    <col min="1547" max="1552" width="5.5703125" style="133" customWidth="1"/>
    <col min="1553" max="1553" width="11.5703125" style="133" bestFit="1" customWidth="1"/>
    <col min="1554" max="1793" width="11.42578125" style="133"/>
    <col min="1794" max="1794" width="14.42578125" style="133" customWidth="1"/>
    <col min="1795" max="1795" width="12.42578125" style="133" customWidth="1"/>
    <col min="1796" max="1796" width="7.5703125" style="133" customWidth="1"/>
    <col min="1797" max="1797" width="7.42578125" style="133" customWidth="1"/>
    <col min="1798" max="1799" width="7.5703125" style="133" customWidth="1"/>
    <col min="1800" max="1800" width="7.42578125" style="133" customWidth="1"/>
    <col min="1801" max="1801" width="5.5703125" style="133" customWidth="1"/>
    <col min="1802" max="1802" width="12.85546875" style="133" customWidth="1"/>
    <col min="1803" max="1808" width="5.5703125" style="133" customWidth="1"/>
    <col min="1809" max="1809" width="11.5703125" style="133" bestFit="1" customWidth="1"/>
    <col min="1810" max="2049" width="11.42578125" style="133"/>
    <col min="2050" max="2050" width="14.42578125" style="133" customWidth="1"/>
    <col min="2051" max="2051" width="12.42578125" style="133" customWidth="1"/>
    <col min="2052" max="2052" width="7.5703125" style="133" customWidth="1"/>
    <col min="2053" max="2053" width="7.42578125" style="133" customWidth="1"/>
    <col min="2054" max="2055" width="7.5703125" style="133" customWidth="1"/>
    <col min="2056" max="2056" width="7.42578125" style="133" customWidth="1"/>
    <col min="2057" max="2057" width="5.5703125" style="133" customWidth="1"/>
    <col min="2058" max="2058" width="12.85546875" style="133" customWidth="1"/>
    <col min="2059" max="2064" width="5.5703125" style="133" customWidth="1"/>
    <col min="2065" max="2065" width="11.5703125" style="133" bestFit="1" customWidth="1"/>
    <col min="2066" max="2305" width="11.42578125" style="133"/>
    <col min="2306" max="2306" width="14.42578125" style="133" customWidth="1"/>
    <col min="2307" max="2307" width="12.42578125" style="133" customWidth="1"/>
    <col min="2308" max="2308" width="7.5703125" style="133" customWidth="1"/>
    <col min="2309" max="2309" width="7.42578125" style="133" customWidth="1"/>
    <col min="2310" max="2311" width="7.5703125" style="133" customWidth="1"/>
    <col min="2312" max="2312" width="7.42578125" style="133" customWidth="1"/>
    <col min="2313" max="2313" width="5.5703125" style="133" customWidth="1"/>
    <col min="2314" max="2314" width="12.85546875" style="133" customWidth="1"/>
    <col min="2315" max="2320" width="5.5703125" style="133" customWidth="1"/>
    <col min="2321" max="2321" width="11.5703125" style="133" bestFit="1" customWidth="1"/>
    <col min="2322" max="2561" width="11.42578125" style="133"/>
    <col min="2562" max="2562" width="14.42578125" style="133" customWidth="1"/>
    <col min="2563" max="2563" width="12.42578125" style="133" customWidth="1"/>
    <col min="2564" max="2564" width="7.5703125" style="133" customWidth="1"/>
    <col min="2565" max="2565" width="7.42578125" style="133" customWidth="1"/>
    <col min="2566" max="2567" width="7.5703125" style="133" customWidth="1"/>
    <col min="2568" max="2568" width="7.42578125" style="133" customWidth="1"/>
    <col min="2569" max="2569" width="5.5703125" style="133" customWidth="1"/>
    <col min="2570" max="2570" width="12.85546875" style="133" customWidth="1"/>
    <col min="2571" max="2576" width="5.5703125" style="133" customWidth="1"/>
    <col min="2577" max="2577" width="11.5703125" style="133" bestFit="1" customWidth="1"/>
    <col min="2578" max="2817" width="11.42578125" style="133"/>
    <col min="2818" max="2818" width="14.42578125" style="133" customWidth="1"/>
    <col min="2819" max="2819" width="12.42578125" style="133" customWidth="1"/>
    <col min="2820" max="2820" width="7.5703125" style="133" customWidth="1"/>
    <col min="2821" max="2821" width="7.42578125" style="133" customWidth="1"/>
    <col min="2822" max="2823" width="7.5703125" style="133" customWidth="1"/>
    <col min="2824" max="2824" width="7.42578125" style="133" customWidth="1"/>
    <col min="2825" max="2825" width="5.5703125" style="133" customWidth="1"/>
    <col min="2826" max="2826" width="12.85546875" style="133" customWidth="1"/>
    <col min="2827" max="2832" width="5.5703125" style="133" customWidth="1"/>
    <col min="2833" max="2833" width="11.5703125" style="133" bestFit="1" customWidth="1"/>
    <col min="2834" max="3073" width="11.42578125" style="133"/>
    <col min="3074" max="3074" width="14.42578125" style="133" customWidth="1"/>
    <col min="3075" max="3075" width="12.42578125" style="133" customWidth="1"/>
    <col min="3076" max="3076" width="7.5703125" style="133" customWidth="1"/>
    <col min="3077" max="3077" width="7.42578125" style="133" customWidth="1"/>
    <col min="3078" max="3079" width="7.5703125" style="133" customWidth="1"/>
    <col min="3080" max="3080" width="7.42578125" style="133" customWidth="1"/>
    <col min="3081" max="3081" width="5.5703125" style="133" customWidth="1"/>
    <col min="3082" max="3082" width="12.85546875" style="133" customWidth="1"/>
    <col min="3083" max="3088" width="5.5703125" style="133" customWidth="1"/>
    <col min="3089" max="3089" width="11.5703125" style="133" bestFit="1" customWidth="1"/>
    <col min="3090" max="3329" width="11.42578125" style="133"/>
    <col min="3330" max="3330" width="14.42578125" style="133" customWidth="1"/>
    <col min="3331" max="3331" width="12.42578125" style="133" customWidth="1"/>
    <col min="3332" max="3332" width="7.5703125" style="133" customWidth="1"/>
    <col min="3333" max="3333" width="7.42578125" style="133" customWidth="1"/>
    <col min="3334" max="3335" width="7.5703125" style="133" customWidth="1"/>
    <col min="3336" max="3336" width="7.42578125" style="133" customWidth="1"/>
    <col min="3337" max="3337" width="5.5703125" style="133" customWidth="1"/>
    <col min="3338" max="3338" width="12.85546875" style="133" customWidth="1"/>
    <col min="3339" max="3344" width="5.5703125" style="133" customWidth="1"/>
    <col min="3345" max="3345" width="11.5703125" style="133" bestFit="1" customWidth="1"/>
    <col min="3346" max="3585" width="11.42578125" style="133"/>
    <col min="3586" max="3586" width="14.42578125" style="133" customWidth="1"/>
    <col min="3587" max="3587" width="12.42578125" style="133" customWidth="1"/>
    <col min="3588" max="3588" width="7.5703125" style="133" customWidth="1"/>
    <col min="3589" max="3589" width="7.42578125" style="133" customWidth="1"/>
    <col min="3590" max="3591" width="7.5703125" style="133" customWidth="1"/>
    <col min="3592" max="3592" width="7.42578125" style="133" customWidth="1"/>
    <col min="3593" max="3593" width="5.5703125" style="133" customWidth="1"/>
    <col min="3594" max="3594" width="12.85546875" style="133" customWidth="1"/>
    <col min="3595" max="3600" width="5.5703125" style="133" customWidth="1"/>
    <col min="3601" max="3601" width="11.5703125" style="133" bestFit="1" customWidth="1"/>
    <col min="3602" max="3841" width="11.42578125" style="133"/>
    <col min="3842" max="3842" width="14.42578125" style="133" customWidth="1"/>
    <col min="3843" max="3843" width="12.42578125" style="133" customWidth="1"/>
    <col min="3844" max="3844" width="7.5703125" style="133" customWidth="1"/>
    <col min="3845" max="3845" width="7.42578125" style="133" customWidth="1"/>
    <col min="3846" max="3847" width="7.5703125" style="133" customWidth="1"/>
    <col min="3848" max="3848" width="7.42578125" style="133" customWidth="1"/>
    <col min="3849" max="3849" width="5.5703125" style="133" customWidth="1"/>
    <col min="3850" max="3850" width="12.85546875" style="133" customWidth="1"/>
    <col min="3851" max="3856" width="5.5703125" style="133" customWidth="1"/>
    <col min="3857" max="3857" width="11.5703125" style="133" bestFit="1" customWidth="1"/>
    <col min="3858" max="4097" width="11.42578125" style="133"/>
    <col min="4098" max="4098" width="14.42578125" style="133" customWidth="1"/>
    <col min="4099" max="4099" width="12.42578125" style="133" customWidth="1"/>
    <col min="4100" max="4100" width="7.5703125" style="133" customWidth="1"/>
    <col min="4101" max="4101" width="7.42578125" style="133" customWidth="1"/>
    <col min="4102" max="4103" width="7.5703125" style="133" customWidth="1"/>
    <col min="4104" max="4104" width="7.42578125" style="133" customWidth="1"/>
    <col min="4105" max="4105" width="5.5703125" style="133" customWidth="1"/>
    <col min="4106" max="4106" width="12.85546875" style="133" customWidth="1"/>
    <col min="4107" max="4112" width="5.5703125" style="133" customWidth="1"/>
    <col min="4113" max="4113" width="11.5703125" style="133" bestFit="1" customWidth="1"/>
    <col min="4114" max="4353" width="11.42578125" style="133"/>
    <col min="4354" max="4354" width="14.42578125" style="133" customWidth="1"/>
    <col min="4355" max="4355" width="12.42578125" style="133" customWidth="1"/>
    <col min="4356" max="4356" width="7.5703125" style="133" customWidth="1"/>
    <col min="4357" max="4357" width="7.42578125" style="133" customWidth="1"/>
    <col min="4358" max="4359" width="7.5703125" style="133" customWidth="1"/>
    <col min="4360" max="4360" width="7.42578125" style="133" customWidth="1"/>
    <col min="4361" max="4361" width="5.5703125" style="133" customWidth="1"/>
    <col min="4362" max="4362" width="12.85546875" style="133" customWidth="1"/>
    <col min="4363" max="4368" width="5.5703125" style="133" customWidth="1"/>
    <col min="4369" max="4369" width="11.5703125" style="133" bestFit="1" customWidth="1"/>
    <col min="4370" max="4609" width="11.42578125" style="133"/>
    <col min="4610" max="4610" width="14.42578125" style="133" customWidth="1"/>
    <col min="4611" max="4611" width="12.42578125" style="133" customWidth="1"/>
    <col min="4612" max="4612" width="7.5703125" style="133" customWidth="1"/>
    <col min="4613" max="4613" width="7.42578125" style="133" customWidth="1"/>
    <col min="4614" max="4615" width="7.5703125" style="133" customWidth="1"/>
    <col min="4616" max="4616" width="7.42578125" style="133" customWidth="1"/>
    <col min="4617" max="4617" width="5.5703125" style="133" customWidth="1"/>
    <col min="4618" max="4618" width="12.85546875" style="133" customWidth="1"/>
    <col min="4619" max="4624" width="5.5703125" style="133" customWidth="1"/>
    <col min="4625" max="4625" width="11.5703125" style="133" bestFit="1" customWidth="1"/>
    <col min="4626" max="4865" width="11.42578125" style="133"/>
    <col min="4866" max="4866" width="14.42578125" style="133" customWidth="1"/>
    <col min="4867" max="4867" width="12.42578125" style="133" customWidth="1"/>
    <col min="4868" max="4868" width="7.5703125" style="133" customWidth="1"/>
    <col min="4869" max="4869" width="7.42578125" style="133" customWidth="1"/>
    <col min="4870" max="4871" width="7.5703125" style="133" customWidth="1"/>
    <col min="4872" max="4872" width="7.42578125" style="133" customWidth="1"/>
    <col min="4873" max="4873" width="5.5703125" style="133" customWidth="1"/>
    <col min="4874" max="4874" width="12.85546875" style="133" customWidth="1"/>
    <col min="4875" max="4880" width="5.5703125" style="133" customWidth="1"/>
    <col min="4881" max="4881" width="11.5703125" style="133" bestFit="1" customWidth="1"/>
    <col min="4882" max="5121" width="11.42578125" style="133"/>
    <col min="5122" max="5122" width="14.42578125" style="133" customWidth="1"/>
    <col min="5123" max="5123" width="12.42578125" style="133" customWidth="1"/>
    <col min="5124" max="5124" width="7.5703125" style="133" customWidth="1"/>
    <col min="5125" max="5125" width="7.42578125" style="133" customWidth="1"/>
    <col min="5126" max="5127" width="7.5703125" style="133" customWidth="1"/>
    <col min="5128" max="5128" width="7.42578125" style="133" customWidth="1"/>
    <col min="5129" max="5129" width="5.5703125" style="133" customWidth="1"/>
    <col min="5130" max="5130" width="12.85546875" style="133" customWidth="1"/>
    <col min="5131" max="5136" width="5.5703125" style="133" customWidth="1"/>
    <col min="5137" max="5137" width="11.5703125" style="133" bestFit="1" customWidth="1"/>
    <col min="5138" max="5377" width="11.42578125" style="133"/>
    <col min="5378" max="5378" width="14.42578125" style="133" customWidth="1"/>
    <col min="5379" max="5379" width="12.42578125" style="133" customWidth="1"/>
    <col min="5380" max="5380" width="7.5703125" style="133" customWidth="1"/>
    <col min="5381" max="5381" width="7.42578125" style="133" customWidth="1"/>
    <col min="5382" max="5383" width="7.5703125" style="133" customWidth="1"/>
    <col min="5384" max="5384" width="7.42578125" style="133" customWidth="1"/>
    <col min="5385" max="5385" width="5.5703125" style="133" customWidth="1"/>
    <col min="5386" max="5386" width="12.85546875" style="133" customWidth="1"/>
    <col min="5387" max="5392" width="5.5703125" style="133" customWidth="1"/>
    <col min="5393" max="5393" width="11.5703125" style="133" bestFit="1" customWidth="1"/>
    <col min="5394" max="5633" width="11.42578125" style="133"/>
    <col min="5634" max="5634" width="14.42578125" style="133" customWidth="1"/>
    <col min="5635" max="5635" width="12.42578125" style="133" customWidth="1"/>
    <col min="5636" max="5636" width="7.5703125" style="133" customWidth="1"/>
    <col min="5637" max="5637" width="7.42578125" style="133" customWidth="1"/>
    <col min="5638" max="5639" width="7.5703125" style="133" customWidth="1"/>
    <col min="5640" max="5640" width="7.42578125" style="133" customWidth="1"/>
    <col min="5641" max="5641" width="5.5703125" style="133" customWidth="1"/>
    <col min="5642" max="5642" width="12.85546875" style="133" customWidth="1"/>
    <col min="5643" max="5648" width="5.5703125" style="133" customWidth="1"/>
    <col min="5649" max="5649" width="11.5703125" style="133" bestFit="1" customWidth="1"/>
    <col min="5650" max="5889" width="11.42578125" style="133"/>
    <col min="5890" max="5890" width="14.42578125" style="133" customWidth="1"/>
    <col min="5891" max="5891" width="12.42578125" style="133" customWidth="1"/>
    <col min="5892" max="5892" width="7.5703125" style="133" customWidth="1"/>
    <col min="5893" max="5893" width="7.42578125" style="133" customWidth="1"/>
    <col min="5894" max="5895" width="7.5703125" style="133" customWidth="1"/>
    <col min="5896" max="5896" width="7.42578125" style="133" customWidth="1"/>
    <col min="5897" max="5897" width="5.5703125" style="133" customWidth="1"/>
    <col min="5898" max="5898" width="12.85546875" style="133" customWidth="1"/>
    <col min="5899" max="5904" width="5.5703125" style="133" customWidth="1"/>
    <col min="5905" max="5905" width="11.5703125" style="133" bestFit="1" customWidth="1"/>
    <col min="5906" max="6145" width="11.42578125" style="133"/>
    <col min="6146" max="6146" width="14.42578125" style="133" customWidth="1"/>
    <col min="6147" max="6147" width="12.42578125" style="133" customWidth="1"/>
    <col min="6148" max="6148" width="7.5703125" style="133" customWidth="1"/>
    <col min="6149" max="6149" width="7.42578125" style="133" customWidth="1"/>
    <col min="6150" max="6151" width="7.5703125" style="133" customWidth="1"/>
    <col min="6152" max="6152" width="7.42578125" style="133" customWidth="1"/>
    <col min="6153" max="6153" width="5.5703125" style="133" customWidth="1"/>
    <col min="6154" max="6154" width="12.85546875" style="133" customWidth="1"/>
    <col min="6155" max="6160" width="5.5703125" style="133" customWidth="1"/>
    <col min="6161" max="6161" width="11.5703125" style="133" bestFit="1" customWidth="1"/>
    <col min="6162" max="6401" width="11.42578125" style="133"/>
    <col min="6402" max="6402" width="14.42578125" style="133" customWidth="1"/>
    <col min="6403" max="6403" width="12.42578125" style="133" customWidth="1"/>
    <col min="6404" max="6404" width="7.5703125" style="133" customWidth="1"/>
    <col min="6405" max="6405" width="7.42578125" style="133" customWidth="1"/>
    <col min="6406" max="6407" width="7.5703125" style="133" customWidth="1"/>
    <col min="6408" max="6408" width="7.42578125" style="133" customWidth="1"/>
    <col min="6409" max="6409" width="5.5703125" style="133" customWidth="1"/>
    <col min="6410" max="6410" width="12.85546875" style="133" customWidth="1"/>
    <col min="6411" max="6416" width="5.5703125" style="133" customWidth="1"/>
    <col min="6417" max="6417" width="11.5703125" style="133" bestFit="1" customWidth="1"/>
    <col min="6418" max="6657" width="11.42578125" style="133"/>
    <col min="6658" max="6658" width="14.42578125" style="133" customWidth="1"/>
    <col min="6659" max="6659" width="12.42578125" style="133" customWidth="1"/>
    <col min="6660" max="6660" width="7.5703125" style="133" customWidth="1"/>
    <col min="6661" max="6661" width="7.42578125" style="133" customWidth="1"/>
    <col min="6662" max="6663" width="7.5703125" style="133" customWidth="1"/>
    <col min="6664" max="6664" width="7.42578125" style="133" customWidth="1"/>
    <col min="6665" max="6665" width="5.5703125" style="133" customWidth="1"/>
    <col min="6666" max="6666" width="12.85546875" style="133" customWidth="1"/>
    <col min="6667" max="6672" width="5.5703125" style="133" customWidth="1"/>
    <col min="6673" max="6673" width="11.5703125" style="133" bestFit="1" customWidth="1"/>
    <col min="6674" max="6913" width="11.42578125" style="133"/>
    <col min="6914" max="6914" width="14.42578125" style="133" customWidth="1"/>
    <col min="6915" max="6915" width="12.42578125" style="133" customWidth="1"/>
    <col min="6916" max="6916" width="7.5703125" style="133" customWidth="1"/>
    <col min="6917" max="6917" width="7.42578125" style="133" customWidth="1"/>
    <col min="6918" max="6919" width="7.5703125" style="133" customWidth="1"/>
    <col min="6920" max="6920" width="7.42578125" style="133" customWidth="1"/>
    <col min="6921" max="6921" width="5.5703125" style="133" customWidth="1"/>
    <col min="6922" max="6922" width="12.85546875" style="133" customWidth="1"/>
    <col min="6923" max="6928" width="5.5703125" style="133" customWidth="1"/>
    <col min="6929" max="6929" width="11.5703125" style="133" bestFit="1" customWidth="1"/>
    <col min="6930" max="7169" width="11.42578125" style="133"/>
    <col min="7170" max="7170" width="14.42578125" style="133" customWidth="1"/>
    <col min="7171" max="7171" width="12.42578125" style="133" customWidth="1"/>
    <col min="7172" max="7172" width="7.5703125" style="133" customWidth="1"/>
    <col min="7173" max="7173" width="7.42578125" style="133" customWidth="1"/>
    <col min="7174" max="7175" width="7.5703125" style="133" customWidth="1"/>
    <col min="7176" max="7176" width="7.42578125" style="133" customWidth="1"/>
    <col min="7177" max="7177" width="5.5703125" style="133" customWidth="1"/>
    <col min="7178" max="7178" width="12.85546875" style="133" customWidth="1"/>
    <col min="7179" max="7184" width="5.5703125" style="133" customWidth="1"/>
    <col min="7185" max="7185" width="11.5703125" style="133" bestFit="1" customWidth="1"/>
    <col min="7186" max="7425" width="11.42578125" style="133"/>
    <col min="7426" max="7426" width="14.42578125" style="133" customWidth="1"/>
    <col min="7427" max="7427" width="12.42578125" style="133" customWidth="1"/>
    <col min="7428" max="7428" width="7.5703125" style="133" customWidth="1"/>
    <col min="7429" max="7429" width="7.42578125" style="133" customWidth="1"/>
    <col min="7430" max="7431" width="7.5703125" style="133" customWidth="1"/>
    <col min="7432" max="7432" width="7.42578125" style="133" customWidth="1"/>
    <col min="7433" max="7433" width="5.5703125" style="133" customWidth="1"/>
    <col min="7434" max="7434" width="12.85546875" style="133" customWidth="1"/>
    <col min="7435" max="7440" width="5.5703125" style="133" customWidth="1"/>
    <col min="7441" max="7441" width="11.5703125" style="133" bestFit="1" customWidth="1"/>
    <col min="7442" max="7681" width="11.42578125" style="133"/>
    <col min="7682" max="7682" width="14.42578125" style="133" customWidth="1"/>
    <col min="7683" max="7683" width="12.42578125" style="133" customWidth="1"/>
    <col min="7684" max="7684" width="7.5703125" style="133" customWidth="1"/>
    <col min="7685" max="7685" width="7.42578125" style="133" customWidth="1"/>
    <col min="7686" max="7687" width="7.5703125" style="133" customWidth="1"/>
    <col min="7688" max="7688" width="7.42578125" style="133" customWidth="1"/>
    <col min="7689" max="7689" width="5.5703125" style="133" customWidth="1"/>
    <col min="7690" max="7690" width="12.85546875" style="133" customWidth="1"/>
    <col min="7691" max="7696" width="5.5703125" style="133" customWidth="1"/>
    <col min="7697" max="7697" width="11.5703125" style="133" bestFit="1" customWidth="1"/>
    <col min="7698" max="7937" width="11.42578125" style="133"/>
    <col min="7938" max="7938" width="14.42578125" style="133" customWidth="1"/>
    <col min="7939" max="7939" width="12.42578125" style="133" customWidth="1"/>
    <col min="7940" max="7940" width="7.5703125" style="133" customWidth="1"/>
    <col min="7941" max="7941" width="7.42578125" style="133" customWidth="1"/>
    <col min="7942" max="7943" width="7.5703125" style="133" customWidth="1"/>
    <col min="7944" max="7944" width="7.42578125" style="133" customWidth="1"/>
    <col min="7945" max="7945" width="5.5703125" style="133" customWidth="1"/>
    <col min="7946" max="7946" width="12.85546875" style="133" customWidth="1"/>
    <col min="7947" max="7952" width="5.5703125" style="133" customWidth="1"/>
    <col min="7953" max="7953" width="11.5703125" style="133" bestFit="1" customWidth="1"/>
    <col min="7954" max="8193" width="11.42578125" style="133"/>
    <col min="8194" max="8194" width="14.42578125" style="133" customWidth="1"/>
    <col min="8195" max="8195" width="12.42578125" style="133" customWidth="1"/>
    <col min="8196" max="8196" width="7.5703125" style="133" customWidth="1"/>
    <col min="8197" max="8197" width="7.42578125" style="133" customWidth="1"/>
    <col min="8198" max="8199" width="7.5703125" style="133" customWidth="1"/>
    <col min="8200" max="8200" width="7.42578125" style="133" customWidth="1"/>
    <col min="8201" max="8201" width="5.5703125" style="133" customWidth="1"/>
    <col min="8202" max="8202" width="12.85546875" style="133" customWidth="1"/>
    <col min="8203" max="8208" width="5.5703125" style="133" customWidth="1"/>
    <col min="8209" max="8209" width="11.5703125" style="133" bestFit="1" customWidth="1"/>
    <col min="8210" max="8449" width="11.42578125" style="133"/>
    <col min="8450" max="8450" width="14.42578125" style="133" customWidth="1"/>
    <col min="8451" max="8451" width="12.42578125" style="133" customWidth="1"/>
    <col min="8452" max="8452" width="7.5703125" style="133" customWidth="1"/>
    <col min="8453" max="8453" width="7.42578125" style="133" customWidth="1"/>
    <col min="8454" max="8455" width="7.5703125" style="133" customWidth="1"/>
    <col min="8456" max="8456" width="7.42578125" style="133" customWidth="1"/>
    <col min="8457" max="8457" width="5.5703125" style="133" customWidth="1"/>
    <col min="8458" max="8458" width="12.85546875" style="133" customWidth="1"/>
    <col min="8459" max="8464" width="5.5703125" style="133" customWidth="1"/>
    <col min="8465" max="8465" width="11.5703125" style="133" bestFit="1" customWidth="1"/>
    <col min="8466" max="8705" width="11.42578125" style="133"/>
    <col min="8706" max="8706" width="14.42578125" style="133" customWidth="1"/>
    <col min="8707" max="8707" width="12.42578125" style="133" customWidth="1"/>
    <col min="8708" max="8708" width="7.5703125" style="133" customWidth="1"/>
    <col min="8709" max="8709" width="7.42578125" style="133" customWidth="1"/>
    <col min="8710" max="8711" width="7.5703125" style="133" customWidth="1"/>
    <col min="8712" max="8712" width="7.42578125" style="133" customWidth="1"/>
    <col min="8713" max="8713" width="5.5703125" style="133" customWidth="1"/>
    <col min="8714" max="8714" width="12.85546875" style="133" customWidth="1"/>
    <col min="8715" max="8720" width="5.5703125" style="133" customWidth="1"/>
    <col min="8721" max="8721" width="11.5703125" style="133" bestFit="1" customWidth="1"/>
    <col min="8722" max="8961" width="11.42578125" style="133"/>
    <col min="8962" max="8962" width="14.42578125" style="133" customWidth="1"/>
    <col min="8963" max="8963" width="12.42578125" style="133" customWidth="1"/>
    <col min="8964" max="8964" width="7.5703125" style="133" customWidth="1"/>
    <col min="8965" max="8965" width="7.42578125" style="133" customWidth="1"/>
    <col min="8966" max="8967" width="7.5703125" style="133" customWidth="1"/>
    <col min="8968" max="8968" width="7.42578125" style="133" customWidth="1"/>
    <col min="8969" max="8969" width="5.5703125" style="133" customWidth="1"/>
    <col min="8970" max="8970" width="12.85546875" style="133" customWidth="1"/>
    <col min="8971" max="8976" width="5.5703125" style="133" customWidth="1"/>
    <col min="8977" max="8977" width="11.5703125" style="133" bestFit="1" customWidth="1"/>
    <col min="8978" max="9217" width="11.42578125" style="133"/>
    <col min="9218" max="9218" width="14.42578125" style="133" customWidth="1"/>
    <col min="9219" max="9219" width="12.42578125" style="133" customWidth="1"/>
    <col min="9220" max="9220" width="7.5703125" style="133" customWidth="1"/>
    <col min="9221" max="9221" width="7.42578125" style="133" customWidth="1"/>
    <col min="9222" max="9223" width="7.5703125" style="133" customWidth="1"/>
    <col min="9224" max="9224" width="7.42578125" style="133" customWidth="1"/>
    <col min="9225" max="9225" width="5.5703125" style="133" customWidth="1"/>
    <col min="9226" max="9226" width="12.85546875" style="133" customWidth="1"/>
    <col min="9227" max="9232" width="5.5703125" style="133" customWidth="1"/>
    <col min="9233" max="9233" width="11.5703125" style="133" bestFit="1" customWidth="1"/>
    <col min="9234" max="9473" width="11.42578125" style="133"/>
    <col min="9474" max="9474" width="14.42578125" style="133" customWidth="1"/>
    <col min="9475" max="9475" width="12.42578125" style="133" customWidth="1"/>
    <col min="9476" max="9476" width="7.5703125" style="133" customWidth="1"/>
    <col min="9477" max="9477" width="7.42578125" style="133" customWidth="1"/>
    <col min="9478" max="9479" width="7.5703125" style="133" customWidth="1"/>
    <col min="9480" max="9480" width="7.42578125" style="133" customWidth="1"/>
    <col min="9481" max="9481" width="5.5703125" style="133" customWidth="1"/>
    <col min="9482" max="9482" width="12.85546875" style="133" customWidth="1"/>
    <col min="9483" max="9488" width="5.5703125" style="133" customWidth="1"/>
    <col min="9489" max="9489" width="11.5703125" style="133" bestFit="1" customWidth="1"/>
    <col min="9490" max="9729" width="11.42578125" style="133"/>
    <col min="9730" max="9730" width="14.42578125" style="133" customWidth="1"/>
    <col min="9731" max="9731" width="12.42578125" style="133" customWidth="1"/>
    <col min="9732" max="9732" width="7.5703125" style="133" customWidth="1"/>
    <col min="9733" max="9733" width="7.42578125" style="133" customWidth="1"/>
    <col min="9734" max="9735" width="7.5703125" style="133" customWidth="1"/>
    <col min="9736" max="9736" width="7.42578125" style="133" customWidth="1"/>
    <col min="9737" max="9737" width="5.5703125" style="133" customWidth="1"/>
    <col min="9738" max="9738" width="12.85546875" style="133" customWidth="1"/>
    <col min="9739" max="9744" width="5.5703125" style="133" customWidth="1"/>
    <col min="9745" max="9745" width="11.5703125" style="133" bestFit="1" customWidth="1"/>
    <col min="9746" max="9985" width="11.42578125" style="133"/>
    <col min="9986" max="9986" width="14.42578125" style="133" customWidth="1"/>
    <col min="9987" max="9987" width="12.42578125" style="133" customWidth="1"/>
    <col min="9988" max="9988" width="7.5703125" style="133" customWidth="1"/>
    <col min="9989" max="9989" width="7.42578125" style="133" customWidth="1"/>
    <col min="9990" max="9991" width="7.5703125" style="133" customWidth="1"/>
    <col min="9992" max="9992" width="7.42578125" style="133" customWidth="1"/>
    <col min="9993" max="9993" width="5.5703125" style="133" customWidth="1"/>
    <col min="9994" max="9994" width="12.85546875" style="133" customWidth="1"/>
    <col min="9995" max="10000" width="5.5703125" style="133" customWidth="1"/>
    <col min="10001" max="10001" width="11.5703125" style="133" bestFit="1" customWidth="1"/>
    <col min="10002" max="10241" width="11.42578125" style="133"/>
    <col min="10242" max="10242" width="14.42578125" style="133" customWidth="1"/>
    <col min="10243" max="10243" width="12.42578125" style="133" customWidth="1"/>
    <col min="10244" max="10244" width="7.5703125" style="133" customWidth="1"/>
    <col min="10245" max="10245" width="7.42578125" style="133" customWidth="1"/>
    <col min="10246" max="10247" width="7.5703125" style="133" customWidth="1"/>
    <col min="10248" max="10248" width="7.42578125" style="133" customWidth="1"/>
    <col min="10249" max="10249" width="5.5703125" style="133" customWidth="1"/>
    <col min="10250" max="10250" width="12.85546875" style="133" customWidth="1"/>
    <col min="10251" max="10256" width="5.5703125" style="133" customWidth="1"/>
    <col min="10257" max="10257" width="11.5703125" style="133" bestFit="1" customWidth="1"/>
    <col min="10258" max="10497" width="11.42578125" style="133"/>
    <col min="10498" max="10498" width="14.42578125" style="133" customWidth="1"/>
    <col min="10499" max="10499" width="12.42578125" style="133" customWidth="1"/>
    <col min="10500" max="10500" width="7.5703125" style="133" customWidth="1"/>
    <col min="10501" max="10501" width="7.42578125" style="133" customWidth="1"/>
    <col min="10502" max="10503" width="7.5703125" style="133" customWidth="1"/>
    <col min="10504" max="10504" width="7.42578125" style="133" customWidth="1"/>
    <col min="10505" max="10505" width="5.5703125" style="133" customWidth="1"/>
    <col min="10506" max="10506" width="12.85546875" style="133" customWidth="1"/>
    <col min="10507" max="10512" width="5.5703125" style="133" customWidth="1"/>
    <col min="10513" max="10513" width="11.5703125" style="133" bestFit="1" customWidth="1"/>
    <col min="10514" max="10753" width="11.42578125" style="133"/>
    <col min="10754" max="10754" width="14.42578125" style="133" customWidth="1"/>
    <col min="10755" max="10755" width="12.42578125" style="133" customWidth="1"/>
    <col min="10756" max="10756" width="7.5703125" style="133" customWidth="1"/>
    <col min="10757" max="10757" width="7.42578125" style="133" customWidth="1"/>
    <col min="10758" max="10759" width="7.5703125" style="133" customWidth="1"/>
    <col min="10760" max="10760" width="7.42578125" style="133" customWidth="1"/>
    <col min="10761" max="10761" width="5.5703125" style="133" customWidth="1"/>
    <col min="10762" max="10762" width="12.85546875" style="133" customWidth="1"/>
    <col min="10763" max="10768" width="5.5703125" style="133" customWidth="1"/>
    <col min="10769" max="10769" width="11.5703125" style="133" bestFit="1" customWidth="1"/>
    <col min="10770" max="11009" width="11.42578125" style="133"/>
    <col min="11010" max="11010" width="14.42578125" style="133" customWidth="1"/>
    <col min="11011" max="11011" width="12.42578125" style="133" customWidth="1"/>
    <col min="11012" max="11012" width="7.5703125" style="133" customWidth="1"/>
    <col min="11013" max="11013" width="7.42578125" style="133" customWidth="1"/>
    <col min="11014" max="11015" width="7.5703125" style="133" customWidth="1"/>
    <col min="11016" max="11016" width="7.42578125" style="133" customWidth="1"/>
    <col min="11017" max="11017" width="5.5703125" style="133" customWidth="1"/>
    <col min="11018" max="11018" width="12.85546875" style="133" customWidth="1"/>
    <col min="11019" max="11024" width="5.5703125" style="133" customWidth="1"/>
    <col min="11025" max="11025" width="11.5703125" style="133" bestFit="1" customWidth="1"/>
    <col min="11026" max="11265" width="11.42578125" style="133"/>
    <col min="11266" max="11266" width="14.42578125" style="133" customWidth="1"/>
    <col min="11267" max="11267" width="12.42578125" style="133" customWidth="1"/>
    <col min="11268" max="11268" width="7.5703125" style="133" customWidth="1"/>
    <col min="11269" max="11269" width="7.42578125" style="133" customWidth="1"/>
    <col min="11270" max="11271" width="7.5703125" style="133" customWidth="1"/>
    <col min="11272" max="11272" width="7.42578125" style="133" customWidth="1"/>
    <col min="11273" max="11273" width="5.5703125" style="133" customWidth="1"/>
    <col min="11274" max="11274" width="12.85546875" style="133" customWidth="1"/>
    <col min="11275" max="11280" width="5.5703125" style="133" customWidth="1"/>
    <col min="11281" max="11281" width="11.5703125" style="133" bestFit="1" customWidth="1"/>
    <col min="11282" max="11521" width="11.42578125" style="133"/>
    <col min="11522" max="11522" width="14.42578125" style="133" customWidth="1"/>
    <col min="11523" max="11523" width="12.42578125" style="133" customWidth="1"/>
    <col min="11524" max="11524" width="7.5703125" style="133" customWidth="1"/>
    <col min="11525" max="11525" width="7.42578125" style="133" customWidth="1"/>
    <col min="11526" max="11527" width="7.5703125" style="133" customWidth="1"/>
    <col min="11528" max="11528" width="7.42578125" style="133" customWidth="1"/>
    <col min="11529" max="11529" width="5.5703125" style="133" customWidth="1"/>
    <col min="11530" max="11530" width="12.85546875" style="133" customWidth="1"/>
    <col min="11531" max="11536" width="5.5703125" style="133" customWidth="1"/>
    <col min="11537" max="11537" width="11.5703125" style="133" bestFit="1" customWidth="1"/>
    <col min="11538" max="11777" width="11.42578125" style="133"/>
    <col min="11778" max="11778" width="14.42578125" style="133" customWidth="1"/>
    <col min="11779" max="11779" width="12.42578125" style="133" customWidth="1"/>
    <col min="11780" max="11780" width="7.5703125" style="133" customWidth="1"/>
    <col min="11781" max="11781" width="7.42578125" style="133" customWidth="1"/>
    <col min="11782" max="11783" width="7.5703125" style="133" customWidth="1"/>
    <col min="11784" max="11784" width="7.42578125" style="133" customWidth="1"/>
    <col min="11785" max="11785" width="5.5703125" style="133" customWidth="1"/>
    <col min="11786" max="11786" width="12.85546875" style="133" customWidth="1"/>
    <col min="11787" max="11792" width="5.5703125" style="133" customWidth="1"/>
    <col min="11793" max="11793" width="11.5703125" style="133" bestFit="1" customWidth="1"/>
    <col min="11794" max="12033" width="11.42578125" style="133"/>
    <col min="12034" max="12034" width="14.42578125" style="133" customWidth="1"/>
    <col min="12035" max="12035" width="12.42578125" style="133" customWidth="1"/>
    <col min="12036" max="12036" width="7.5703125" style="133" customWidth="1"/>
    <col min="12037" max="12037" width="7.42578125" style="133" customWidth="1"/>
    <col min="12038" max="12039" width="7.5703125" style="133" customWidth="1"/>
    <col min="12040" max="12040" width="7.42578125" style="133" customWidth="1"/>
    <col min="12041" max="12041" width="5.5703125" style="133" customWidth="1"/>
    <col min="12042" max="12042" width="12.85546875" style="133" customWidth="1"/>
    <col min="12043" max="12048" width="5.5703125" style="133" customWidth="1"/>
    <col min="12049" max="12049" width="11.5703125" style="133" bestFit="1" customWidth="1"/>
    <col min="12050" max="12289" width="11.42578125" style="133"/>
    <col min="12290" max="12290" width="14.42578125" style="133" customWidth="1"/>
    <col min="12291" max="12291" width="12.42578125" style="133" customWidth="1"/>
    <col min="12292" max="12292" width="7.5703125" style="133" customWidth="1"/>
    <col min="12293" max="12293" width="7.42578125" style="133" customWidth="1"/>
    <col min="12294" max="12295" width="7.5703125" style="133" customWidth="1"/>
    <col min="12296" max="12296" width="7.42578125" style="133" customWidth="1"/>
    <col min="12297" max="12297" width="5.5703125" style="133" customWidth="1"/>
    <col min="12298" max="12298" width="12.85546875" style="133" customWidth="1"/>
    <col min="12299" max="12304" width="5.5703125" style="133" customWidth="1"/>
    <col min="12305" max="12305" width="11.5703125" style="133" bestFit="1" customWidth="1"/>
    <col min="12306" max="12545" width="11.42578125" style="133"/>
    <col min="12546" max="12546" width="14.42578125" style="133" customWidth="1"/>
    <col min="12547" max="12547" width="12.42578125" style="133" customWidth="1"/>
    <col min="12548" max="12548" width="7.5703125" style="133" customWidth="1"/>
    <col min="12549" max="12549" width="7.42578125" style="133" customWidth="1"/>
    <col min="12550" max="12551" width="7.5703125" style="133" customWidth="1"/>
    <col min="12552" max="12552" width="7.42578125" style="133" customWidth="1"/>
    <col min="12553" max="12553" width="5.5703125" style="133" customWidth="1"/>
    <col min="12554" max="12554" width="12.85546875" style="133" customWidth="1"/>
    <col min="12555" max="12560" width="5.5703125" style="133" customWidth="1"/>
    <col min="12561" max="12561" width="11.5703125" style="133" bestFit="1" customWidth="1"/>
    <col min="12562" max="12801" width="11.42578125" style="133"/>
    <col min="12802" max="12802" width="14.42578125" style="133" customWidth="1"/>
    <col min="12803" max="12803" width="12.42578125" style="133" customWidth="1"/>
    <col min="12804" max="12804" width="7.5703125" style="133" customWidth="1"/>
    <col min="12805" max="12805" width="7.42578125" style="133" customWidth="1"/>
    <col min="12806" max="12807" width="7.5703125" style="133" customWidth="1"/>
    <col min="12808" max="12808" width="7.42578125" style="133" customWidth="1"/>
    <col min="12809" max="12809" width="5.5703125" style="133" customWidth="1"/>
    <col min="12810" max="12810" width="12.85546875" style="133" customWidth="1"/>
    <col min="12811" max="12816" width="5.5703125" style="133" customWidth="1"/>
    <col min="12817" max="12817" width="11.5703125" style="133" bestFit="1" customWidth="1"/>
    <col min="12818" max="13057" width="11.42578125" style="133"/>
    <col min="13058" max="13058" width="14.42578125" style="133" customWidth="1"/>
    <col min="13059" max="13059" width="12.42578125" style="133" customWidth="1"/>
    <col min="13060" max="13060" width="7.5703125" style="133" customWidth="1"/>
    <col min="13061" max="13061" width="7.42578125" style="133" customWidth="1"/>
    <col min="13062" max="13063" width="7.5703125" style="133" customWidth="1"/>
    <col min="13064" max="13064" width="7.42578125" style="133" customWidth="1"/>
    <col min="13065" max="13065" width="5.5703125" style="133" customWidth="1"/>
    <col min="13066" max="13066" width="12.85546875" style="133" customWidth="1"/>
    <col min="13067" max="13072" width="5.5703125" style="133" customWidth="1"/>
    <col min="13073" max="13073" width="11.5703125" style="133" bestFit="1" customWidth="1"/>
    <col min="13074" max="13313" width="11.42578125" style="133"/>
    <col min="13314" max="13314" width="14.42578125" style="133" customWidth="1"/>
    <col min="13315" max="13315" width="12.42578125" style="133" customWidth="1"/>
    <col min="13316" max="13316" width="7.5703125" style="133" customWidth="1"/>
    <col min="13317" max="13317" width="7.42578125" style="133" customWidth="1"/>
    <col min="13318" max="13319" width="7.5703125" style="133" customWidth="1"/>
    <col min="13320" max="13320" width="7.42578125" style="133" customWidth="1"/>
    <col min="13321" max="13321" width="5.5703125" style="133" customWidth="1"/>
    <col min="13322" max="13322" width="12.85546875" style="133" customWidth="1"/>
    <col min="13323" max="13328" width="5.5703125" style="133" customWidth="1"/>
    <col min="13329" max="13329" width="11.5703125" style="133" bestFit="1" customWidth="1"/>
    <col min="13330" max="13569" width="11.42578125" style="133"/>
    <col min="13570" max="13570" width="14.42578125" style="133" customWidth="1"/>
    <col min="13571" max="13571" width="12.42578125" style="133" customWidth="1"/>
    <col min="13572" max="13572" width="7.5703125" style="133" customWidth="1"/>
    <col min="13573" max="13573" width="7.42578125" style="133" customWidth="1"/>
    <col min="13574" max="13575" width="7.5703125" style="133" customWidth="1"/>
    <col min="13576" max="13576" width="7.42578125" style="133" customWidth="1"/>
    <col min="13577" max="13577" width="5.5703125" style="133" customWidth="1"/>
    <col min="13578" max="13578" width="12.85546875" style="133" customWidth="1"/>
    <col min="13579" max="13584" width="5.5703125" style="133" customWidth="1"/>
    <col min="13585" max="13585" width="11.5703125" style="133" bestFit="1" customWidth="1"/>
    <col min="13586" max="13825" width="11.42578125" style="133"/>
    <col min="13826" max="13826" width="14.42578125" style="133" customWidth="1"/>
    <col min="13827" max="13827" width="12.42578125" style="133" customWidth="1"/>
    <col min="13828" max="13828" width="7.5703125" style="133" customWidth="1"/>
    <col min="13829" max="13829" width="7.42578125" style="133" customWidth="1"/>
    <col min="13830" max="13831" width="7.5703125" style="133" customWidth="1"/>
    <col min="13832" max="13832" width="7.42578125" style="133" customWidth="1"/>
    <col min="13833" max="13833" width="5.5703125" style="133" customWidth="1"/>
    <col min="13834" max="13834" width="12.85546875" style="133" customWidth="1"/>
    <col min="13835" max="13840" width="5.5703125" style="133" customWidth="1"/>
    <col min="13841" max="13841" width="11.5703125" style="133" bestFit="1" customWidth="1"/>
    <col min="13842" max="14081" width="11.42578125" style="133"/>
    <col min="14082" max="14082" width="14.42578125" style="133" customWidth="1"/>
    <col min="14083" max="14083" width="12.42578125" style="133" customWidth="1"/>
    <col min="14084" max="14084" width="7.5703125" style="133" customWidth="1"/>
    <col min="14085" max="14085" width="7.42578125" style="133" customWidth="1"/>
    <col min="14086" max="14087" width="7.5703125" style="133" customWidth="1"/>
    <col min="14088" max="14088" width="7.42578125" style="133" customWidth="1"/>
    <col min="14089" max="14089" width="5.5703125" style="133" customWidth="1"/>
    <col min="14090" max="14090" width="12.85546875" style="133" customWidth="1"/>
    <col min="14091" max="14096" width="5.5703125" style="133" customWidth="1"/>
    <col min="14097" max="14097" width="11.5703125" style="133" bestFit="1" customWidth="1"/>
    <col min="14098" max="14337" width="11.42578125" style="133"/>
    <col min="14338" max="14338" width="14.42578125" style="133" customWidth="1"/>
    <col min="14339" max="14339" width="12.42578125" style="133" customWidth="1"/>
    <col min="14340" max="14340" width="7.5703125" style="133" customWidth="1"/>
    <col min="14341" max="14341" width="7.42578125" style="133" customWidth="1"/>
    <col min="14342" max="14343" width="7.5703125" style="133" customWidth="1"/>
    <col min="14344" max="14344" width="7.42578125" style="133" customWidth="1"/>
    <col min="14345" max="14345" width="5.5703125" style="133" customWidth="1"/>
    <col min="14346" max="14346" width="12.85546875" style="133" customWidth="1"/>
    <col min="14347" max="14352" width="5.5703125" style="133" customWidth="1"/>
    <col min="14353" max="14353" width="11.5703125" style="133" bestFit="1" customWidth="1"/>
    <col min="14354" max="14593" width="11.42578125" style="133"/>
    <col min="14594" max="14594" width="14.42578125" style="133" customWidth="1"/>
    <col min="14595" max="14595" width="12.42578125" style="133" customWidth="1"/>
    <col min="14596" max="14596" width="7.5703125" style="133" customWidth="1"/>
    <col min="14597" max="14597" width="7.42578125" style="133" customWidth="1"/>
    <col min="14598" max="14599" width="7.5703125" style="133" customWidth="1"/>
    <col min="14600" max="14600" width="7.42578125" style="133" customWidth="1"/>
    <col min="14601" max="14601" width="5.5703125" style="133" customWidth="1"/>
    <col min="14602" max="14602" width="12.85546875" style="133" customWidth="1"/>
    <col min="14603" max="14608" width="5.5703125" style="133" customWidth="1"/>
    <col min="14609" max="14609" width="11.5703125" style="133" bestFit="1" customWidth="1"/>
    <col min="14610" max="14849" width="11.42578125" style="133"/>
    <col min="14850" max="14850" width="14.42578125" style="133" customWidth="1"/>
    <col min="14851" max="14851" width="12.42578125" style="133" customWidth="1"/>
    <col min="14852" max="14852" width="7.5703125" style="133" customWidth="1"/>
    <col min="14853" max="14853" width="7.42578125" style="133" customWidth="1"/>
    <col min="14854" max="14855" width="7.5703125" style="133" customWidth="1"/>
    <col min="14856" max="14856" width="7.42578125" style="133" customWidth="1"/>
    <col min="14857" max="14857" width="5.5703125" style="133" customWidth="1"/>
    <col min="14858" max="14858" width="12.85546875" style="133" customWidth="1"/>
    <col min="14859" max="14864" width="5.5703125" style="133" customWidth="1"/>
    <col min="14865" max="14865" width="11.5703125" style="133" bestFit="1" customWidth="1"/>
    <col min="14866" max="15105" width="11.42578125" style="133"/>
    <col min="15106" max="15106" width="14.42578125" style="133" customWidth="1"/>
    <col min="15107" max="15107" width="12.42578125" style="133" customWidth="1"/>
    <col min="15108" max="15108" width="7.5703125" style="133" customWidth="1"/>
    <col min="15109" max="15109" width="7.42578125" style="133" customWidth="1"/>
    <col min="15110" max="15111" width="7.5703125" style="133" customWidth="1"/>
    <col min="15112" max="15112" width="7.42578125" style="133" customWidth="1"/>
    <col min="15113" max="15113" width="5.5703125" style="133" customWidth="1"/>
    <col min="15114" max="15114" width="12.85546875" style="133" customWidth="1"/>
    <col min="15115" max="15120" width="5.5703125" style="133" customWidth="1"/>
    <col min="15121" max="15121" width="11.5703125" style="133" bestFit="1" customWidth="1"/>
    <col min="15122" max="15361" width="11.42578125" style="133"/>
    <col min="15362" max="15362" width="14.42578125" style="133" customWidth="1"/>
    <col min="15363" max="15363" width="12.42578125" style="133" customWidth="1"/>
    <col min="15364" max="15364" width="7.5703125" style="133" customWidth="1"/>
    <col min="15365" max="15365" width="7.42578125" style="133" customWidth="1"/>
    <col min="15366" max="15367" width="7.5703125" style="133" customWidth="1"/>
    <col min="15368" max="15368" width="7.42578125" style="133" customWidth="1"/>
    <col min="15369" max="15369" width="5.5703125" style="133" customWidth="1"/>
    <col min="15370" max="15370" width="12.85546875" style="133" customWidth="1"/>
    <col min="15371" max="15376" width="5.5703125" style="133" customWidth="1"/>
    <col min="15377" max="15377" width="11.5703125" style="133" bestFit="1" customWidth="1"/>
    <col min="15378" max="15617" width="11.42578125" style="133"/>
    <col min="15618" max="15618" width="14.42578125" style="133" customWidth="1"/>
    <col min="15619" max="15619" width="12.42578125" style="133" customWidth="1"/>
    <col min="15620" max="15620" width="7.5703125" style="133" customWidth="1"/>
    <col min="15621" max="15621" width="7.42578125" style="133" customWidth="1"/>
    <col min="15622" max="15623" width="7.5703125" style="133" customWidth="1"/>
    <col min="15624" max="15624" width="7.42578125" style="133" customWidth="1"/>
    <col min="15625" max="15625" width="5.5703125" style="133" customWidth="1"/>
    <col min="15626" max="15626" width="12.85546875" style="133" customWidth="1"/>
    <col min="15627" max="15632" width="5.5703125" style="133" customWidth="1"/>
    <col min="15633" max="15633" width="11.5703125" style="133" bestFit="1" customWidth="1"/>
    <col min="15634" max="15873" width="11.42578125" style="133"/>
    <col min="15874" max="15874" width="14.42578125" style="133" customWidth="1"/>
    <col min="15875" max="15875" width="12.42578125" style="133" customWidth="1"/>
    <col min="15876" max="15876" width="7.5703125" style="133" customWidth="1"/>
    <col min="15877" max="15877" width="7.42578125" style="133" customWidth="1"/>
    <col min="15878" max="15879" width="7.5703125" style="133" customWidth="1"/>
    <col min="15880" max="15880" width="7.42578125" style="133" customWidth="1"/>
    <col min="15881" max="15881" width="5.5703125" style="133" customWidth="1"/>
    <col min="15882" max="15882" width="12.85546875" style="133" customWidth="1"/>
    <col min="15883" max="15888" width="5.5703125" style="133" customWidth="1"/>
    <col min="15889" max="15889" width="11.5703125" style="133" bestFit="1" customWidth="1"/>
    <col min="15890" max="16129" width="11.42578125" style="133"/>
    <col min="16130" max="16130" width="14.42578125" style="133" customWidth="1"/>
    <col min="16131" max="16131" width="12.42578125" style="133" customWidth="1"/>
    <col min="16132" max="16132" width="7.5703125" style="133" customWidth="1"/>
    <col min="16133" max="16133" width="7.42578125" style="133" customWidth="1"/>
    <col min="16134" max="16135" width="7.5703125" style="133" customWidth="1"/>
    <col min="16136" max="16136" width="7.42578125" style="133" customWidth="1"/>
    <col min="16137" max="16137" width="5.5703125" style="133" customWidth="1"/>
    <col min="16138" max="16138" width="12.85546875" style="133" customWidth="1"/>
    <col min="16139" max="16144" width="5.5703125" style="133" customWidth="1"/>
    <col min="16145" max="16145" width="11.5703125" style="133" bestFit="1" customWidth="1"/>
    <col min="16146" max="16384" width="11.42578125" style="133"/>
  </cols>
  <sheetData>
    <row r="3" spans="2:14" x14ac:dyDescent="0.2">
      <c r="B3" s="530" t="s">
        <v>282</v>
      </c>
      <c r="C3" s="531"/>
      <c r="D3" s="531"/>
      <c r="E3" s="531"/>
      <c r="F3" s="531"/>
      <c r="G3" s="531"/>
      <c r="H3" s="531"/>
      <c r="I3" s="531"/>
      <c r="J3" s="531"/>
      <c r="K3" s="531"/>
      <c r="L3" s="531"/>
      <c r="M3" s="531"/>
      <c r="N3" s="532"/>
    </row>
    <row r="4" spans="2:14" x14ac:dyDescent="0.2">
      <c r="B4" s="533"/>
      <c r="C4" s="534"/>
      <c r="D4" s="534"/>
      <c r="E4" s="534"/>
      <c r="F4" s="534"/>
      <c r="G4" s="534"/>
      <c r="H4" s="534"/>
      <c r="I4" s="534"/>
      <c r="J4" s="534"/>
      <c r="K4" s="534"/>
      <c r="L4" s="534"/>
      <c r="M4" s="534"/>
      <c r="N4" s="535"/>
    </row>
    <row r="5" spans="2:14" x14ac:dyDescent="0.2">
      <c r="B5" s="533"/>
      <c r="C5" s="534"/>
      <c r="D5" s="534"/>
      <c r="E5" s="534"/>
      <c r="F5" s="534"/>
      <c r="G5" s="534"/>
      <c r="H5" s="534"/>
      <c r="I5" s="534"/>
      <c r="J5" s="534"/>
      <c r="K5" s="534"/>
      <c r="L5" s="534"/>
      <c r="M5" s="534"/>
      <c r="N5" s="535"/>
    </row>
    <row r="6" spans="2:14" x14ac:dyDescent="0.2">
      <c r="B6" s="533"/>
      <c r="C6" s="534"/>
      <c r="D6" s="534"/>
      <c r="E6" s="534"/>
      <c r="F6" s="534"/>
      <c r="G6" s="534"/>
      <c r="H6" s="534"/>
      <c r="I6" s="534"/>
      <c r="J6" s="534"/>
      <c r="K6" s="534"/>
      <c r="L6" s="534"/>
      <c r="M6" s="534"/>
      <c r="N6" s="535"/>
    </row>
    <row r="7" spans="2:14" x14ac:dyDescent="0.2">
      <c r="B7" s="533"/>
      <c r="C7" s="534"/>
      <c r="D7" s="534"/>
      <c r="E7" s="534"/>
      <c r="F7" s="534"/>
      <c r="G7" s="534"/>
      <c r="H7" s="534"/>
      <c r="I7" s="534"/>
      <c r="J7" s="534"/>
      <c r="K7" s="534"/>
      <c r="L7" s="534"/>
      <c r="M7" s="534"/>
      <c r="N7" s="535"/>
    </row>
    <row r="8" spans="2:14" x14ac:dyDescent="0.2">
      <c r="B8" s="533"/>
      <c r="C8" s="534"/>
      <c r="D8" s="534"/>
      <c r="E8" s="534"/>
      <c r="F8" s="534"/>
      <c r="G8" s="534"/>
      <c r="H8" s="534"/>
      <c r="I8" s="534"/>
      <c r="J8" s="534"/>
      <c r="K8" s="534"/>
      <c r="L8" s="534"/>
      <c r="M8" s="534"/>
      <c r="N8" s="535"/>
    </row>
    <row r="9" spans="2:14" x14ac:dyDescent="0.2">
      <c r="B9" s="533"/>
      <c r="C9" s="534"/>
      <c r="D9" s="534"/>
      <c r="E9" s="534"/>
      <c r="F9" s="534"/>
      <c r="G9" s="534"/>
      <c r="H9" s="534"/>
      <c r="I9" s="534"/>
      <c r="J9" s="534"/>
      <c r="K9" s="534"/>
      <c r="L9" s="534"/>
      <c r="M9" s="534"/>
      <c r="N9" s="535"/>
    </row>
    <row r="10" spans="2:14" x14ac:dyDescent="0.2">
      <c r="B10" s="536"/>
      <c r="C10" s="537"/>
      <c r="D10" s="537"/>
      <c r="E10" s="537"/>
      <c r="F10" s="537"/>
      <c r="G10" s="537"/>
      <c r="H10" s="537"/>
      <c r="I10" s="537"/>
      <c r="J10" s="537"/>
      <c r="K10" s="537"/>
      <c r="L10" s="537"/>
      <c r="M10" s="537"/>
      <c r="N10" s="538"/>
    </row>
    <row r="13" spans="2:14" x14ac:dyDescent="0.2">
      <c r="B13" s="134"/>
      <c r="C13" s="135" t="s">
        <v>264</v>
      </c>
      <c r="D13" s="135" t="s">
        <v>265</v>
      </c>
      <c r="E13" s="135" t="s">
        <v>266</v>
      </c>
      <c r="F13" s="135" t="s">
        <v>267</v>
      </c>
      <c r="G13" s="135" t="s">
        <v>268</v>
      </c>
      <c r="H13" s="134" t="s">
        <v>269</v>
      </c>
    </row>
    <row r="14" spans="2:14" x14ac:dyDescent="0.2">
      <c r="B14" s="138" t="s">
        <v>270</v>
      </c>
      <c r="C14" s="137">
        <v>82</v>
      </c>
      <c r="D14" s="137">
        <v>67</v>
      </c>
      <c r="E14" s="137">
        <v>107</v>
      </c>
      <c r="F14" s="137">
        <v>76</v>
      </c>
      <c r="G14" s="137">
        <v>16</v>
      </c>
      <c r="H14" s="136">
        <f>SUM(C14:G14)</f>
        <v>348</v>
      </c>
    </row>
    <row r="15" spans="2:14" x14ac:dyDescent="0.2">
      <c r="B15" s="138" t="s">
        <v>271</v>
      </c>
      <c r="C15" s="137">
        <v>75</v>
      </c>
      <c r="D15" s="137">
        <v>10</v>
      </c>
      <c r="E15" s="137">
        <v>16</v>
      </c>
      <c r="F15" s="137">
        <v>47</v>
      </c>
      <c r="G15" s="137">
        <v>30</v>
      </c>
      <c r="H15" s="136">
        <f t="shared" ref="H15:H18" si="0">SUM(C15:G15)</f>
        <v>178</v>
      </c>
    </row>
    <row r="16" spans="2:14" x14ac:dyDescent="0.2">
      <c r="B16" s="138" t="s">
        <v>272</v>
      </c>
      <c r="C16" s="137">
        <v>12</v>
      </c>
      <c r="D16" s="137">
        <v>23</v>
      </c>
      <c r="E16" s="137">
        <v>42</v>
      </c>
      <c r="F16" s="137">
        <v>41</v>
      </c>
      <c r="G16" s="137">
        <v>40</v>
      </c>
      <c r="H16" s="136">
        <f t="shared" si="0"/>
        <v>158</v>
      </c>
    </row>
    <row r="17" spans="2:8" x14ac:dyDescent="0.2">
      <c r="B17" s="138" t="s">
        <v>273</v>
      </c>
      <c r="C17" s="137">
        <v>16</v>
      </c>
      <c r="D17" s="137">
        <v>20</v>
      </c>
      <c r="E17" s="137">
        <v>44</v>
      </c>
      <c r="F17" s="137">
        <v>36</v>
      </c>
      <c r="G17" s="137">
        <v>22</v>
      </c>
      <c r="H17" s="136">
        <f t="shared" si="0"/>
        <v>138</v>
      </c>
    </row>
    <row r="18" spans="2:8" x14ac:dyDescent="0.2">
      <c r="B18" s="138" t="s">
        <v>274</v>
      </c>
      <c r="C18" s="137">
        <v>8</v>
      </c>
      <c r="D18" s="137">
        <v>53</v>
      </c>
      <c r="E18" s="137">
        <v>30</v>
      </c>
      <c r="F18" s="137">
        <v>43</v>
      </c>
      <c r="G18" s="137">
        <v>44</v>
      </c>
      <c r="H18" s="136">
        <f t="shared" si="0"/>
        <v>178</v>
      </c>
    </row>
    <row r="19" spans="2:8" x14ac:dyDescent="0.2">
      <c r="B19" s="139" t="s">
        <v>269</v>
      </c>
      <c r="C19" s="135">
        <f>SUM(C14:C18)</f>
        <v>193</v>
      </c>
      <c r="D19" s="135">
        <f>SUM(D14:D18)</f>
        <v>173</v>
      </c>
      <c r="E19" s="135">
        <f>SUM(E14:E18)</f>
        <v>239</v>
      </c>
      <c r="F19" s="135">
        <f>SUM(F14:F18)</f>
        <v>243</v>
      </c>
      <c r="G19" s="135">
        <f>SUM(G14:G18)</f>
        <v>152</v>
      </c>
      <c r="H19" s="134">
        <f>SUM(C19:G19)</f>
        <v>1000</v>
      </c>
    </row>
    <row r="21" spans="2:8" x14ac:dyDescent="0.2">
      <c r="B21" s="133" t="s">
        <v>275</v>
      </c>
    </row>
    <row r="22" spans="2:8" x14ac:dyDescent="0.2">
      <c r="C22" s="133">
        <f>(C19*$H$14)/$H$19</f>
        <v>67.164000000000001</v>
      </c>
      <c r="D22" s="133">
        <f>(D19*$H$14)/$H$19</f>
        <v>60.204000000000001</v>
      </c>
      <c r="E22" s="133">
        <f>(E19*$H$14)/$H$19</f>
        <v>83.171999999999997</v>
      </c>
      <c r="F22" s="133">
        <f>(F19*$H$14)/$H$19</f>
        <v>84.563999999999993</v>
      </c>
      <c r="G22" s="133">
        <f>(G19*$H$14)/$H$19</f>
        <v>52.896000000000001</v>
      </c>
    </row>
    <row r="23" spans="2:8" x14ac:dyDescent="0.2">
      <c r="C23" s="133">
        <f>(C19*$H$15)/$H$19</f>
        <v>34.353999999999999</v>
      </c>
      <c r="D23" s="133">
        <f>(D19*$H$15)/$H$19</f>
        <v>30.794</v>
      </c>
      <c r="E23" s="133">
        <f>(E19*$H$15)/$H$19</f>
        <v>42.542000000000002</v>
      </c>
      <c r="F23" s="133">
        <f>(F19*$H$15)/$H$19</f>
        <v>43.253999999999998</v>
      </c>
      <c r="G23" s="133">
        <f>(G19*$H$15)/$H$19</f>
        <v>27.056000000000001</v>
      </c>
    </row>
    <row r="24" spans="2:8" x14ac:dyDescent="0.2">
      <c r="C24" s="133">
        <f>(C19*$H$16)/$H$19</f>
        <v>30.494</v>
      </c>
      <c r="D24" s="133">
        <f>(D19*$H$16)/$H$19</f>
        <v>27.334</v>
      </c>
      <c r="E24" s="133">
        <f>(E19*$H$16)/$H$19</f>
        <v>37.762</v>
      </c>
      <c r="F24" s="133">
        <f>(F19*$H$16)/$H$19</f>
        <v>38.393999999999998</v>
      </c>
      <c r="G24" s="133">
        <f>(G19*$H$16)/$H$19</f>
        <v>24.015999999999998</v>
      </c>
    </row>
    <row r="25" spans="2:8" x14ac:dyDescent="0.2">
      <c r="C25" s="133">
        <f>(C19*$H$17)/$H$19</f>
        <v>26.634</v>
      </c>
      <c r="D25" s="133">
        <f>(D19*$H$17)/$H$19</f>
        <v>23.873999999999999</v>
      </c>
      <c r="E25" s="133">
        <f>(E19*$H$17)/$H$19</f>
        <v>32.981999999999999</v>
      </c>
      <c r="F25" s="133">
        <f>(F19*$H$17)/$H$19</f>
        <v>33.533999999999999</v>
      </c>
      <c r="G25" s="133">
        <f>(G19*$H$17)/$H$19</f>
        <v>20.975999999999999</v>
      </c>
    </row>
    <row r="26" spans="2:8" x14ac:dyDescent="0.2">
      <c r="C26" s="133">
        <f>(C19*$H$18)/$H$19</f>
        <v>34.353999999999999</v>
      </c>
      <c r="D26" s="133">
        <f>(D19*$H$18)/$H$19</f>
        <v>30.794</v>
      </c>
      <c r="E26" s="133">
        <f>(E19*$H$18)/$H$19</f>
        <v>42.542000000000002</v>
      </c>
      <c r="F26" s="133">
        <f>(F19*$H$18)/$H$19</f>
        <v>43.253999999999998</v>
      </c>
      <c r="G26" s="133">
        <f>(G19*$H$18)/$H$19</f>
        <v>27.056000000000001</v>
      </c>
    </row>
    <row r="29" spans="2:8" x14ac:dyDescent="0.2">
      <c r="C29" s="133">
        <f t="shared" ref="C29:G33" si="1">((C14-C22)^2)/C22</f>
        <v>3.2771558573045074</v>
      </c>
      <c r="D29" s="133">
        <f t="shared" si="1"/>
        <v>0.76715195003654224</v>
      </c>
      <c r="E29" s="133">
        <f t="shared" si="1"/>
        <v>6.8264991102774992</v>
      </c>
      <c r="F29" s="133">
        <f t="shared" si="1"/>
        <v>0.86729691121517305</v>
      </c>
      <c r="G29" s="133">
        <f t="shared" si="1"/>
        <v>25.735685420447673</v>
      </c>
    </row>
    <row r="30" spans="2:8" x14ac:dyDescent="0.2">
      <c r="C30" s="133">
        <f t="shared" si="1"/>
        <v>48.090391686557609</v>
      </c>
      <c r="D30" s="133">
        <f t="shared" si="1"/>
        <v>14.041385854387219</v>
      </c>
      <c r="E30" s="133">
        <f t="shared" si="1"/>
        <v>16.559582624230174</v>
      </c>
      <c r="F30" s="133">
        <f t="shared" si="1"/>
        <v>0.32442123271836171</v>
      </c>
      <c r="G30" s="133">
        <f t="shared" si="1"/>
        <v>0.32034062684801867</v>
      </c>
    </row>
    <row r="31" spans="2:8" x14ac:dyDescent="0.2">
      <c r="C31" s="133">
        <f t="shared" si="1"/>
        <v>11.216240440742441</v>
      </c>
      <c r="D31" s="133">
        <f t="shared" si="1"/>
        <v>0.68718650764615485</v>
      </c>
      <c r="E31" s="133">
        <f t="shared" si="1"/>
        <v>0.47562745617287205</v>
      </c>
      <c r="F31" s="133">
        <f t="shared" si="1"/>
        <v>0.17688274209511926</v>
      </c>
      <c r="G31" s="133">
        <f t="shared" si="1"/>
        <v>10.638251832111928</v>
      </c>
    </row>
    <row r="32" spans="2:8" x14ac:dyDescent="0.2">
      <c r="C32" s="133">
        <f t="shared" si="1"/>
        <v>4.2457744236689949</v>
      </c>
      <c r="D32" s="133">
        <f t="shared" si="1"/>
        <v>0.62862846611376355</v>
      </c>
      <c r="E32" s="133">
        <f t="shared" si="1"/>
        <v>3.680684130737979</v>
      </c>
      <c r="F32" s="133">
        <f t="shared" si="1"/>
        <v>0.18134299516908228</v>
      </c>
      <c r="G32" s="133">
        <f t="shared" si="1"/>
        <v>4.9989321128909324E-2</v>
      </c>
    </row>
    <row r="33" spans="2:14" x14ac:dyDescent="0.2">
      <c r="C33" s="133">
        <f t="shared" si="1"/>
        <v>20.216956278744835</v>
      </c>
      <c r="D33" s="133">
        <f t="shared" si="1"/>
        <v>16.013068649736962</v>
      </c>
      <c r="E33" s="133">
        <f t="shared" si="1"/>
        <v>3.6975639133092013</v>
      </c>
      <c r="F33" s="133">
        <f t="shared" si="1"/>
        <v>1.491561474083296E-3</v>
      </c>
      <c r="G33" s="133">
        <f t="shared" si="1"/>
        <v>10.611292726197515</v>
      </c>
    </row>
    <row r="35" spans="2:14" x14ac:dyDescent="0.2">
      <c r="B35" s="133" t="s">
        <v>279</v>
      </c>
      <c r="C35" s="133">
        <f>SUM(C29:G33)</f>
        <v>199.33089271907266</v>
      </c>
    </row>
    <row r="36" spans="2:14" x14ac:dyDescent="0.2">
      <c r="B36" s="314" t="s">
        <v>370</v>
      </c>
      <c r="C36" s="133">
        <f>CHIINV(0.05,16)</f>
        <v>26.296227604864239</v>
      </c>
    </row>
    <row r="40" spans="2:14" x14ac:dyDescent="0.2">
      <c r="B40" s="133" t="s">
        <v>276</v>
      </c>
      <c r="C40" s="133">
        <f>CHITEST(C14:G18,C22:G26)</f>
        <v>1.0827026890356367E-33</v>
      </c>
      <c r="F40" s="539" t="s">
        <v>280</v>
      </c>
      <c r="G40" s="539"/>
      <c r="H40" s="539"/>
      <c r="I40" s="539"/>
      <c r="J40" s="539"/>
      <c r="K40" s="539"/>
      <c r="L40" s="539"/>
      <c r="M40" s="539"/>
      <c r="N40" s="539"/>
    </row>
    <row r="41" spans="2:14" x14ac:dyDescent="0.2">
      <c r="B41" s="133" t="s">
        <v>277</v>
      </c>
      <c r="C41" s="133">
        <v>0.05</v>
      </c>
      <c r="F41" s="539" t="s">
        <v>281</v>
      </c>
      <c r="G41" s="539"/>
      <c r="H41" s="539"/>
      <c r="I41" s="539"/>
      <c r="J41" s="539"/>
      <c r="K41" s="539"/>
      <c r="L41" s="539"/>
      <c r="M41" s="539"/>
      <c r="N41" s="539"/>
    </row>
  </sheetData>
  <mergeCells count="3">
    <mergeCell ref="B3:N10"/>
    <mergeCell ref="F40:N40"/>
    <mergeCell ref="F41:N41"/>
  </mergeCells>
  <pageMargins left="0.75" right="0.75" top="1" bottom="1" header="0" footer="0"/>
  <headerFooter alignWithMargins="0"/>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N25"/>
  <sheetViews>
    <sheetView topLeftCell="B1" workbookViewId="0">
      <selection activeCell="E29" sqref="E29"/>
    </sheetView>
  </sheetViews>
  <sheetFormatPr baseColWidth="10" defaultRowHeight="12" x14ac:dyDescent="0.2"/>
  <cols>
    <col min="1" max="1" width="2.7109375" style="133" customWidth="1"/>
    <col min="2" max="2" width="39.140625" style="133" bestFit="1" customWidth="1"/>
    <col min="3" max="7" width="12" style="133" bestFit="1" customWidth="1"/>
    <col min="8" max="8" width="11.5703125" style="133" customWidth="1"/>
    <col min="9" max="9" width="5.5703125" style="133" customWidth="1"/>
    <col min="10" max="10" width="12.85546875" style="133" customWidth="1"/>
    <col min="11" max="16" width="5.5703125" style="133" customWidth="1"/>
    <col min="17" max="17" width="11.5703125" style="133" bestFit="1" customWidth="1"/>
    <col min="18" max="257" width="11" style="133"/>
    <col min="258" max="258" width="14.42578125" style="133" customWidth="1"/>
    <col min="259" max="259" width="12.42578125" style="133" customWidth="1"/>
    <col min="260" max="260" width="7.5703125" style="133" customWidth="1"/>
    <col min="261" max="261" width="7.42578125" style="133" customWidth="1"/>
    <col min="262" max="263" width="7.5703125" style="133" customWidth="1"/>
    <col min="264" max="264" width="7.42578125" style="133" customWidth="1"/>
    <col min="265" max="265" width="5.5703125" style="133" customWidth="1"/>
    <col min="266" max="266" width="12.85546875" style="133" customWidth="1"/>
    <col min="267" max="272" width="5.5703125" style="133" customWidth="1"/>
    <col min="273" max="273" width="11.5703125" style="133" bestFit="1" customWidth="1"/>
    <col min="274" max="513" width="11" style="133"/>
    <col min="514" max="514" width="14.42578125" style="133" customWidth="1"/>
    <col min="515" max="515" width="12.42578125" style="133" customWidth="1"/>
    <col min="516" max="516" width="7.5703125" style="133" customWidth="1"/>
    <col min="517" max="517" width="7.42578125" style="133" customWidth="1"/>
    <col min="518" max="519" width="7.5703125" style="133" customWidth="1"/>
    <col min="520" max="520" width="7.42578125" style="133" customWidth="1"/>
    <col min="521" max="521" width="5.5703125" style="133" customWidth="1"/>
    <col min="522" max="522" width="12.85546875" style="133" customWidth="1"/>
    <col min="523" max="528" width="5.5703125" style="133" customWidth="1"/>
    <col min="529" max="529" width="11.5703125" style="133" bestFit="1" customWidth="1"/>
    <col min="530" max="769" width="11" style="133"/>
    <col min="770" max="770" width="14.42578125" style="133" customWidth="1"/>
    <col min="771" max="771" width="12.42578125" style="133" customWidth="1"/>
    <col min="772" max="772" width="7.5703125" style="133" customWidth="1"/>
    <col min="773" max="773" width="7.42578125" style="133" customWidth="1"/>
    <col min="774" max="775" width="7.5703125" style="133" customWidth="1"/>
    <col min="776" max="776" width="7.42578125" style="133" customWidth="1"/>
    <col min="777" max="777" width="5.5703125" style="133" customWidth="1"/>
    <col min="778" max="778" width="12.85546875" style="133" customWidth="1"/>
    <col min="779" max="784" width="5.5703125" style="133" customWidth="1"/>
    <col min="785" max="785" width="11.5703125" style="133" bestFit="1" customWidth="1"/>
    <col min="786" max="1025" width="11" style="133"/>
    <col min="1026" max="1026" width="14.42578125" style="133" customWidth="1"/>
    <col min="1027" max="1027" width="12.42578125" style="133" customWidth="1"/>
    <col min="1028" max="1028" width="7.5703125" style="133" customWidth="1"/>
    <col min="1029" max="1029" width="7.42578125" style="133" customWidth="1"/>
    <col min="1030" max="1031" width="7.5703125" style="133" customWidth="1"/>
    <col min="1032" max="1032" width="7.42578125" style="133" customWidth="1"/>
    <col min="1033" max="1033" width="5.5703125" style="133" customWidth="1"/>
    <col min="1034" max="1034" width="12.85546875" style="133" customWidth="1"/>
    <col min="1035" max="1040" width="5.5703125" style="133" customWidth="1"/>
    <col min="1041" max="1041" width="11.5703125" style="133" bestFit="1" customWidth="1"/>
    <col min="1042" max="1281" width="11" style="133"/>
    <col min="1282" max="1282" width="14.42578125" style="133" customWidth="1"/>
    <col min="1283" max="1283" width="12.42578125" style="133" customWidth="1"/>
    <col min="1284" max="1284" width="7.5703125" style="133" customWidth="1"/>
    <col min="1285" max="1285" width="7.42578125" style="133" customWidth="1"/>
    <col min="1286" max="1287" width="7.5703125" style="133" customWidth="1"/>
    <col min="1288" max="1288" width="7.42578125" style="133" customWidth="1"/>
    <col min="1289" max="1289" width="5.5703125" style="133" customWidth="1"/>
    <col min="1290" max="1290" width="12.85546875" style="133" customWidth="1"/>
    <col min="1291" max="1296" width="5.5703125" style="133" customWidth="1"/>
    <col min="1297" max="1297" width="11.5703125" style="133" bestFit="1" customWidth="1"/>
    <col min="1298" max="1537" width="11" style="133"/>
    <col min="1538" max="1538" width="14.42578125" style="133" customWidth="1"/>
    <col min="1539" max="1539" width="12.42578125" style="133" customWidth="1"/>
    <col min="1540" max="1540" width="7.5703125" style="133" customWidth="1"/>
    <col min="1541" max="1541" width="7.42578125" style="133" customWidth="1"/>
    <col min="1542" max="1543" width="7.5703125" style="133" customWidth="1"/>
    <col min="1544" max="1544" width="7.42578125" style="133" customWidth="1"/>
    <col min="1545" max="1545" width="5.5703125" style="133" customWidth="1"/>
    <col min="1546" max="1546" width="12.85546875" style="133" customWidth="1"/>
    <col min="1547" max="1552" width="5.5703125" style="133" customWidth="1"/>
    <col min="1553" max="1553" width="11.5703125" style="133" bestFit="1" customWidth="1"/>
    <col min="1554" max="1793" width="11" style="133"/>
    <col min="1794" max="1794" width="14.42578125" style="133" customWidth="1"/>
    <col min="1795" max="1795" width="12.42578125" style="133" customWidth="1"/>
    <col min="1796" max="1796" width="7.5703125" style="133" customWidth="1"/>
    <col min="1797" max="1797" width="7.42578125" style="133" customWidth="1"/>
    <col min="1798" max="1799" width="7.5703125" style="133" customWidth="1"/>
    <col min="1800" max="1800" width="7.42578125" style="133" customWidth="1"/>
    <col min="1801" max="1801" width="5.5703125" style="133" customWidth="1"/>
    <col min="1802" max="1802" width="12.85546875" style="133" customWidth="1"/>
    <col min="1803" max="1808" width="5.5703125" style="133" customWidth="1"/>
    <col min="1809" max="1809" width="11.5703125" style="133" bestFit="1" customWidth="1"/>
    <col min="1810" max="2049" width="11" style="133"/>
    <col min="2050" max="2050" width="14.42578125" style="133" customWidth="1"/>
    <col min="2051" max="2051" width="12.42578125" style="133" customWidth="1"/>
    <col min="2052" max="2052" width="7.5703125" style="133" customWidth="1"/>
    <col min="2053" max="2053" width="7.42578125" style="133" customWidth="1"/>
    <col min="2054" max="2055" width="7.5703125" style="133" customWidth="1"/>
    <col min="2056" max="2056" width="7.42578125" style="133" customWidth="1"/>
    <col min="2057" max="2057" width="5.5703125" style="133" customWidth="1"/>
    <col min="2058" max="2058" width="12.85546875" style="133" customWidth="1"/>
    <col min="2059" max="2064" width="5.5703125" style="133" customWidth="1"/>
    <col min="2065" max="2065" width="11.5703125" style="133" bestFit="1" customWidth="1"/>
    <col min="2066" max="2305" width="11" style="133"/>
    <col min="2306" max="2306" width="14.42578125" style="133" customWidth="1"/>
    <col min="2307" max="2307" width="12.42578125" style="133" customWidth="1"/>
    <col min="2308" max="2308" width="7.5703125" style="133" customWidth="1"/>
    <col min="2309" max="2309" width="7.42578125" style="133" customWidth="1"/>
    <col min="2310" max="2311" width="7.5703125" style="133" customWidth="1"/>
    <col min="2312" max="2312" width="7.42578125" style="133" customWidth="1"/>
    <col min="2313" max="2313" width="5.5703125" style="133" customWidth="1"/>
    <col min="2314" max="2314" width="12.85546875" style="133" customWidth="1"/>
    <col min="2315" max="2320" width="5.5703125" style="133" customWidth="1"/>
    <col min="2321" max="2321" width="11.5703125" style="133" bestFit="1" customWidth="1"/>
    <col min="2322" max="2561" width="11" style="133"/>
    <col min="2562" max="2562" width="14.42578125" style="133" customWidth="1"/>
    <col min="2563" max="2563" width="12.42578125" style="133" customWidth="1"/>
    <col min="2564" max="2564" width="7.5703125" style="133" customWidth="1"/>
    <col min="2565" max="2565" width="7.42578125" style="133" customWidth="1"/>
    <col min="2566" max="2567" width="7.5703125" style="133" customWidth="1"/>
    <col min="2568" max="2568" width="7.42578125" style="133" customWidth="1"/>
    <col min="2569" max="2569" width="5.5703125" style="133" customWidth="1"/>
    <col min="2570" max="2570" width="12.85546875" style="133" customWidth="1"/>
    <col min="2571" max="2576" width="5.5703125" style="133" customWidth="1"/>
    <col min="2577" max="2577" width="11.5703125" style="133" bestFit="1" customWidth="1"/>
    <col min="2578" max="2817" width="11" style="133"/>
    <col min="2818" max="2818" width="14.42578125" style="133" customWidth="1"/>
    <col min="2819" max="2819" width="12.42578125" style="133" customWidth="1"/>
    <col min="2820" max="2820" width="7.5703125" style="133" customWidth="1"/>
    <col min="2821" max="2821" width="7.42578125" style="133" customWidth="1"/>
    <col min="2822" max="2823" width="7.5703125" style="133" customWidth="1"/>
    <col min="2824" max="2824" width="7.42578125" style="133" customWidth="1"/>
    <col min="2825" max="2825" width="5.5703125" style="133" customWidth="1"/>
    <col min="2826" max="2826" width="12.85546875" style="133" customWidth="1"/>
    <col min="2827" max="2832" width="5.5703125" style="133" customWidth="1"/>
    <col min="2833" max="2833" width="11.5703125" style="133" bestFit="1" customWidth="1"/>
    <col min="2834" max="3073" width="11" style="133"/>
    <col min="3074" max="3074" width="14.42578125" style="133" customWidth="1"/>
    <col min="3075" max="3075" width="12.42578125" style="133" customWidth="1"/>
    <col min="3076" max="3076" width="7.5703125" style="133" customWidth="1"/>
    <col min="3077" max="3077" width="7.42578125" style="133" customWidth="1"/>
    <col min="3078" max="3079" width="7.5703125" style="133" customWidth="1"/>
    <col min="3080" max="3080" width="7.42578125" style="133" customWidth="1"/>
    <col min="3081" max="3081" width="5.5703125" style="133" customWidth="1"/>
    <col min="3082" max="3082" width="12.85546875" style="133" customWidth="1"/>
    <col min="3083" max="3088" width="5.5703125" style="133" customWidth="1"/>
    <col min="3089" max="3089" width="11.5703125" style="133" bestFit="1" customWidth="1"/>
    <col min="3090" max="3329" width="11" style="133"/>
    <col min="3330" max="3330" width="14.42578125" style="133" customWidth="1"/>
    <col min="3331" max="3331" width="12.42578125" style="133" customWidth="1"/>
    <col min="3332" max="3332" width="7.5703125" style="133" customWidth="1"/>
    <col min="3333" max="3333" width="7.42578125" style="133" customWidth="1"/>
    <col min="3334" max="3335" width="7.5703125" style="133" customWidth="1"/>
    <col min="3336" max="3336" width="7.42578125" style="133" customWidth="1"/>
    <col min="3337" max="3337" width="5.5703125" style="133" customWidth="1"/>
    <col min="3338" max="3338" width="12.85546875" style="133" customWidth="1"/>
    <col min="3339" max="3344" width="5.5703125" style="133" customWidth="1"/>
    <col min="3345" max="3345" width="11.5703125" style="133" bestFit="1" customWidth="1"/>
    <col min="3346" max="3585" width="11" style="133"/>
    <col min="3586" max="3586" width="14.42578125" style="133" customWidth="1"/>
    <col min="3587" max="3587" width="12.42578125" style="133" customWidth="1"/>
    <col min="3588" max="3588" width="7.5703125" style="133" customWidth="1"/>
    <col min="3589" max="3589" width="7.42578125" style="133" customWidth="1"/>
    <col min="3590" max="3591" width="7.5703125" style="133" customWidth="1"/>
    <col min="3592" max="3592" width="7.42578125" style="133" customWidth="1"/>
    <col min="3593" max="3593" width="5.5703125" style="133" customWidth="1"/>
    <col min="3594" max="3594" width="12.85546875" style="133" customWidth="1"/>
    <col min="3595" max="3600" width="5.5703125" style="133" customWidth="1"/>
    <col min="3601" max="3601" width="11.5703125" style="133" bestFit="1" customWidth="1"/>
    <col min="3602" max="3841" width="11" style="133"/>
    <col min="3842" max="3842" width="14.42578125" style="133" customWidth="1"/>
    <col min="3843" max="3843" width="12.42578125" style="133" customWidth="1"/>
    <col min="3844" max="3844" width="7.5703125" style="133" customWidth="1"/>
    <col min="3845" max="3845" width="7.42578125" style="133" customWidth="1"/>
    <col min="3846" max="3847" width="7.5703125" style="133" customWidth="1"/>
    <col min="3848" max="3848" width="7.42578125" style="133" customWidth="1"/>
    <col min="3849" max="3849" width="5.5703125" style="133" customWidth="1"/>
    <col min="3850" max="3850" width="12.85546875" style="133" customWidth="1"/>
    <col min="3851" max="3856" width="5.5703125" style="133" customWidth="1"/>
    <col min="3857" max="3857" width="11.5703125" style="133" bestFit="1" customWidth="1"/>
    <col min="3858" max="4097" width="11" style="133"/>
    <col min="4098" max="4098" width="14.42578125" style="133" customWidth="1"/>
    <col min="4099" max="4099" width="12.42578125" style="133" customWidth="1"/>
    <col min="4100" max="4100" width="7.5703125" style="133" customWidth="1"/>
    <col min="4101" max="4101" width="7.42578125" style="133" customWidth="1"/>
    <col min="4102" max="4103" width="7.5703125" style="133" customWidth="1"/>
    <col min="4104" max="4104" width="7.42578125" style="133" customWidth="1"/>
    <col min="4105" max="4105" width="5.5703125" style="133" customWidth="1"/>
    <col min="4106" max="4106" width="12.85546875" style="133" customWidth="1"/>
    <col min="4107" max="4112" width="5.5703125" style="133" customWidth="1"/>
    <col min="4113" max="4113" width="11.5703125" style="133" bestFit="1" customWidth="1"/>
    <col min="4114" max="4353" width="11" style="133"/>
    <col min="4354" max="4354" width="14.42578125" style="133" customWidth="1"/>
    <col min="4355" max="4355" width="12.42578125" style="133" customWidth="1"/>
    <col min="4356" max="4356" width="7.5703125" style="133" customWidth="1"/>
    <col min="4357" max="4357" width="7.42578125" style="133" customWidth="1"/>
    <col min="4358" max="4359" width="7.5703125" style="133" customWidth="1"/>
    <col min="4360" max="4360" width="7.42578125" style="133" customWidth="1"/>
    <col min="4361" max="4361" width="5.5703125" style="133" customWidth="1"/>
    <col min="4362" max="4362" width="12.85546875" style="133" customWidth="1"/>
    <col min="4363" max="4368" width="5.5703125" style="133" customWidth="1"/>
    <col min="4369" max="4369" width="11.5703125" style="133" bestFit="1" customWidth="1"/>
    <col min="4370" max="4609" width="11" style="133"/>
    <col min="4610" max="4610" width="14.42578125" style="133" customWidth="1"/>
    <col min="4611" max="4611" width="12.42578125" style="133" customWidth="1"/>
    <col min="4612" max="4612" width="7.5703125" style="133" customWidth="1"/>
    <col min="4613" max="4613" width="7.42578125" style="133" customWidth="1"/>
    <col min="4614" max="4615" width="7.5703125" style="133" customWidth="1"/>
    <col min="4616" max="4616" width="7.42578125" style="133" customWidth="1"/>
    <col min="4617" max="4617" width="5.5703125" style="133" customWidth="1"/>
    <col min="4618" max="4618" width="12.85546875" style="133" customWidth="1"/>
    <col min="4619" max="4624" width="5.5703125" style="133" customWidth="1"/>
    <col min="4625" max="4625" width="11.5703125" style="133" bestFit="1" customWidth="1"/>
    <col min="4626" max="4865" width="11" style="133"/>
    <col min="4866" max="4866" width="14.42578125" style="133" customWidth="1"/>
    <col min="4867" max="4867" width="12.42578125" style="133" customWidth="1"/>
    <col min="4868" max="4868" width="7.5703125" style="133" customWidth="1"/>
    <col min="4869" max="4869" width="7.42578125" style="133" customWidth="1"/>
    <col min="4870" max="4871" width="7.5703125" style="133" customWidth="1"/>
    <col min="4872" max="4872" width="7.42578125" style="133" customWidth="1"/>
    <col min="4873" max="4873" width="5.5703125" style="133" customWidth="1"/>
    <col min="4874" max="4874" width="12.85546875" style="133" customWidth="1"/>
    <col min="4875" max="4880" width="5.5703125" style="133" customWidth="1"/>
    <col min="4881" max="4881" width="11.5703125" style="133" bestFit="1" customWidth="1"/>
    <col min="4882" max="5121" width="11" style="133"/>
    <col min="5122" max="5122" width="14.42578125" style="133" customWidth="1"/>
    <col min="5123" max="5123" width="12.42578125" style="133" customWidth="1"/>
    <col min="5124" max="5124" width="7.5703125" style="133" customWidth="1"/>
    <col min="5125" max="5125" width="7.42578125" style="133" customWidth="1"/>
    <col min="5126" max="5127" width="7.5703125" style="133" customWidth="1"/>
    <col min="5128" max="5128" width="7.42578125" style="133" customWidth="1"/>
    <col min="5129" max="5129" width="5.5703125" style="133" customWidth="1"/>
    <col min="5130" max="5130" width="12.85546875" style="133" customWidth="1"/>
    <col min="5131" max="5136" width="5.5703125" style="133" customWidth="1"/>
    <col min="5137" max="5137" width="11.5703125" style="133" bestFit="1" customWidth="1"/>
    <col min="5138" max="5377" width="11" style="133"/>
    <col min="5378" max="5378" width="14.42578125" style="133" customWidth="1"/>
    <col min="5379" max="5379" width="12.42578125" style="133" customWidth="1"/>
    <col min="5380" max="5380" width="7.5703125" style="133" customWidth="1"/>
    <col min="5381" max="5381" width="7.42578125" style="133" customWidth="1"/>
    <col min="5382" max="5383" width="7.5703125" style="133" customWidth="1"/>
    <col min="5384" max="5384" width="7.42578125" style="133" customWidth="1"/>
    <col min="5385" max="5385" width="5.5703125" style="133" customWidth="1"/>
    <col min="5386" max="5386" width="12.85546875" style="133" customWidth="1"/>
    <col min="5387" max="5392" width="5.5703125" style="133" customWidth="1"/>
    <col min="5393" max="5393" width="11.5703125" style="133" bestFit="1" customWidth="1"/>
    <col min="5394" max="5633" width="11" style="133"/>
    <col min="5634" max="5634" width="14.42578125" style="133" customWidth="1"/>
    <col min="5635" max="5635" width="12.42578125" style="133" customWidth="1"/>
    <col min="5636" max="5636" width="7.5703125" style="133" customWidth="1"/>
    <col min="5637" max="5637" width="7.42578125" style="133" customWidth="1"/>
    <col min="5638" max="5639" width="7.5703125" style="133" customWidth="1"/>
    <col min="5640" max="5640" width="7.42578125" style="133" customWidth="1"/>
    <col min="5641" max="5641" width="5.5703125" style="133" customWidth="1"/>
    <col min="5642" max="5642" width="12.85546875" style="133" customWidth="1"/>
    <col min="5643" max="5648" width="5.5703125" style="133" customWidth="1"/>
    <col min="5649" max="5649" width="11.5703125" style="133" bestFit="1" customWidth="1"/>
    <col min="5650" max="5889" width="11" style="133"/>
    <col min="5890" max="5890" width="14.42578125" style="133" customWidth="1"/>
    <col min="5891" max="5891" width="12.42578125" style="133" customWidth="1"/>
    <col min="5892" max="5892" width="7.5703125" style="133" customWidth="1"/>
    <col min="5893" max="5893" width="7.42578125" style="133" customWidth="1"/>
    <col min="5894" max="5895" width="7.5703125" style="133" customWidth="1"/>
    <col min="5896" max="5896" width="7.42578125" style="133" customWidth="1"/>
    <col min="5897" max="5897" width="5.5703125" style="133" customWidth="1"/>
    <col min="5898" max="5898" width="12.85546875" style="133" customWidth="1"/>
    <col min="5899" max="5904" width="5.5703125" style="133" customWidth="1"/>
    <col min="5905" max="5905" width="11.5703125" style="133" bestFit="1" customWidth="1"/>
    <col min="5906" max="6145" width="11" style="133"/>
    <col min="6146" max="6146" width="14.42578125" style="133" customWidth="1"/>
    <col min="6147" max="6147" width="12.42578125" style="133" customWidth="1"/>
    <col min="6148" max="6148" width="7.5703125" style="133" customWidth="1"/>
    <col min="6149" max="6149" width="7.42578125" style="133" customWidth="1"/>
    <col min="6150" max="6151" width="7.5703125" style="133" customWidth="1"/>
    <col min="6152" max="6152" width="7.42578125" style="133" customWidth="1"/>
    <col min="6153" max="6153" width="5.5703125" style="133" customWidth="1"/>
    <col min="6154" max="6154" width="12.85546875" style="133" customWidth="1"/>
    <col min="6155" max="6160" width="5.5703125" style="133" customWidth="1"/>
    <col min="6161" max="6161" width="11.5703125" style="133" bestFit="1" customWidth="1"/>
    <col min="6162" max="6401" width="11" style="133"/>
    <col min="6402" max="6402" width="14.42578125" style="133" customWidth="1"/>
    <col min="6403" max="6403" width="12.42578125" style="133" customWidth="1"/>
    <col min="6404" max="6404" width="7.5703125" style="133" customWidth="1"/>
    <col min="6405" max="6405" width="7.42578125" style="133" customWidth="1"/>
    <col min="6406" max="6407" width="7.5703125" style="133" customWidth="1"/>
    <col min="6408" max="6408" width="7.42578125" style="133" customWidth="1"/>
    <col min="6409" max="6409" width="5.5703125" style="133" customWidth="1"/>
    <col min="6410" max="6410" width="12.85546875" style="133" customWidth="1"/>
    <col min="6411" max="6416" width="5.5703125" style="133" customWidth="1"/>
    <col min="6417" max="6417" width="11.5703125" style="133" bestFit="1" customWidth="1"/>
    <col min="6418" max="6657" width="11" style="133"/>
    <col min="6658" max="6658" width="14.42578125" style="133" customWidth="1"/>
    <col min="6659" max="6659" width="12.42578125" style="133" customWidth="1"/>
    <col min="6660" max="6660" width="7.5703125" style="133" customWidth="1"/>
    <col min="6661" max="6661" width="7.42578125" style="133" customWidth="1"/>
    <col min="6662" max="6663" width="7.5703125" style="133" customWidth="1"/>
    <col min="6664" max="6664" width="7.42578125" style="133" customWidth="1"/>
    <col min="6665" max="6665" width="5.5703125" style="133" customWidth="1"/>
    <col min="6666" max="6666" width="12.85546875" style="133" customWidth="1"/>
    <col min="6667" max="6672" width="5.5703125" style="133" customWidth="1"/>
    <col min="6673" max="6673" width="11.5703125" style="133" bestFit="1" customWidth="1"/>
    <col min="6674" max="6913" width="11" style="133"/>
    <col min="6914" max="6914" width="14.42578125" style="133" customWidth="1"/>
    <col min="6915" max="6915" width="12.42578125" style="133" customWidth="1"/>
    <col min="6916" max="6916" width="7.5703125" style="133" customWidth="1"/>
    <col min="6917" max="6917" width="7.42578125" style="133" customWidth="1"/>
    <col min="6918" max="6919" width="7.5703125" style="133" customWidth="1"/>
    <col min="6920" max="6920" width="7.42578125" style="133" customWidth="1"/>
    <col min="6921" max="6921" width="5.5703125" style="133" customWidth="1"/>
    <col min="6922" max="6922" width="12.85546875" style="133" customWidth="1"/>
    <col min="6923" max="6928" width="5.5703125" style="133" customWidth="1"/>
    <col min="6929" max="6929" width="11.5703125" style="133" bestFit="1" customWidth="1"/>
    <col min="6930" max="7169" width="11" style="133"/>
    <col min="7170" max="7170" width="14.42578125" style="133" customWidth="1"/>
    <col min="7171" max="7171" width="12.42578125" style="133" customWidth="1"/>
    <col min="7172" max="7172" width="7.5703125" style="133" customWidth="1"/>
    <col min="7173" max="7173" width="7.42578125" style="133" customWidth="1"/>
    <col min="7174" max="7175" width="7.5703125" style="133" customWidth="1"/>
    <col min="7176" max="7176" width="7.42578125" style="133" customWidth="1"/>
    <col min="7177" max="7177" width="5.5703125" style="133" customWidth="1"/>
    <col min="7178" max="7178" width="12.85546875" style="133" customWidth="1"/>
    <col min="7179" max="7184" width="5.5703125" style="133" customWidth="1"/>
    <col min="7185" max="7185" width="11.5703125" style="133" bestFit="1" customWidth="1"/>
    <col min="7186" max="7425" width="11" style="133"/>
    <col min="7426" max="7426" width="14.42578125" style="133" customWidth="1"/>
    <col min="7427" max="7427" width="12.42578125" style="133" customWidth="1"/>
    <col min="7428" max="7428" width="7.5703125" style="133" customWidth="1"/>
    <col min="7429" max="7429" width="7.42578125" style="133" customWidth="1"/>
    <col min="7430" max="7431" width="7.5703125" style="133" customWidth="1"/>
    <col min="7432" max="7432" width="7.42578125" style="133" customWidth="1"/>
    <col min="7433" max="7433" width="5.5703125" style="133" customWidth="1"/>
    <col min="7434" max="7434" width="12.85546875" style="133" customWidth="1"/>
    <col min="7435" max="7440" width="5.5703125" style="133" customWidth="1"/>
    <col min="7441" max="7441" width="11.5703125" style="133" bestFit="1" customWidth="1"/>
    <col min="7442" max="7681" width="11" style="133"/>
    <col min="7682" max="7682" width="14.42578125" style="133" customWidth="1"/>
    <col min="7683" max="7683" width="12.42578125" style="133" customWidth="1"/>
    <col min="7684" max="7684" width="7.5703125" style="133" customWidth="1"/>
    <col min="7685" max="7685" width="7.42578125" style="133" customWidth="1"/>
    <col min="7686" max="7687" width="7.5703125" style="133" customWidth="1"/>
    <col min="7688" max="7688" width="7.42578125" style="133" customWidth="1"/>
    <col min="7689" max="7689" width="5.5703125" style="133" customWidth="1"/>
    <col min="7690" max="7690" width="12.85546875" style="133" customWidth="1"/>
    <col min="7691" max="7696" width="5.5703125" style="133" customWidth="1"/>
    <col min="7697" max="7697" width="11.5703125" style="133" bestFit="1" customWidth="1"/>
    <col min="7698" max="7937" width="11" style="133"/>
    <col min="7938" max="7938" width="14.42578125" style="133" customWidth="1"/>
    <col min="7939" max="7939" width="12.42578125" style="133" customWidth="1"/>
    <col min="7940" max="7940" width="7.5703125" style="133" customWidth="1"/>
    <col min="7941" max="7941" width="7.42578125" style="133" customWidth="1"/>
    <col min="7942" max="7943" width="7.5703125" style="133" customWidth="1"/>
    <col min="7944" max="7944" width="7.42578125" style="133" customWidth="1"/>
    <col min="7945" max="7945" width="5.5703125" style="133" customWidth="1"/>
    <col min="7946" max="7946" width="12.85546875" style="133" customWidth="1"/>
    <col min="7947" max="7952" width="5.5703125" style="133" customWidth="1"/>
    <col min="7953" max="7953" width="11.5703125" style="133" bestFit="1" customWidth="1"/>
    <col min="7954" max="8193" width="11" style="133"/>
    <col min="8194" max="8194" width="14.42578125" style="133" customWidth="1"/>
    <col min="8195" max="8195" width="12.42578125" style="133" customWidth="1"/>
    <col min="8196" max="8196" width="7.5703125" style="133" customWidth="1"/>
    <col min="8197" max="8197" width="7.42578125" style="133" customWidth="1"/>
    <col min="8198" max="8199" width="7.5703125" style="133" customWidth="1"/>
    <col min="8200" max="8200" width="7.42578125" style="133" customWidth="1"/>
    <col min="8201" max="8201" width="5.5703125" style="133" customWidth="1"/>
    <col min="8202" max="8202" width="12.85546875" style="133" customWidth="1"/>
    <col min="8203" max="8208" width="5.5703125" style="133" customWidth="1"/>
    <col min="8209" max="8209" width="11.5703125" style="133" bestFit="1" customWidth="1"/>
    <col min="8210" max="8449" width="11" style="133"/>
    <col min="8450" max="8450" width="14.42578125" style="133" customWidth="1"/>
    <col min="8451" max="8451" width="12.42578125" style="133" customWidth="1"/>
    <col min="8452" max="8452" width="7.5703125" style="133" customWidth="1"/>
    <col min="8453" max="8453" width="7.42578125" style="133" customWidth="1"/>
    <col min="8454" max="8455" width="7.5703125" style="133" customWidth="1"/>
    <col min="8456" max="8456" width="7.42578125" style="133" customWidth="1"/>
    <col min="8457" max="8457" width="5.5703125" style="133" customWidth="1"/>
    <col min="8458" max="8458" width="12.85546875" style="133" customWidth="1"/>
    <col min="8459" max="8464" width="5.5703125" style="133" customWidth="1"/>
    <col min="8465" max="8465" width="11.5703125" style="133" bestFit="1" customWidth="1"/>
    <col min="8466" max="8705" width="11" style="133"/>
    <col min="8706" max="8706" width="14.42578125" style="133" customWidth="1"/>
    <col min="8707" max="8707" width="12.42578125" style="133" customWidth="1"/>
    <col min="8708" max="8708" width="7.5703125" style="133" customWidth="1"/>
    <col min="8709" max="8709" width="7.42578125" style="133" customWidth="1"/>
    <col min="8710" max="8711" width="7.5703125" style="133" customWidth="1"/>
    <col min="8712" max="8712" width="7.42578125" style="133" customWidth="1"/>
    <col min="8713" max="8713" width="5.5703125" style="133" customWidth="1"/>
    <col min="8714" max="8714" width="12.85546875" style="133" customWidth="1"/>
    <col min="8715" max="8720" width="5.5703125" style="133" customWidth="1"/>
    <col min="8721" max="8721" width="11.5703125" style="133" bestFit="1" customWidth="1"/>
    <col min="8722" max="8961" width="11" style="133"/>
    <col min="8962" max="8962" width="14.42578125" style="133" customWidth="1"/>
    <col min="8963" max="8963" width="12.42578125" style="133" customWidth="1"/>
    <col min="8964" max="8964" width="7.5703125" style="133" customWidth="1"/>
    <col min="8965" max="8965" width="7.42578125" style="133" customWidth="1"/>
    <col min="8966" max="8967" width="7.5703125" style="133" customWidth="1"/>
    <col min="8968" max="8968" width="7.42578125" style="133" customWidth="1"/>
    <col min="8969" max="8969" width="5.5703125" style="133" customWidth="1"/>
    <col min="8970" max="8970" width="12.85546875" style="133" customWidth="1"/>
    <col min="8971" max="8976" width="5.5703125" style="133" customWidth="1"/>
    <col min="8977" max="8977" width="11.5703125" style="133" bestFit="1" customWidth="1"/>
    <col min="8978" max="9217" width="11" style="133"/>
    <col min="9218" max="9218" width="14.42578125" style="133" customWidth="1"/>
    <col min="9219" max="9219" width="12.42578125" style="133" customWidth="1"/>
    <col min="9220" max="9220" width="7.5703125" style="133" customWidth="1"/>
    <col min="9221" max="9221" width="7.42578125" style="133" customWidth="1"/>
    <col min="9222" max="9223" width="7.5703125" style="133" customWidth="1"/>
    <col min="9224" max="9224" width="7.42578125" style="133" customWidth="1"/>
    <col min="9225" max="9225" width="5.5703125" style="133" customWidth="1"/>
    <col min="9226" max="9226" width="12.85546875" style="133" customWidth="1"/>
    <col min="9227" max="9232" width="5.5703125" style="133" customWidth="1"/>
    <col min="9233" max="9233" width="11.5703125" style="133" bestFit="1" customWidth="1"/>
    <col min="9234" max="9473" width="11" style="133"/>
    <col min="9474" max="9474" width="14.42578125" style="133" customWidth="1"/>
    <col min="9475" max="9475" width="12.42578125" style="133" customWidth="1"/>
    <col min="9476" max="9476" width="7.5703125" style="133" customWidth="1"/>
    <col min="9477" max="9477" width="7.42578125" style="133" customWidth="1"/>
    <col min="9478" max="9479" width="7.5703125" style="133" customWidth="1"/>
    <col min="9480" max="9480" width="7.42578125" style="133" customWidth="1"/>
    <col min="9481" max="9481" width="5.5703125" style="133" customWidth="1"/>
    <col min="9482" max="9482" width="12.85546875" style="133" customWidth="1"/>
    <col min="9483" max="9488" width="5.5703125" style="133" customWidth="1"/>
    <col min="9489" max="9489" width="11.5703125" style="133" bestFit="1" customWidth="1"/>
    <col min="9490" max="9729" width="11" style="133"/>
    <col min="9730" max="9730" width="14.42578125" style="133" customWidth="1"/>
    <col min="9731" max="9731" width="12.42578125" style="133" customWidth="1"/>
    <col min="9732" max="9732" width="7.5703125" style="133" customWidth="1"/>
    <col min="9733" max="9733" width="7.42578125" style="133" customWidth="1"/>
    <col min="9734" max="9735" width="7.5703125" style="133" customWidth="1"/>
    <col min="9736" max="9736" width="7.42578125" style="133" customWidth="1"/>
    <col min="9737" max="9737" width="5.5703125" style="133" customWidth="1"/>
    <col min="9738" max="9738" width="12.85546875" style="133" customWidth="1"/>
    <col min="9739" max="9744" width="5.5703125" style="133" customWidth="1"/>
    <col min="9745" max="9745" width="11.5703125" style="133" bestFit="1" customWidth="1"/>
    <col min="9746" max="9985" width="11" style="133"/>
    <col min="9986" max="9986" width="14.42578125" style="133" customWidth="1"/>
    <col min="9987" max="9987" width="12.42578125" style="133" customWidth="1"/>
    <col min="9988" max="9988" width="7.5703125" style="133" customWidth="1"/>
    <col min="9989" max="9989" width="7.42578125" style="133" customWidth="1"/>
    <col min="9990" max="9991" width="7.5703125" style="133" customWidth="1"/>
    <col min="9992" max="9992" width="7.42578125" style="133" customWidth="1"/>
    <col min="9993" max="9993" width="5.5703125" style="133" customWidth="1"/>
    <col min="9994" max="9994" width="12.85546875" style="133" customWidth="1"/>
    <col min="9995" max="10000" width="5.5703125" style="133" customWidth="1"/>
    <col min="10001" max="10001" width="11.5703125" style="133" bestFit="1" customWidth="1"/>
    <col min="10002" max="10241" width="11" style="133"/>
    <col min="10242" max="10242" width="14.42578125" style="133" customWidth="1"/>
    <col min="10243" max="10243" width="12.42578125" style="133" customWidth="1"/>
    <col min="10244" max="10244" width="7.5703125" style="133" customWidth="1"/>
    <col min="10245" max="10245" width="7.42578125" style="133" customWidth="1"/>
    <col min="10246" max="10247" width="7.5703125" style="133" customWidth="1"/>
    <col min="10248" max="10248" width="7.42578125" style="133" customWidth="1"/>
    <col min="10249" max="10249" width="5.5703125" style="133" customWidth="1"/>
    <col min="10250" max="10250" width="12.85546875" style="133" customWidth="1"/>
    <col min="10251" max="10256" width="5.5703125" style="133" customWidth="1"/>
    <col min="10257" max="10257" width="11.5703125" style="133" bestFit="1" customWidth="1"/>
    <col min="10258" max="10497" width="11" style="133"/>
    <col min="10498" max="10498" width="14.42578125" style="133" customWidth="1"/>
    <col min="10499" max="10499" width="12.42578125" style="133" customWidth="1"/>
    <col min="10500" max="10500" width="7.5703125" style="133" customWidth="1"/>
    <col min="10501" max="10501" width="7.42578125" style="133" customWidth="1"/>
    <col min="10502" max="10503" width="7.5703125" style="133" customWidth="1"/>
    <col min="10504" max="10504" width="7.42578125" style="133" customWidth="1"/>
    <col min="10505" max="10505" width="5.5703125" style="133" customWidth="1"/>
    <col min="10506" max="10506" width="12.85546875" style="133" customWidth="1"/>
    <col min="10507" max="10512" width="5.5703125" style="133" customWidth="1"/>
    <col min="10513" max="10513" width="11.5703125" style="133" bestFit="1" customWidth="1"/>
    <col min="10514" max="10753" width="11" style="133"/>
    <col min="10754" max="10754" width="14.42578125" style="133" customWidth="1"/>
    <col min="10755" max="10755" width="12.42578125" style="133" customWidth="1"/>
    <col min="10756" max="10756" width="7.5703125" style="133" customWidth="1"/>
    <col min="10757" max="10757" width="7.42578125" style="133" customWidth="1"/>
    <col min="10758" max="10759" width="7.5703125" style="133" customWidth="1"/>
    <col min="10760" max="10760" width="7.42578125" style="133" customWidth="1"/>
    <col min="10761" max="10761" width="5.5703125" style="133" customWidth="1"/>
    <col min="10762" max="10762" width="12.85546875" style="133" customWidth="1"/>
    <col min="10763" max="10768" width="5.5703125" style="133" customWidth="1"/>
    <col min="10769" max="10769" width="11.5703125" style="133" bestFit="1" customWidth="1"/>
    <col min="10770" max="11009" width="11" style="133"/>
    <col min="11010" max="11010" width="14.42578125" style="133" customWidth="1"/>
    <col min="11011" max="11011" width="12.42578125" style="133" customWidth="1"/>
    <col min="11012" max="11012" width="7.5703125" style="133" customWidth="1"/>
    <col min="11013" max="11013" width="7.42578125" style="133" customWidth="1"/>
    <col min="11014" max="11015" width="7.5703125" style="133" customWidth="1"/>
    <col min="11016" max="11016" width="7.42578125" style="133" customWidth="1"/>
    <col min="11017" max="11017" width="5.5703125" style="133" customWidth="1"/>
    <col min="11018" max="11018" width="12.85546875" style="133" customWidth="1"/>
    <col min="11019" max="11024" width="5.5703125" style="133" customWidth="1"/>
    <col min="11025" max="11025" width="11.5703125" style="133" bestFit="1" customWidth="1"/>
    <col min="11026" max="11265" width="11" style="133"/>
    <col min="11266" max="11266" width="14.42578125" style="133" customWidth="1"/>
    <col min="11267" max="11267" width="12.42578125" style="133" customWidth="1"/>
    <col min="11268" max="11268" width="7.5703125" style="133" customWidth="1"/>
    <col min="11269" max="11269" width="7.42578125" style="133" customWidth="1"/>
    <col min="11270" max="11271" width="7.5703125" style="133" customWidth="1"/>
    <col min="11272" max="11272" width="7.42578125" style="133" customWidth="1"/>
    <col min="11273" max="11273" width="5.5703125" style="133" customWidth="1"/>
    <col min="11274" max="11274" width="12.85546875" style="133" customWidth="1"/>
    <col min="11275" max="11280" width="5.5703125" style="133" customWidth="1"/>
    <col min="11281" max="11281" width="11.5703125" style="133" bestFit="1" customWidth="1"/>
    <col min="11282" max="11521" width="11" style="133"/>
    <col min="11522" max="11522" width="14.42578125" style="133" customWidth="1"/>
    <col min="11523" max="11523" width="12.42578125" style="133" customWidth="1"/>
    <col min="11524" max="11524" width="7.5703125" style="133" customWidth="1"/>
    <col min="11525" max="11525" width="7.42578125" style="133" customWidth="1"/>
    <col min="11526" max="11527" width="7.5703125" style="133" customWidth="1"/>
    <col min="11528" max="11528" width="7.42578125" style="133" customWidth="1"/>
    <col min="11529" max="11529" width="5.5703125" style="133" customWidth="1"/>
    <col min="11530" max="11530" width="12.85546875" style="133" customWidth="1"/>
    <col min="11531" max="11536" width="5.5703125" style="133" customWidth="1"/>
    <col min="11537" max="11537" width="11.5703125" style="133" bestFit="1" customWidth="1"/>
    <col min="11538" max="11777" width="11" style="133"/>
    <col min="11778" max="11778" width="14.42578125" style="133" customWidth="1"/>
    <col min="11779" max="11779" width="12.42578125" style="133" customWidth="1"/>
    <col min="11780" max="11780" width="7.5703125" style="133" customWidth="1"/>
    <col min="11781" max="11781" width="7.42578125" style="133" customWidth="1"/>
    <col min="11782" max="11783" width="7.5703125" style="133" customWidth="1"/>
    <col min="11784" max="11784" width="7.42578125" style="133" customWidth="1"/>
    <col min="11785" max="11785" width="5.5703125" style="133" customWidth="1"/>
    <col min="11786" max="11786" width="12.85546875" style="133" customWidth="1"/>
    <col min="11787" max="11792" width="5.5703125" style="133" customWidth="1"/>
    <col min="11793" max="11793" width="11.5703125" style="133" bestFit="1" customWidth="1"/>
    <col min="11794" max="12033" width="11" style="133"/>
    <col min="12034" max="12034" width="14.42578125" style="133" customWidth="1"/>
    <col min="12035" max="12035" width="12.42578125" style="133" customWidth="1"/>
    <col min="12036" max="12036" width="7.5703125" style="133" customWidth="1"/>
    <col min="12037" max="12037" width="7.42578125" style="133" customWidth="1"/>
    <col min="12038" max="12039" width="7.5703125" style="133" customWidth="1"/>
    <col min="12040" max="12040" width="7.42578125" style="133" customWidth="1"/>
    <col min="12041" max="12041" width="5.5703125" style="133" customWidth="1"/>
    <col min="12042" max="12042" width="12.85546875" style="133" customWidth="1"/>
    <col min="12043" max="12048" width="5.5703125" style="133" customWidth="1"/>
    <col min="12049" max="12049" width="11.5703125" style="133" bestFit="1" customWidth="1"/>
    <col min="12050" max="12289" width="11" style="133"/>
    <col min="12290" max="12290" width="14.42578125" style="133" customWidth="1"/>
    <col min="12291" max="12291" width="12.42578125" style="133" customWidth="1"/>
    <col min="12292" max="12292" width="7.5703125" style="133" customWidth="1"/>
    <col min="12293" max="12293" width="7.42578125" style="133" customWidth="1"/>
    <col min="12294" max="12295" width="7.5703125" style="133" customWidth="1"/>
    <col min="12296" max="12296" width="7.42578125" style="133" customWidth="1"/>
    <col min="12297" max="12297" width="5.5703125" style="133" customWidth="1"/>
    <col min="12298" max="12298" width="12.85546875" style="133" customWidth="1"/>
    <col min="12299" max="12304" width="5.5703125" style="133" customWidth="1"/>
    <col min="12305" max="12305" width="11.5703125" style="133" bestFit="1" customWidth="1"/>
    <col min="12306" max="12545" width="11" style="133"/>
    <col min="12546" max="12546" width="14.42578125" style="133" customWidth="1"/>
    <col min="12547" max="12547" width="12.42578125" style="133" customWidth="1"/>
    <col min="12548" max="12548" width="7.5703125" style="133" customWidth="1"/>
    <col min="12549" max="12549" width="7.42578125" style="133" customWidth="1"/>
    <col min="12550" max="12551" width="7.5703125" style="133" customWidth="1"/>
    <col min="12552" max="12552" width="7.42578125" style="133" customWidth="1"/>
    <col min="12553" max="12553" width="5.5703125" style="133" customWidth="1"/>
    <col min="12554" max="12554" width="12.85546875" style="133" customWidth="1"/>
    <col min="12555" max="12560" width="5.5703125" style="133" customWidth="1"/>
    <col min="12561" max="12561" width="11.5703125" style="133" bestFit="1" customWidth="1"/>
    <col min="12562" max="12801" width="11" style="133"/>
    <col min="12802" max="12802" width="14.42578125" style="133" customWidth="1"/>
    <col min="12803" max="12803" width="12.42578125" style="133" customWidth="1"/>
    <col min="12804" max="12804" width="7.5703125" style="133" customWidth="1"/>
    <col min="12805" max="12805" width="7.42578125" style="133" customWidth="1"/>
    <col min="12806" max="12807" width="7.5703125" style="133" customWidth="1"/>
    <col min="12808" max="12808" width="7.42578125" style="133" customWidth="1"/>
    <col min="12809" max="12809" width="5.5703125" style="133" customWidth="1"/>
    <col min="12810" max="12810" width="12.85546875" style="133" customWidth="1"/>
    <col min="12811" max="12816" width="5.5703125" style="133" customWidth="1"/>
    <col min="12817" max="12817" width="11.5703125" style="133" bestFit="1" customWidth="1"/>
    <col min="12818" max="13057" width="11" style="133"/>
    <col min="13058" max="13058" width="14.42578125" style="133" customWidth="1"/>
    <col min="13059" max="13059" width="12.42578125" style="133" customWidth="1"/>
    <col min="13060" max="13060" width="7.5703125" style="133" customWidth="1"/>
    <col min="13061" max="13061" width="7.42578125" style="133" customWidth="1"/>
    <col min="13062" max="13063" width="7.5703125" style="133" customWidth="1"/>
    <col min="13064" max="13064" width="7.42578125" style="133" customWidth="1"/>
    <col min="13065" max="13065" width="5.5703125" style="133" customWidth="1"/>
    <col min="13066" max="13066" width="12.85546875" style="133" customWidth="1"/>
    <col min="13067" max="13072" width="5.5703125" style="133" customWidth="1"/>
    <col min="13073" max="13073" width="11.5703125" style="133" bestFit="1" customWidth="1"/>
    <col min="13074" max="13313" width="11" style="133"/>
    <col min="13314" max="13314" width="14.42578125" style="133" customWidth="1"/>
    <col min="13315" max="13315" width="12.42578125" style="133" customWidth="1"/>
    <col min="13316" max="13316" width="7.5703125" style="133" customWidth="1"/>
    <col min="13317" max="13317" width="7.42578125" style="133" customWidth="1"/>
    <col min="13318" max="13319" width="7.5703125" style="133" customWidth="1"/>
    <col min="13320" max="13320" width="7.42578125" style="133" customWidth="1"/>
    <col min="13321" max="13321" width="5.5703125" style="133" customWidth="1"/>
    <col min="13322" max="13322" width="12.85546875" style="133" customWidth="1"/>
    <col min="13323" max="13328" width="5.5703125" style="133" customWidth="1"/>
    <col min="13329" max="13329" width="11.5703125" style="133" bestFit="1" customWidth="1"/>
    <col min="13330" max="13569" width="11" style="133"/>
    <col min="13570" max="13570" width="14.42578125" style="133" customWidth="1"/>
    <col min="13571" max="13571" width="12.42578125" style="133" customWidth="1"/>
    <col min="13572" max="13572" width="7.5703125" style="133" customWidth="1"/>
    <col min="13573" max="13573" width="7.42578125" style="133" customWidth="1"/>
    <col min="13574" max="13575" width="7.5703125" style="133" customWidth="1"/>
    <col min="13576" max="13576" width="7.42578125" style="133" customWidth="1"/>
    <col min="13577" max="13577" width="5.5703125" style="133" customWidth="1"/>
    <col min="13578" max="13578" width="12.85546875" style="133" customWidth="1"/>
    <col min="13579" max="13584" width="5.5703125" style="133" customWidth="1"/>
    <col min="13585" max="13585" width="11.5703125" style="133" bestFit="1" customWidth="1"/>
    <col min="13586" max="13825" width="11" style="133"/>
    <col min="13826" max="13826" width="14.42578125" style="133" customWidth="1"/>
    <col min="13827" max="13827" width="12.42578125" style="133" customWidth="1"/>
    <col min="13828" max="13828" width="7.5703125" style="133" customWidth="1"/>
    <col min="13829" max="13829" width="7.42578125" style="133" customWidth="1"/>
    <col min="13830" max="13831" width="7.5703125" style="133" customWidth="1"/>
    <col min="13832" max="13832" width="7.42578125" style="133" customWidth="1"/>
    <col min="13833" max="13833" width="5.5703125" style="133" customWidth="1"/>
    <col min="13834" max="13834" width="12.85546875" style="133" customWidth="1"/>
    <col min="13835" max="13840" width="5.5703125" style="133" customWidth="1"/>
    <col min="13841" max="13841" width="11.5703125" style="133" bestFit="1" customWidth="1"/>
    <col min="13842" max="14081" width="11" style="133"/>
    <col min="14082" max="14082" width="14.42578125" style="133" customWidth="1"/>
    <col min="14083" max="14083" width="12.42578125" style="133" customWidth="1"/>
    <col min="14084" max="14084" width="7.5703125" style="133" customWidth="1"/>
    <col min="14085" max="14085" width="7.42578125" style="133" customWidth="1"/>
    <col min="14086" max="14087" width="7.5703125" style="133" customWidth="1"/>
    <col min="14088" max="14088" width="7.42578125" style="133" customWidth="1"/>
    <col min="14089" max="14089" width="5.5703125" style="133" customWidth="1"/>
    <col min="14090" max="14090" width="12.85546875" style="133" customWidth="1"/>
    <col min="14091" max="14096" width="5.5703125" style="133" customWidth="1"/>
    <col min="14097" max="14097" width="11.5703125" style="133" bestFit="1" customWidth="1"/>
    <col min="14098" max="14337" width="11" style="133"/>
    <col min="14338" max="14338" width="14.42578125" style="133" customWidth="1"/>
    <col min="14339" max="14339" width="12.42578125" style="133" customWidth="1"/>
    <col min="14340" max="14340" width="7.5703125" style="133" customWidth="1"/>
    <col min="14341" max="14341" width="7.42578125" style="133" customWidth="1"/>
    <col min="14342" max="14343" width="7.5703125" style="133" customWidth="1"/>
    <col min="14344" max="14344" width="7.42578125" style="133" customWidth="1"/>
    <col min="14345" max="14345" width="5.5703125" style="133" customWidth="1"/>
    <col min="14346" max="14346" width="12.85546875" style="133" customWidth="1"/>
    <col min="14347" max="14352" width="5.5703125" style="133" customWidth="1"/>
    <col min="14353" max="14353" width="11.5703125" style="133" bestFit="1" customWidth="1"/>
    <col min="14354" max="14593" width="11" style="133"/>
    <col min="14594" max="14594" width="14.42578125" style="133" customWidth="1"/>
    <col min="14595" max="14595" width="12.42578125" style="133" customWidth="1"/>
    <col min="14596" max="14596" width="7.5703125" style="133" customWidth="1"/>
    <col min="14597" max="14597" width="7.42578125" style="133" customWidth="1"/>
    <col min="14598" max="14599" width="7.5703125" style="133" customWidth="1"/>
    <col min="14600" max="14600" width="7.42578125" style="133" customWidth="1"/>
    <col min="14601" max="14601" width="5.5703125" style="133" customWidth="1"/>
    <col min="14602" max="14602" width="12.85546875" style="133" customWidth="1"/>
    <col min="14603" max="14608" width="5.5703125" style="133" customWidth="1"/>
    <col min="14609" max="14609" width="11.5703125" style="133" bestFit="1" customWidth="1"/>
    <col min="14610" max="14849" width="11" style="133"/>
    <col min="14850" max="14850" width="14.42578125" style="133" customWidth="1"/>
    <col min="14851" max="14851" width="12.42578125" style="133" customWidth="1"/>
    <col min="14852" max="14852" width="7.5703125" style="133" customWidth="1"/>
    <col min="14853" max="14853" width="7.42578125" style="133" customWidth="1"/>
    <col min="14854" max="14855" width="7.5703125" style="133" customWidth="1"/>
    <col min="14856" max="14856" width="7.42578125" style="133" customWidth="1"/>
    <col min="14857" max="14857" width="5.5703125" style="133" customWidth="1"/>
    <col min="14858" max="14858" width="12.85546875" style="133" customWidth="1"/>
    <col min="14859" max="14864" width="5.5703125" style="133" customWidth="1"/>
    <col min="14865" max="14865" width="11.5703125" style="133" bestFit="1" customWidth="1"/>
    <col min="14866" max="15105" width="11" style="133"/>
    <col min="15106" max="15106" width="14.42578125" style="133" customWidth="1"/>
    <col min="15107" max="15107" width="12.42578125" style="133" customWidth="1"/>
    <col min="15108" max="15108" width="7.5703125" style="133" customWidth="1"/>
    <col min="15109" max="15109" width="7.42578125" style="133" customWidth="1"/>
    <col min="15110" max="15111" width="7.5703125" style="133" customWidth="1"/>
    <col min="15112" max="15112" width="7.42578125" style="133" customWidth="1"/>
    <col min="15113" max="15113" width="5.5703125" style="133" customWidth="1"/>
    <col min="15114" max="15114" width="12.85546875" style="133" customWidth="1"/>
    <col min="15115" max="15120" width="5.5703125" style="133" customWidth="1"/>
    <col min="15121" max="15121" width="11.5703125" style="133" bestFit="1" customWidth="1"/>
    <col min="15122" max="15361" width="11" style="133"/>
    <col min="15362" max="15362" width="14.42578125" style="133" customWidth="1"/>
    <col min="15363" max="15363" width="12.42578125" style="133" customWidth="1"/>
    <col min="15364" max="15364" width="7.5703125" style="133" customWidth="1"/>
    <col min="15365" max="15365" width="7.42578125" style="133" customWidth="1"/>
    <col min="15366" max="15367" width="7.5703125" style="133" customWidth="1"/>
    <col min="15368" max="15368" width="7.42578125" style="133" customWidth="1"/>
    <col min="15369" max="15369" width="5.5703125" style="133" customWidth="1"/>
    <col min="15370" max="15370" width="12.85546875" style="133" customWidth="1"/>
    <col min="15371" max="15376" width="5.5703125" style="133" customWidth="1"/>
    <col min="15377" max="15377" width="11.5703125" style="133" bestFit="1" customWidth="1"/>
    <col min="15378" max="15617" width="11" style="133"/>
    <col min="15618" max="15618" width="14.42578125" style="133" customWidth="1"/>
    <col min="15619" max="15619" width="12.42578125" style="133" customWidth="1"/>
    <col min="15620" max="15620" width="7.5703125" style="133" customWidth="1"/>
    <col min="15621" max="15621" width="7.42578125" style="133" customWidth="1"/>
    <col min="15622" max="15623" width="7.5703125" style="133" customWidth="1"/>
    <col min="15624" max="15624" width="7.42578125" style="133" customWidth="1"/>
    <col min="15625" max="15625" width="5.5703125" style="133" customWidth="1"/>
    <col min="15626" max="15626" width="12.85546875" style="133" customWidth="1"/>
    <col min="15627" max="15632" width="5.5703125" style="133" customWidth="1"/>
    <col min="15633" max="15633" width="11.5703125" style="133" bestFit="1" customWidth="1"/>
    <col min="15634" max="15873" width="11" style="133"/>
    <col min="15874" max="15874" width="14.42578125" style="133" customWidth="1"/>
    <col min="15875" max="15875" width="12.42578125" style="133" customWidth="1"/>
    <col min="15876" max="15876" width="7.5703125" style="133" customWidth="1"/>
    <col min="15877" max="15877" width="7.42578125" style="133" customWidth="1"/>
    <col min="15878" max="15879" width="7.5703125" style="133" customWidth="1"/>
    <col min="15880" max="15880" width="7.42578125" style="133" customWidth="1"/>
    <col min="15881" max="15881" width="5.5703125" style="133" customWidth="1"/>
    <col min="15882" max="15882" width="12.85546875" style="133" customWidth="1"/>
    <col min="15883" max="15888" width="5.5703125" style="133" customWidth="1"/>
    <col min="15889" max="15889" width="11.5703125" style="133" bestFit="1" customWidth="1"/>
    <col min="15890" max="16129" width="11" style="133"/>
    <col min="16130" max="16130" width="14.42578125" style="133" customWidth="1"/>
    <col min="16131" max="16131" width="12.42578125" style="133" customWidth="1"/>
    <col min="16132" max="16132" width="7.5703125" style="133" customWidth="1"/>
    <col min="16133" max="16133" width="7.42578125" style="133" customWidth="1"/>
    <col min="16134" max="16135" width="7.5703125" style="133" customWidth="1"/>
    <col min="16136" max="16136" width="7.42578125" style="133" customWidth="1"/>
    <col min="16137" max="16137" width="5.5703125" style="133" customWidth="1"/>
    <col min="16138" max="16138" width="12.85546875" style="133" customWidth="1"/>
    <col min="16139" max="16144" width="5.5703125" style="133" customWidth="1"/>
    <col min="16145" max="16145" width="11.5703125" style="133" bestFit="1" customWidth="1"/>
    <col min="16146" max="16384" width="11" style="133"/>
  </cols>
  <sheetData>
    <row r="3" spans="2:14" x14ac:dyDescent="0.2">
      <c r="B3" s="530" t="s">
        <v>491</v>
      </c>
      <c r="C3" s="531"/>
      <c r="D3" s="531"/>
      <c r="E3" s="531"/>
      <c r="F3" s="531"/>
      <c r="G3" s="531"/>
      <c r="H3" s="531"/>
      <c r="I3" s="531"/>
      <c r="J3" s="531"/>
      <c r="K3" s="531"/>
      <c r="L3" s="531"/>
      <c r="M3" s="531"/>
      <c r="N3" s="532"/>
    </row>
    <row r="4" spans="2:14" x14ac:dyDescent="0.2">
      <c r="B4" s="533"/>
      <c r="C4" s="534"/>
      <c r="D4" s="534"/>
      <c r="E4" s="534"/>
      <c r="F4" s="534"/>
      <c r="G4" s="534"/>
      <c r="H4" s="534"/>
      <c r="I4" s="534"/>
      <c r="J4" s="534"/>
      <c r="K4" s="534"/>
      <c r="L4" s="534"/>
      <c r="M4" s="534"/>
      <c r="N4" s="535"/>
    </row>
    <row r="5" spans="2:14" x14ac:dyDescent="0.2">
      <c r="B5" s="533"/>
      <c r="C5" s="534"/>
      <c r="D5" s="534"/>
      <c r="E5" s="534"/>
      <c r="F5" s="534"/>
      <c r="G5" s="534"/>
      <c r="H5" s="534"/>
      <c r="I5" s="534"/>
      <c r="J5" s="534"/>
      <c r="K5" s="534"/>
      <c r="L5" s="534"/>
      <c r="M5" s="534"/>
      <c r="N5" s="535"/>
    </row>
    <row r="6" spans="2:14" x14ac:dyDescent="0.2">
      <c r="B6" s="533"/>
      <c r="C6" s="534"/>
      <c r="D6" s="534"/>
      <c r="E6" s="534"/>
      <c r="F6" s="534"/>
      <c r="G6" s="534"/>
      <c r="H6" s="534"/>
      <c r="I6" s="534"/>
      <c r="J6" s="534"/>
      <c r="K6" s="534"/>
      <c r="L6" s="534"/>
      <c r="M6" s="534"/>
      <c r="N6" s="535"/>
    </row>
    <row r="7" spans="2:14" x14ac:dyDescent="0.2">
      <c r="B7" s="533"/>
      <c r="C7" s="534"/>
      <c r="D7" s="534"/>
      <c r="E7" s="534"/>
      <c r="F7" s="534"/>
      <c r="G7" s="534"/>
      <c r="H7" s="534"/>
      <c r="I7" s="534"/>
      <c r="J7" s="534"/>
      <c r="K7" s="534"/>
      <c r="L7" s="534"/>
      <c r="M7" s="534"/>
      <c r="N7" s="535"/>
    </row>
    <row r="8" spans="2:14" x14ac:dyDescent="0.2">
      <c r="B8" s="533"/>
      <c r="C8" s="534"/>
      <c r="D8" s="534"/>
      <c r="E8" s="534"/>
      <c r="F8" s="534"/>
      <c r="G8" s="534"/>
      <c r="H8" s="534"/>
      <c r="I8" s="534"/>
      <c r="J8" s="534"/>
      <c r="K8" s="534"/>
      <c r="L8" s="534"/>
      <c r="M8" s="534"/>
      <c r="N8" s="535"/>
    </row>
    <row r="9" spans="2:14" x14ac:dyDescent="0.2">
      <c r="B9" s="533"/>
      <c r="C9" s="534"/>
      <c r="D9" s="534"/>
      <c r="E9" s="534"/>
      <c r="F9" s="534"/>
      <c r="G9" s="534"/>
      <c r="H9" s="534"/>
      <c r="I9" s="534"/>
      <c r="J9" s="534"/>
      <c r="K9" s="534"/>
      <c r="L9" s="534"/>
      <c r="M9" s="534"/>
      <c r="N9" s="535"/>
    </row>
    <row r="10" spans="2:14" x14ac:dyDescent="0.2">
      <c r="B10" s="536"/>
      <c r="C10" s="537"/>
      <c r="D10" s="537"/>
      <c r="E10" s="537"/>
      <c r="F10" s="537"/>
      <c r="G10" s="537"/>
      <c r="H10" s="537"/>
      <c r="I10" s="537"/>
      <c r="J10" s="537"/>
      <c r="K10" s="537"/>
      <c r="L10" s="537"/>
      <c r="M10" s="537"/>
      <c r="N10" s="538"/>
    </row>
    <row r="12" spans="2:14" x14ac:dyDescent="0.2">
      <c r="I12" s="370"/>
    </row>
    <row r="13" spans="2:14" x14ac:dyDescent="0.2">
      <c r="B13" s="363" t="s">
        <v>488</v>
      </c>
      <c r="C13" s="363">
        <v>0</v>
      </c>
      <c r="D13" s="363">
        <v>1</v>
      </c>
      <c r="E13" s="363">
        <v>2</v>
      </c>
      <c r="F13" s="363">
        <v>3</v>
      </c>
      <c r="G13" s="363">
        <v>4</v>
      </c>
      <c r="H13" s="363">
        <v>5</v>
      </c>
      <c r="I13" s="370">
        <f>(C13*C14+D13*D14+E13*E14+F13*F14+G13*G14+H13*H14)/I14</f>
        <v>0.92881944444444442</v>
      </c>
    </row>
    <row r="14" spans="2:14" x14ac:dyDescent="0.2">
      <c r="B14" s="364" t="s">
        <v>489</v>
      </c>
      <c r="C14" s="363">
        <v>229</v>
      </c>
      <c r="D14" s="363">
        <v>211</v>
      </c>
      <c r="E14" s="363">
        <v>93</v>
      </c>
      <c r="F14" s="363">
        <v>35</v>
      </c>
      <c r="G14" s="363">
        <v>7</v>
      </c>
      <c r="H14" s="363">
        <v>1</v>
      </c>
      <c r="I14" s="370">
        <f>SUM(C14:H14)</f>
        <v>576</v>
      </c>
    </row>
    <row r="15" spans="2:14" x14ac:dyDescent="0.2">
      <c r="B15" s="365" t="s">
        <v>490</v>
      </c>
      <c r="C15" s="369">
        <f t="shared" ref="C15:H15" si="0">$I$14*EXP(-$I$13)*$I$13^C13/FACT(C13)</f>
        <v>227.53139212891008</v>
      </c>
      <c r="D15" s="369">
        <f t="shared" si="0"/>
        <v>211.33558123084529</v>
      </c>
      <c r="E15" s="369">
        <f t="shared" si="0"/>
        <v>98.146298575088736</v>
      </c>
      <c r="F15" s="369">
        <f t="shared" si="0"/>
        <v>30.386730172264162</v>
      </c>
      <c r="G15" s="369">
        <f t="shared" si="0"/>
        <v>7.0559464592714081</v>
      </c>
      <c r="H15" s="369">
        <f t="shared" si="0"/>
        <v>1.3107400540660428</v>
      </c>
      <c r="I15" s="371"/>
      <c r="J15" s="367"/>
    </row>
    <row r="16" spans="2:14" x14ac:dyDescent="0.2">
      <c r="B16" s="365" t="s">
        <v>492</v>
      </c>
      <c r="C16" s="369">
        <f>C14-C15</f>
        <v>1.4686078710899153</v>
      </c>
      <c r="D16" s="369">
        <f t="shared" ref="D16:H16" si="1">D14-D15</f>
        <v>-0.33558123084529257</v>
      </c>
      <c r="E16" s="369">
        <f t="shared" si="1"/>
        <v>-5.1462985750887356</v>
      </c>
      <c r="F16" s="369">
        <f t="shared" si="1"/>
        <v>4.6132698277358379</v>
      </c>
      <c r="G16" s="369">
        <f t="shared" si="1"/>
        <v>-5.5946459271408067E-2</v>
      </c>
      <c r="H16" s="369">
        <f t="shared" si="1"/>
        <v>-0.31074005406604277</v>
      </c>
      <c r="I16" s="370"/>
      <c r="J16" s="367"/>
    </row>
    <row r="17" spans="2:9" x14ac:dyDescent="0.2">
      <c r="B17" s="365" t="s">
        <v>493</v>
      </c>
      <c r="C17" s="369">
        <f>C16^2</f>
        <v>2.1568090790272532</v>
      </c>
      <c r="D17" s="369">
        <f t="shared" ref="D17:H17" si="2">D16^2</f>
        <v>0.11261476249564153</v>
      </c>
      <c r="E17" s="369">
        <f t="shared" si="2"/>
        <v>26.48438902396035</v>
      </c>
      <c r="F17" s="369">
        <f t="shared" si="2"/>
        <v>21.282258503497847</v>
      </c>
      <c r="G17" s="369">
        <f t="shared" si="2"/>
        <v>3.1300063050073218E-3</v>
      </c>
      <c r="H17" s="369">
        <f t="shared" si="2"/>
        <v>9.6559381200967187E-2</v>
      </c>
      <c r="I17" s="370"/>
    </row>
    <row r="18" spans="2:9" x14ac:dyDescent="0.2">
      <c r="B18" s="365" t="s">
        <v>494</v>
      </c>
      <c r="C18" s="368">
        <f>C17/C15</f>
        <v>9.4791714622186832E-3</v>
      </c>
      <c r="D18" s="368">
        <f t="shared" ref="D18:H18" si="3">D17/D15</f>
        <v>5.3287175704043227E-4</v>
      </c>
      <c r="E18" s="368">
        <f t="shared" si="3"/>
        <v>0.26984602994169926</v>
      </c>
      <c r="F18" s="368">
        <f t="shared" si="3"/>
        <v>0.70038001400109429</v>
      </c>
      <c r="G18" s="368">
        <f t="shared" si="3"/>
        <v>4.4359836388703608E-4</v>
      </c>
      <c r="H18" s="368">
        <f t="shared" si="3"/>
        <v>7.3667834366875892E-2</v>
      </c>
      <c r="I18" s="370"/>
    </row>
    <row r="19" spans="2:9" x14ac:dyDescent="0.2">
      <c r="B19" s="365" t="s">
        <v>495</v>
      </c>
      <c r="C19" s="368">
        <f>SUM(C18:H18)</f>
        <v>1.0543495198928157</v>
      </c>
      <c r="D19" s="366"/>
      <c r="E19" s="366"/>
      <c r="F19" s="366"/>
      <c r="G19" s="366"/>
      <c r="H19" s="366"/>
      <c r="I19" s="367"/>
    </row>
    <row r="20" spans="2:9" x14ac:dyDescent="0.2">
      <c r="B20" s="365" t="s">
        <v>497</v>
      </c>
      <c r="C20" s="365">
        <f>CHIINV(0.05,3)</f>
        <v>7.8147279032511792</v>
      </c>
      <c r="D20" s="365"/>
      <c r="I20" s="367"/>
    </row>
    <row r="21" spans="2:9" x14ac:dyDescent="0.2">
      <c r="B21" s="365" t="s">
        <v>496</v>
      </c>
      <c r="C21" s="365">
        <f>CHITEST(C14:H14,C15:H15)</f>
        <v>0.95806407716926945</v>
      </c>
      <c r="D21" s="365"/>
      <c r="I21" s="367"/>
    </row>
    <row r="22" spans="2:9" x14ac:dyDescent="0.2">
      <c r="B22" s="365"/>
      <c r="C22" s="365"/>
      <c r="D22" s="365"/>
    </row>
    <row r="23" spans="2:9" x14ac:dyDescent="0.2">
      <c r="B23" s="540" t="s">
        <v>498</v>
      </c>
      <c r="C23" s="540"/>
      <c r="D23" s="540"/>
      <c r="E23" s="540"/>
      <c r="F23" s="540"/>
      <c r="G23" s="540"/>
      <c r="H23" s="540"/>
      <c r="I23" s="540"/>
    </row>
    <row r="24" spans="2:9" x14ac:dyDescent="0.2">
      <c r="B24" s="540"/>
      <c r="C24" s="540"/>
      <c r="D24" s="540"/>
      <c r="E24" s="540"/>
      <c r="F24" s="540"/>
      <c r="G24" s="540"/>
      <c r="H24" s="540"/>
      <c r="I24" s="540"/>
    </row>
    <row r="25" spans="2:9" x14ac:dyDescent="0.2">
      <c r="B25" s="540"/>
      <c r="C25" s="540"/>
      <c r="D25" s="540"/>
      <c r="E25" s="540"/>
      <c r="F25" s="540"/>
      <c r="G25" s="540"/>
      <c r="H25" s="540"/>
      <c r="I25" s="540"/>
    </row>
  </sheetData>
  <mergeCells count="2">
    <mergeCell ref="B3:N10"/>
    <mergeCell ref="B23:I25"/>
  </mergeCells>
  <pageMargins left="0.75" right="0.75" top="1" bottom="1" header="0" footer="0"/>
  <pageSetup paperSize="9"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M45"/>
  <sheetViews>
    <sheetView topLeftCell="A31" workbookViewId="0">
      <selection activeCell="J27" sqref="J27"/>
    </sheetView>
  </sheetViews>
  <sheetFormatPr baseColWidth="10" defaultColWidth="11.42578125" defaultRowHeight="15" x14ac:dyDescent="0.25"/>
  <cols>
    <col min="1" max="1" width="9.5703125" style="20" bestFit="1" customWidth="1"/>
    <col min="2" max="2" width="29.7109375" style="20" bestFit="1" customWidth="1"/>
    <col min="3" max="3" width="19" style="20" bestFit="1" customWidth="1"/>
    <col min="4" max="4" width="17.7109375" style="20" bestFit="1" customWidth="1"/>
    <col min="5" max="5" width="25.42578125" style="20" bestFit="1" customWidth="1"/>
    <col min="6" max="6" width="14.7109375" style="20" bestFit="1" customWidth="1"/>
    <col min="7" max="7" width="30.140625" style="20" bestFit="1" customWidth="1"/>
    <col min="8" max="8" width="18" style="20" bestFit="1" customWidth="1"/>
    <col min="9" max="9" width="14.7109375" style="20" bestFit="1" customWidth="1"/>
    <col min="10" max="10" width="35.7109375" style="20" bestFit="1" customWidth="1"/>
    <col min="11" max="11" width="12.5703125" style="20" bestFit="1" customWidth="1"/>
    <col min="12" max="12" width="3.140625" style="20" bestFit="1" customWidth="1"/>
    <col min="13" max="13" width="10.28515625" style="20" bestFit="1" customWidth="1"/>
    <col min="14" max="14" width="35.7109375" style="20" bestFit="1" customWidth="1"/>
    <col min="15" max="16384" width="11.42578125" style="20"/>
  </cols>
  <sheetData>
    <row r="2" spans="1:13" x14ac:dyDescent="0.25">
      <c r="B2" s="487" t="s">
        <v>262</v>
      </c>
      <c r="C2" s="488"/>
      <c r="D2" s="488"/>
      <c r="E2" s="488"/>
      <c r="F2" s="488"/>
      <c r="G2" s="488"/>
      <c r="H2" s="488"/>
      <c r="I2" s="489"/>
    </row>
    <row r="3" spans="1:13" x14ac:dyDescent="0.25">
      <c r="B3" s="490"/>
      <c r="C3" s="491"/>
      <c r="D3" s="491"/>
      <c r="E3" s="491"/>
      <c r="F3" s="491"/>
      <c r="G3" s="491"/>
      <c r="H3" s="491"/>
      <c r="I3" s="492"/>
    </row>
    <row r="4" spans="1:13" x14ac:dyDescent="0.25">
      <c r="B4" s="490"/>
      <c r="C4" s="491"/>
      <c r="D4" s="491"/>
      <c r="E4" s="491"/>
      <c r="F4" s="491"/>
      <c r="G4" s="491"/>
      <c r="H4" s="491"/>
      <c r="I4" s="492"/>
    </row>
    <row r="5" spans="1:13" x14ac:dyDescent="0.25">
      <c r="B5" s="490"/>
      <c r="C5" s="491"/>
      <c r="D5" s="491"/>
      <c r="E5" s="491"/>
      <c r="F5" s="491"/>
      <c r="G5" s="491"/>
      <c r="H5" s="491"/>
      <c r="I5" s="492"/>
    </row>
    <row r="6" spans="1:13" x14ac:dyDescent="0.25">
      <c r="B6" s="490"/>
      <c r="C6" s="491"/>
      <c r="D6" s="491"/>
      <c r="E6" s="491"/>
      <c r="F6" s="491"/>
      <c r="G6" s="491"/>
      <c r="H6" s="491"/>
      <c r="I6" s="492"/>
    </row>
    <row r="7" spans="1:13" x14ac:dyDescent="0.25">
      <c r="B7" s="493"/>
      <c r="C7" s="494"/>
      <c r="D7" s="494"/>
      <c r="E7" s="494"/>
      <c r="F7" s="494"/>
      <c r="G7" s="494"/>
      <c r="H7" s="494"/>
      <c r="I7" s="495"/>
    </row>
    <row r="10" spans="1:13" x14ac:dyDescent="0.25">
      <c r="A10" s="20" t="s">
        <v>228</v>
      </c>
      <c r="B10" s="20" t="s">
        <v>229</v>
      </c>
      <c r="C10" s="20" t="s">
        <v>230</v>
      </c>
      <c r="D10" s="20" t="s">
        <v>231</v>
      </c>
      <c r="E10" s="20" t="s">
        <v>232</v>
      </c>
      <c r="F10" s="20" t="s">
        <v>242</v>
      </c>
      <c r="G10" s="20" t="s">
        <v>243</v>
      </c>
      <c r="H10" s="20" t="s">
        <v>244</v>
      </c>
      <c r="I10" s="20" t="s">
        <v>245</v>
      </c>
      <c r="J10" s="20" t="s">
        <v>246</v>
      </c>
      <c r="L10" s="68" t="s">
        <v>233</v>
      </c>
      <c r="M10" s="69">
        <v>5</v>
      </c>
    </row>
    <row r="11" spans="1:13" x14ac:dyDescent="0.25">
      <c r="A11" s="20">
        <v>5.5</v>
      </c>
      <c r="B11" s="20">
        <v>6.1</v>
      </c>
      <c r="C11" s="20">
        <v>4.9000000000000004</v>
      </c>
      <c r="D11" s="20">
        <v>3.2</v>
      </c>
      <c r="E11" s="20">
        <v>6.7</v>
      </c>
      <c r="F11" s="20">
        <f>A11^2</f>
        <v>30.25</v>
      </c>
      <c r="G11" s="20">
        <f>B11^2</f>
        <v>37.209999999999994</v>
      </c>
      <c r="H11" s="20">
        <f>C11^2</f>
        <v>24.010000000000005</v>
      </c>
      <c r="I11" s="20">
        <f>D11^2</f>
        <v>10.240000000000002</v>
      </c>
      <c r="J11" s="20">
        <f>E11^2</f>
        <v>44.89</v>
      </c>
      <c r="L11" s="22" t="s">
        <v>234</v>
      </c>
      <c r="M11" s="23">
        <v>8</v>
      </c>
    </row>
    <row r="12" spans="1:13" x14ac:dyDescent="0.25">
      <c r="A12" s="20">
        <v>5.2</v>
      </c>
      <c r="B12" s="20">
        <v>7.2</v>
      </c>
      <c r="C12" s="20">
        <v>5.5</v>
      </c>
      <c r="D12" s="20">
        <v>3.3</v>
      </c>
      <c r="E12" s="20">
        <v>5.8</v>
      </c>
      <c r="F12" s="20">
        <f t="shared" ref="F12:F18" si="0">A12^2</f>
        <v>27.040000000000003</v>
      </c>
      <c r="G12" s="20">
        <f t="shared" ref="G12:G18" si="1">B12^2</f>
        <v>51.84</v>
      </c>
      <c r="H12" s="20">
        <f t="shared" ref="H12:H18" si="2">C12^2</f>
        <v>30.25</v>
      </c>
      <c r="I12" s="20">
        <f t="shared" ref="I12:I18" si="3">D12^2</f>
        <v>10.889999999999999</v>
      </c>
      <c r="J12" s="20">
        <f t="shared" ref="J12:J18" si="4">E12^2</f>
        <v>33.64</v>
      </c>
      <c r="L12" s="22" t="s">
        <v>235</v>
      </c>
      <c r="M12" s="23">
        <f>M10*M11</f>
        <v>40</v>
      </c>
    </row>
    <row r="13" spans="1:13" x14ac:dyDescent="0.25">
      <c r="A13" s="20">
        <v>5.9</v>
      </c>
      <c r="B13" s="20">
        <v>5.5</v>
      </c>
      <c r="C13" s="20">
        <v>6.1</v>
      </c>
      <c r="D13" s="20">
        <v>5.5</v>
      </c>
      <c r="E13" s="20">
        <v>5.4</v>
      </c>
      <c r="F13" s="20">
        <f t="shared" si="0"/>
        <v>34.81</v>
      </c>
      <c r="G13" s="20">
        <f t="shared" si="1"/>
        <v>30.25</v>
      </c>
      <c r="H13" s="20">
        <f t="shared" si="2"/>
        <v>37.209999999999994</v>
      </c>
      <c r="I13" s="20">
        <f t="shared" si="3"/>
        <v>30.25</v>
      </c>
      <c r="J13" s="20">
        <f t="shared" si="4"/>
        <v>29.160000000000004</v>
      </c>
      <c r="L13" s="22" t="s">
        <v>236</v>
      </c>
      <c r="M13" s="23">
        <f>A19</f>
        <v>47.300000000000004</v>
      </c>
    </row>
    <row r="14" spans="1:13" x14ac:dyDescent="0.25">
      <c r="A14" s="20">
        <v>7.1</v>
      </c>
      <c r="B14" s="20">
        <v>6.7</v>
      </c>
      <c r="C14" s="20">
        <v>6.1</v>
      </c>
      <c r="D14" s="20">
        <v>5.7</v>
      </c>
      <c r="E14" s="20">
        <v>5.5</v>
      </c>
      <c r="F14" s="20">
        <f t="shared" si="0"/>
        <v>50.41</v>
      </c>
      <c r="G14" s="20">
        <f t="shared" si="1"/>
        <v>44.89</v>
      </c>
      <c r="H14" s="20">
        <f t="shared" si="2"/>
        <v>37.209999999999994</v>
      </c>
      <c r="I14" s="20">
        <f t="shared" si="3"/>
        <v>32.49</v>
      </c>
      <c r="J14" s="20">
        <f t="shared" si="4"/>
        <v>30.25</v>
      </c>
      <c r="L14" s="22" t="s">
        <v>237</v>
      </c>
      <c r="M14" s="23">
        <f>B19</f>
        <v>55.400000000000006</v>
      </c>
    </row>
    <row r="15" spans="1:13" x14ac:dyDescent="0.25">
      <c r="A15" s="20">
        <v>6.2</v>
      </c>
      <c r="B15" s="20">
        <v>7.6</v>
      </c>
      <c r="C15" s="20">
        <v>6.2</v>
      </c>
      <c r="D15" s="20">
        <v>6</v>
      </c>
      <c r="E15" s="20">
        <v>4.9000000000000004</v>
      </c>
      <c r="F15" s="20">
        <f t="shared" si="0"/>
        <v>38.440000000000005</v>
      </c>
      <c r="G15" s="20">
        <f t="shared" si="1"/>
        <v>57.76</v>
      </c>
      <c r="H15" s="20">
        <f t="shared" si="2"/>
        <v>38.440000000000005</v>
      </c>
      <c r="I15" s="20">
        <f t="shared" si="3"/>
        <v>36</v>
      </c>
      <c r="J15" s="20">
        <f t="shared" si="4"/>
        <v>24.010000000000005</v>
      </c>
      <c r="L15" s="22" t="s">
        <v>238</v>
      </c>
      <c r="M15" s="23">
        <f>C19</f>
        <v>46.6</v>
      </c>
    </row>
    <row r="16" spans="1:13" x14ac:dyDescent="0.25">
      <c r="A16" s="20">
        <v>5.9</v>
      </c>
      <c r="B16" s="20">
        <v>5.9</v>
      </c>
      <c r="C16" s="20">
        <v>6.4</v>
      </c>
      <c r="D16" s="20">
        <v>6.1</v>
      </c>
      <c r="E16" s="20">
        <v>6.2</v>
      </c>
      <c r="F16" s="20">
        <f t="shared" si="0"/>
        <v>34.81</v>
      </c>
      <c r="G16" s="20">
        <f t="shared" si="1"/>
        <v>34.81</v>
      </c>
      <c r="H16" s="20">
        <f t="shared" si="2"/>
        <v>40.960000000000008</v>
      </c>
      <c r="I16" s="20">
        <f t="shared" si="3"/>
        <v>37.209999999999994</v>
      </c>
      <c r="J16" s="20">
        <f t="shared" si="4"/>
        <v>38.440000000000005</v>
      </c>
      <c r="L16" s="22" t="s">
        <v>239</v>
      </c>
      <c r="M16" s="23">
        <f>D19</f>
        <v>39.6</v>
      </c>
    </row>
    <row r="17" spans="1:13" x14ac:dyDescent="0.25">
      <c r="A17" s="20">
        <v>5.3</v>
      </c>
      <c r="B17" s="20">
        <v>8.1</v>
      </c>
      <c r="C17" s="20">
        <v>6.9</v>
      </c>
      <c r="D17" s="20">
        <v>4.7</v>
      </c>
      <c r="E17" s="20">
        <v>6.1</v>
      </c>
      <c r="F17" s="20">
        <f t="shared" si="0"/>
        <v>28.09</v>
      </c>
      <c r="G17" s="20">
        <f t="shared" si="1"/>
        <v>65.61</v>
      </c>
      <c r="H17" s="20">
        <f t="shared" si="2"/>
        <v>47.610000000000007</v>
      </c>
      <c r="I17" s="20">
        <f t="shared" si="3"/>
        <v>22.090000000000003</v>
      </c>
      <c r="J17" s="20">
        <f t="shared" si="4"/>
        <v>37.209999999999994</v>
      </c>
      <c r="L17" s="22" t="s">
        <v>240</v>
      </c>
      <c r="M17" s="23">
        <f>E19</f>
        <v>47.6</v>
      </c>
    </row>
    <row r="18" spans="1:13" x14ac:dyDescent="0.25">
      <c r="A18" s="20">
        <v>6.2</v>
      </c>
      <c r="B18" s="20">
        <v>8.3000000000000007</v>
      </c>
      <c r="C18" s="20">
        <v>4.5</v>
      </c>
      <c r="D18" s="20">
        <v>5.0999999999999996</v>
      </c>
      <c r="E18" s="20">
        <v>7</v>
      </c>
      <c r="F18" s="20">
        <f t="shared" si="0"/>
        <v>38.440000000000005</v>
      </c>
      <c r="G18" s="20">
        <f t="shared" si="1"/>
        <v>68.890000000000015</v>
      </c>
      <c r="H18" s="20">
        <f t="shared" si="2"/>
        <v>20.25</v>
      </c>
      <c r="I18" s="20">
        <f t="shared" si="3"/>
        <v>26.009999999999998</v>
      </c>
      <c r="J18" s="20">
        <f t="shared" si="4"/>
        <v>49</v>
      </c>
      <c r="L18" s="22" t="s">
        <v>241</v>
      </c>
      <c r="M18" s="23">
        <f>SUM(M13:M17)</f>
        <v>236.5</v>
      </c>
    </row>
    <row r="19" spans="1:13" x14ac:dyDescent="0.25">
      <c r="A19" s="20">
        <f>SUM(A11:A18)</f>
        <v>47.300000000000004</v>
      </c>
      <c r="B19" s="20">
        <f>SUM(B11:B18)</f>
        <v>55.400000000000006</v>
      </c>
      <c r="C19" s="20">
        <f>SUM(C11:C18)</f>
        <v>46.6</v>
      </c>
      <c r="D19" s="20">
        <f>SUM(D11:D18)</f>
        <v>39.6</v>
      </c>
      <c r="E19" s="20">
        <f>SUM(E11:E18)</f>
        <v>47.6</v>
      </c>
      <c r="H19" s="21"/>
      <c r="L19" s="24" t="s">
        <v>247</v>
      </c>
      <c r="M19" s="26">
        <f>SUM(F11:J18)</f>
        <v>1441.27</v>
      </c>
    </row>
    <row r="20" spans="1:13" x14ac:dyDescent="0.25">
      <c r="H20" s="21"/>
    </row>
    <row r="21" spans="1:13" x14ac:dyDescent="0.25">
      <c r="F21" s="68"/>
      <c r="G21" s="131" t="s">
        <v>407</v>
      </c>
      <c r="H21" s="132">
        <f>((M13^2+M14^2+M15^2+M16^2+M17^2)/8)-((M18^2)/M12)</f>
        <v>15.684999999999945</v>
      </c>
    </row>
    <row r="22" spans="1:13" x14ac:dyDescent="0.25">
      <c r="F22" s="22"/>
      <c r="G22" s="130" t="s">
        <v>408</v>
      </c>
      <c r="H22" s="129">
        <f>M19-((M13^2+M14^2+M15^2+M16^2+M17^2)/8)</f>
        <v>27.278749999999945</v>
      </c>
    </row>
    <row r="23" spans="1:13" x14ac:dyDescent="0.25">
      <c r="F23" s="22"/>
      <c r="G23" s="128" t="s">
        <v>248</v>
      </c>
      <c r="H23" s="129">
        <f>H21/(M10-1)</f>
        <v>3.9212499999999864</v>
      </c>
    </row>
    <row r="24" spans="1:13" x14ac:dyDescent="0.25">
      <c r="F24" s="22"/>
      <c r="G24" s="130" t="s">
        <v>249</v>
      </c>
      <c r="H24" s="129">
        <f>H22/(M12-M10)</f>
        <v>0.77939285714285556</v>
      </c>
    </row>
    <row r="25" spans="1:13" x14ac:dyDescent="0.25">
      <c r="F25" s="22"/>
      <c r="G25" s="21" t="s">
        <v>81</v>
      </c>
      <c r="H25" s="319">
        <f>H23/H24</f>
        <v>5.0311597855473513</v>
      </c>
    </row>
    <row r="26" spans="1:13" x14ac:dyDescent="0.25">
      <c r="F26" s="22"/>
      <c r="G26" s="21" t="s">
        <v>250</v>
      </c>
      <c r="H26" s="319">
        <f>FINV(0.05,4,35)</f>
        <v>2.641465186128567</v>
      </c>
    </row>
    <row r="27" spans="1:13" x14ac:dyDescent="0.25">
      <c r="F27" s="24"/>
      <c r="G27" s="25" t="s">
        <v>263</v>
      </c>
      <c r="H27" s="26">
        <f>(H23-H24)/M11</f>
        <v>0.39273214285714136</v>
      </c>
      <c r="I27" s="20" t="s">
        <v>251</v>
      </c>
      <c r="J27" s="20" t="s">
        <v>261</v>
      </c>
    </row>
    <row r="28" spans="1:13" x14ac:dyDescent="0.25">
      <c r="H28" s="21"/>
    </row>
    <row r="29" spans="1:13" x14ac:dyDescent="0.25">
      <c r="B29" s="1" t="s">
        <v>252</v>
      </c>
      <c r="C29" s="1"/>
      <c r="D29" s="1"/>
      <c r="E29" s="1"/>
      <c r="F29" s="1"/>
      <c r="G29" s="1"/>
      <c r="H29" s="1"/>
    </row>
    <row r="30" spans="1:13" x14ac:dyDescent="0.25">
      <c r="B30" s="1"/>
      <c r="C30" s="1"/>
      <c r="D30" s="1"/>
      <c r="E30" s="1"/>
      <c r="F30" s="1"/>
      <c r="G30" s="1"/>
      <c r="H30" s="1"/>
    </row>
    <row r="31" spans="1:13" ht="15.75" thickBot="1" x14ac:dyDescent="0.3">
      <c r="B31" s="1" t="s">
        <v>253</v>
      </c>
      <c r="C31" s="1"/>
      <c r="D31" s="1"/>
      <c r="E31" s="1"/>
      <c r="F31" s="1"/>
      <c r="G31" s="1"/>
      <c r="H31" s="1"/>
    </row>
    <row r="32" spans="1:13" x14ac:dyDescent="0.25">
      <c r="B32" s="64" t="s">
        <v>254</v>
      </c>
      <c r="C32" s="64" t="s">
        <v>47</v>
      </c>
      <c r="D32" s="64" t="s">
        <v>46</v>
      </c>
      <c r="E32" s="64" t="s">
        <v>255</v>
      </c>
      <c r="F32" s="64" t="s">
        <v>171</v>
      </c>
      <c r="G32" s="1"/>
      <c r="H32" s="1"/>
    </row>
    <row r="33" spans="2:10" x14ac:dyDescent="0.25">
      <c r="B33" s="62" t="s">
        <v>228</v>
      </c>
      <c r="C33" s="62">
        <v>8</v>
      </c>
      <c r="D33" s="62">
        <v>47.300000000000004</v>
      </c>
      <c r="E33" s="62">
        <v>5.9125000000000005</v>
      </c>
      <c r="F33" s="62">
        <v>0.37553571428571419</v>
      </c>
      <c r="G33" s="1"/>
      <c r="H33" s="1"/>
    </row>
    <row r="34" spans="2:10" x14ac:dyDescent="0.25">
      <c r="B34" s="62" t="s">
        <v>229</v>
      </c>
      <c r="C34" s="62">
        <v>8</v>
      </c>
      <c r="D34" s="62">
        <v>55.400000000000006</v>
      </c>
      <c r="E34" s="62">
        <v>6.9250000000000007</v>
      </c>
      <c r="F34" s="62">
        <v>1.087857142857128</v>
      </c>
      <c r="G34" s="1"/>
      <c r="H34" s="1"/>
    </row>
    <row r="35" spans="2:10" x14ac:dyDescent="0.25">
      <c r="B35" s="62" t="s">
        <v>230</v>
      </c>
      <c r="C35" s="62">
        <v>8</v>
      </c>
      <c r="D35" s="62">
        <v>46.6</v>
      </c>
      <c r="E35" s="62">
        <v>5.8250000000000002</v>
      </c>
      <c r="F35" s="62">
        <v>0.6421428571428659</v>
      </c>
      <c r="G35" s="1"/>
      <c r="H35" s="1"/>
    </row>
    <row r="36" spans="2:10" x14ac:dyDescent="0.25">
      <c r="B36" s="62" t="s">
        <v>231</v>
      </c>
      <c r="C36" s="62">
        <v>8</v>
      </c>
      <c r="D36" s="62">
        <v>39.6</v>
      </c>
      <c r="E36" s="62">
        <v>4.95</v>
      </c>
      <c r="F36" s="62">
        <v>1.3085714285714241</v>
      </c>
      <c r="G36" s="1"/>
      <c r="H36" s="1"/>
    </row>
    <row r="37" spans="2:10" ht="15.75" thickBot="1" x14ac:dyDescent="0.3">
      <c r="B37" s="63" t="s">
        <v>232</v>
      </c>
      <c r="C37" s="63">
        <v>8</v>
      </c>
      <c r="D37" s="63">
        <v>47.6</v>
      </c>
      <c r="E37" s="63">
        <v>5.95</v>
      </c>
      <c r="F37" s="63">
        <v>0.4828571428571341</v>
      </c>
      <c r="G37" s="1"/>
      <c r="H37" s="1"/>
    </row>
    <row r="38" spans="2:10" x14ac:dyDescent="0.25">
      <c r="B38" s="1"/>
      <c r="C38" s="1"/>
      <c r="D38" s="1"/>
      <c r="E38" s="1"/>
      <c r="F38" s="1"/>
      <c r="G38" s="1"/>
      <c r="H38" s="1"/>
    </row>
    <row r="39" spans="2:10" x14ac:dyDescent="0.25">
      <c r="B39" s="1"/>
      <c r="C39" s="1"/>
      <c r="D39" s="1"/>
      <c r="E39" s="1"/>
      <c r="F39" s="1"/>
      <c r="G39" s="1"/>
      <c r="H39" s="1"/>
    </row>
    <row r="40" spans="2:10" ht="15.75" thickBot="1" x14ac:dyDescent="0.3">
      <c r="B40" s="1" t="s">
        <v>73</v>
      </c>
      <c r="C40" s="1"/>
      <c r="D40" s="1"/>
      <c r="E40" s="1"/>
      <c r="F40" s="1"/>
      <c r="G40" s="1"/>
      <c r="H40" s="1"/>
    </row>
    <row r="41" spans="2:10" x14ac:dyDescent="0.25">
      <c r="B41" s="64" t="s">
        <v>256</v>
      </c>
      <c r="C41" s="64" t="s">
        <v>79</v>
      </c>
      <c r="D41" s="64" t="s">
        <v>78</v>
      </c>
      <c r="E41" s="64" t="s">
        <v>80</v>
      </c>
      <c r="F41" s="64" t="s">
        <v>81</v>
      </c>
      <c r="G41" s="64" t="s">
        <v>85</v>
      </c>
      <c r="H41" s="64" t="s">
        <v>257</v>
      </c>
      <c r="I41" s="487" t="s">
        <v>260</v>
      </c>
      <c r="J41" s="489"/>
    </row>
    <row r="42" spans="2:10" x14ac:dyDescent="0.25">
      <c r="B42" s="62" t="s">
        <v>258</v>
      </c>
      <c r="C42" s="62">
        <v>15.684999999999992</v>
      </c>
      <c r="D42" s="62">
        <v>4</v>
      </c>
      <c r="E42" s="62">
        <v>3.9212499999999979</v>
      </c>
      <c r="F42" s="66">
        <v>5.0311597855473558</v>
      </c>
      <c r="G42" s="62">
        <v>2.6074431336117814E-3</v>
      </c>
      <c r="H42" s="66">
        <v>2.641465186128567</v>
      </c>
      <c r="I42" s="490"/>
      <c r="J42" s="492"/>
    </row>
    <row r="43" spans="2:10" x14ac:dyDescent="0.25">
      <c r="B43" s="62" t="s">
        <v>259</v>
      </c>
      <c r="C43" s="62">
        <v>27.278749999999999</v>
      </c>
      <c r="D43" s="62">
        <v>35</v>
      </c>
      <c r="E43" s="62">
        <v>0.77939285714285711</v>
      </c>
      <c r="F43" s="62"/>
      <c r="G43" s="62"/>
      <c r="H43" s="62"/>
      <c r="I43" s="490"/>
      <c r="J43" s="492"/>
    </row>
    <row r="44" spans="2:10" x14ac:dyDescent="0.25">
      <c r="B44" s="62"/>
      <c r="C44" s="62"/>
      <c r="D44" s="62"/>
      <c r="E44" s="62"/>
      <c r="F44" s="62"/>
      <c r="G44" s="62"/>
      <c r="H44" s="62"/>
      <c r="I44" s="490"/>
      <c r="J44" s="492"/>
    </row>
    <row r="45" spans="2:10" ht="15.75" thickBot="1" x14ac:dyDescent="0.3">
      <c r="B45" s="63" t="s">
        <v>76</v>
      </c>
      <c r="C45" s="63">
        <v>42.96374999999999</v>
      </c>
      <c r="D45" s="63">
        <v>39</v>
      </c>
      <c r="E45" s="63"/>
      <c r="F45" s="63"/>
      <c r="G45" s="63"/>
      <c r="H45" s="63"/>
      <c r="I45" s="493"/>
      <c r="J45" s="495"/>
    </row>
  </sheetData>
  <mergeCells count="2">
    <mergeCell ref="I41:J45"/>
    <mergeCell ref="B2:I7"/>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2:S88"/>
  <sheetViews>
    <sheetView topLeftCell="D19" workbookViewId="0">
      <selection activeCell="M28" sqref="M28"/>
    </sheetView>
  </sheetViews>
  <sheetFormatPr baseColWidth="10" defaultColWidth="11" defaultRowHeight="12.75" x14ac:dyDescent="0.2"/>
  <cols>
    <col min="1" max="1" width="11" style="140"/>
    <col min="2" max="2" width="57.42578125" style="140" bestFit="1" customWidth="1"/>
    <col min="3" max="3" width="19.28515625" style="140" bestFit="1" customWidth="1"/>
    <col min="4" max="4" width="18" style="140" bestFit="1" customWidth="1"/>
    <col min="5" max="5" width="26" style="140" bestFit="1" customWidth="1"/>
    <col min="6" max="6" width="12" style="140" bestFit="1" customWidth="1"/>
    <col min="7" max="7" width="13.7109375" style="140" bestFit="1" customWidth="1"/>
    <col min="8" max="8" width="18.7109375" style="140" bestFit="1" customWidth="1"/>
    <col min="9" max="9" width="13.140625" style="140" bestFit="1" customWidth="1"/>
    <col min="10" max="257" width="11" style="140"/>
    <col min="258" max="258" width="22.7109375" style="140" customWidth="1"/>
    <col min="259" max="259" width="18" style="140" bestFit="1" customWidth="1"/>
    <col min="260" max="260" width="16.42578125" style="140" bestFit="1" customWidth="1"/>
    <col min="261" max="261" width="24" style="140" bestFit="1" customWidth="1"/>
    <col min="262" max="262" width="11" style="140"/>
    <col min="263" max="263" width="11.85546875" style="140" bestFit="1" customWidth="1"/>
    <col min="264" max="264" width="16.85546875" style="140" bestFit="1" customWidth="1"/>
    <col min="265" max="513" width="11" style="140"/>
    <col min="514" max="514" width="22.7109375" style="140" customWidth="1"/>
    <col min="515" max="515" width="18" style="140" bestFit="1" customWidth="1"/>
    <col min="516" max="516" width="16.42578125" style="140" bestFit="1" customWidth="1"/>
    <col min="517" max="517" width="24" style="140" bestFit="1" customWidth="1"/>
    <col min="518" max="518" width="11" style="140"/>
    <col min="519" max="519" width="11.85546875" style="140" bestFit="1" customWidth="1"/>
    <col min="520" max="520" width="16.85546875" style="140" bestFit="1" customWidth="1"/>
    <col min="521" max="769" width="11" style="140"/>
    <col min="770" max="770" width="22.7109375" style="140" customWidth="1"/>
    <col min="771" max="771" width="18" style="140" bestFit="1" customWidth="1"/>
    <col min="772" max="772" width="16.42578125" style="140" bestFit="1" customWidth="1"/>
    <col min="773" max="773" width="24" style="140" bestFit="1" customWidth="1"/>
    <col min="774" max="774" width="11" style="140"/>
    <col min="775" max="775" width="11.85546875" style="140" bestFit="1" customWidth="1"/>
    <col min="776" max="776" width="16.85546875" style="140" bestFit="1" customWidth="1"/>
    <col min="777" max="1025" width="11" style="140"/>
    <col min="1026" max="1026" width="22.7109375" style="140" customWidth="1"/>
    <col min="1027" max="1027" width="18" style="140" bestFit="1" customWidth="1"/>
    <col min="1028" max="1028" width="16.42578125" style="140" bestFit="1" customWidth="1"/>
    <col min="1029" max="1029" width="24" style="140" bestFit="1" customWidth="1"/>
    <col min="1030" max="1030" width="11" style="140"/>
    <col min="1031" max="1031" width="11.85546875" style="140" bestFit="1" customWidth="1"/>
    <col min="1032" max="1032" width="16.85546875" style="140" bestFit="1" customWidth="1"/>
    <col min="1033" max="1281" width="11" style="140"/>
    <col min="1282" max="1282" width="22.7109375" style="140" customWidth="1"/>
    <col min="1283" max="1283" width="18" style="140" bestFit="1" customWidth="1"/>
    <col min="1284" max="1284" width="16.42578125" style="140" bestFit="1" customWidth="1"/>
    <col min="1285" max="1285" width="24" style="140" bestFit="1" customWidth="1"/>
    <col min="1286" max="1286" width="11" style="140"/>
    <col min="1287" max="1287" width="11.85546875" style="140" bestFit="1" customWidth="1"/>
    <col min="1288" max="1288" width="16.85546875" style="140" bestFit="1" customWidth="1"/>
    <col min="1289" max="1537" width="11" style="140"/>
    <col min="1538" max="1538" width="22.7109375" style="140" customWidth="1"/>
    <col min="1539" max="1539" width="18" style="140" bestFit="1" customWidth="1"/>
    <col min="1540" max="1540" width="16.42578125" style="140" bestFit="1" customWidth="1"/>
    <col min="1541" max="1541" width="24" style="140" bestFit="1" customWidth="1"/>
    <col min="1542" max="1542" width="11" style="140"/>
    <col min="1543" max="1543" width="11.85546875" style="140" bestFit="1" customWidth="1"/>
    <col min="1544" max="1544" width="16.85546875" style="140" bestFit="1" customWidth="1"/>
    <col min="1545" max="1793" width="11" style="140"/>
    <col min="1794" max="1794" width="22.7109375" style="140" customWidth="1"/>
    <col min="1795" max="1795" width="18" style="140" bestFit="1" customWidth="1"/>
    <col min="1796" max="1796" width="16.42578125" style="140" bestFit="1" customWidth="1"/>
    <col min="1797" max="1797" width="24" style="140" bestFit="1" customWidth="1"/>
    <col min="1798" max="1798" width="11" style="140"/>
    <col min="1799" max="1799" width="11.85546875" style="140" bestFit="1" customWidth="1"/>
    <col min="1800" max="1800" width="16.85546875" style="140" bestFit="1" customWidth="1"/>
    <col min="1801" max="2049" width="11" style="140"/>
    <col min="2050" max="2050" width="22.7109375" style="140" customWidth="1"/>
    <col min="2051" max="2051" width="18" style="140" bestFit="1" customWidth="1"/>
    <col min="2052" max="2052" width="16.42578125" style="140" bestFit="1" customWidth="1"/>
    <col min="2053" max="2053" width="24" style="140" bestFit="1" customWidth="1"/>
    <col min="2054" max="2054" width="11" style="140"/>
    <col min="2055" max="2055" width="11.85546875" style="140" bestFit="1" customWidth="1"/>
    <col min="2056" max="2056" width="16.85546875" style="140" bestFit="1" customWidth="1"/>
    <col min="2057" max="2305" width="11" style="140"/>
    <col min="2306" max="2306" width="22.7109375" style="140" customWidth="1"/>
    <col min="2307" max="2307" width="18" style="140" bestFit="1" customWidth="1"/>
    <col min="2308" max="2308" width="16.42578125" style="140" bestFit="1" customWidth="1"/>
    <col min="2309" max="2309" width="24" style="140" bestFit="1" customWidth="1"/>
    <col min="2310" max="2310" width="11" style="140"/>
    <col min="2311" max="2311" width="11.85546875" style="140" bestFit="1" customWidth="1"/>
    <col min="2312" max="2312" width="16.85546875" style="140" bestFit="1" customWidth="1"/>
    <col min="2313" max="2561" width="11" style="140"/>
    <col min="2562" max="2562" width="22.7109375" style="140" customWidth="1"/>
    <col min="2563" max="2563" width="18" style="140" bestFit="1" customWidth="1"/>
    <col min="2564" max="2564" width="16.42578125" style="140" bestFit="1" customWidth="1"/>
    <col min="2565" max="2565" width="24" style="140" bestFit="1" customWidth="1"/>
    <col min="2566" max="2566" width="11" style="140"/>
    <col min="2567" max="2567" width="11.85546875" style="140" bestFit="1" customWidth="1"/>
    <col min="2568" max="2568" width="16.85546875" style="140" bestFit="1" customWidth="1"/>
    <col min="2569" max="2817" width="11" style="140"/>
    <col min="2818" max="2818" width="22.7109375" style="140" customWidth="1"/>
    <col min="2819" max="2819" width="18" style="140" bestFit="1" customWidth="1"/>
    <col min="2820" max="2820" width="16.42578125" style="140" bestFit="1" customWidth="1"/>
    <col min="2821" max="2821" width="24" style="140" bestFit="1" customWidth="1"/>
    <col min="2822" max="2822" width="11" style="140"/>
    <col min="2823" max="2823" width="11.85546875" style="140" bestFit="1" customWidth="1"/>
    <col min="2824" max="2824" width="16.85546875" style="140" bestFit="1" customWidth="1"/>
    <col min="2825" max="3073" width="11" style="140"/>
    <col min="3074" max="3074" width="22.7109375" style="140" customWidth="1"/>
    <col min="3075" max="3075" width="18" style="140" bestFit="1" customWidth="1"/>
    <col min="3076" max="3076" width="16.42578125" style="140" bestFit="1" customWidth="1"/>
    <col min="3077" max="3077" width="24" style="140" bestFit="1" customWidth="1"/>
    <col min="3078" max="3078" width="11" style="140"/>
    <col min="3079" max="3079" width="11.85546875" style="140" bestFit="1" customWidth="1"/>
    <col min="3080" max="3080" width="16.85546875" style="140" bestFit="1" customWidth="1"/>
    <col min="3081" max="3329" width="11" style="140"/>
    <col min="3330" max="3330" width="22.7109375" style="140" customWidth="1"/>
    <col min="3331" max="3331" width="18" style="140" bestFit="1" customWidth="1"/>
    <col min="3332" max="3332" width="16.42578125" style="140" bestFit="1" customWidth="1"/>
    <col min="3333" max="3333" width="24" style="140" bestFit="1" customWidth="1"/>
    <col min="3334" max="3334" width="11" style="140"/>
    <col min="3335" max="3335" width="11.85546875" style="140" bestFit="1" customWidth="1"/>
    <col min="3336" max="3336" width="16.85546875" style="140" bestFit="1" customWidth="1"/>
    <col min="3337" max="3585" width="11" style="140"/>
    <col min="3586" max="3586" width="22.7109375" style="140" customWidth="1"/>
    <col min="3587" max="3587" width="18" style="140" bestFit="1" customWidth="1"/>
    <col min="3588" max="3588" width="16.42578125" style="140" bestFit="1" customWidth="1"/>
    <col min="3589" max="3589" width="24" style="140" bestFit="1" customWidth="1"/>
    <col min="3590" max="3590" width="11" style="140"/>
    <col min="3591" max="3591" width="11.85546875" style="140" bestFit="1" customWidth="1"/>
    <col min="3592" max="3592" width="16.85546875" style="140" bestFit="1" customWidth="1"/>
    <col min="3593" max="3841" width="11" style="140"/>
    <col min="3842" max="3842" width="22.7109375" style="140" customWidth="1"/>
    <col min="3843" max="3843" width="18" style="140" bestFit="1" customWidth="1"/>
    <col min="3844" max="3844" width="16.42578125" style="140" bestFit="1" customWidth="1"/>
    <col min="3845" max="3845" width="24" style="140" bestFit="1" customWidth="1"/>
    <col min="3846" max="3846" width="11" style="140"/>
    <col min="3847" max="3847" width="11.85546875" style="140" bestFit="1" customWidth="1"/>
    <col min="3848" max="3848" width="16.85546875" style="140" bestFit="1" customWidth="1"/>
    <col min="3849" max="4097" width="11" style="140"/>
    <col min="4098" max="4098" width="22.7109375" style="140" customWidth="1"/>
    <col min="4099" max="4099" width="18" style="140" bestFit="1" customWidth="1"/>
    <col min="4100" max="4100" width="16.42578125" style="140" bestFit="1" customWidth="1"/>
    <col min="4101" max="4101" width="24" style="140" bestFit="1" customWidth="1"/>
    <col min="4102" max="4102" width="11" style="140"/>
    <col min="4103" max="4103" width="11.85546875" style="140" bestFit="1" customWidth="1"/>
    <col min="4104" max="4104" width="16.85546875" style="140" bestFit="1" customWidth="1"/>
    <col min="4105" max="4353" width="11" style="140"/>
    <col min="4354" max="4354" width="22.7109375" style="140" customWidth="1"/>
    <col min="4355" max="4355" width="18" style="140" bestFit="1" customWidth="1"/>
    <col min="4356" max="4356" width="16.42578125" style="140" bestFit="1" customWidth="1"/>
    <col min="4357" max="4357" width="24" style="140" bestFit="1" customWidth="1"/>
    <col min="4358" max="4358" width="11" style="140"/>
    <col min="4359" max="4359" width="11.85546875" style="140" bestFit="1" customWidth="1"/>
    <col min="4360" max="4360" width="16.85546875" style="140" bestFit="1" customWidth="1"/>
    <col min="4361" max="4609" width="11" style="140"/>
    <col min="4610" max="4610" width="22.7109375" style="140" customWidth="1"/>
    <col min="4611" max="4611" width="18" style="140" bestFit="1" customWidth="1"/>
    <col min="4612" max="4612" width="16.42578125" style="140" bestFit="1" customWidth="1"/>
    <col min="4613" max="4613" width="24" style="140" bestFit="1" customWidth="1"/>
    <col min="4614" max="4614" width="11" style="140"/>
    <col min="4615" max="4615" width="11.85546875" style="140" bestFit="1" customWidth="1"/>
    <col min="4616" max="4616" width="16.85546875" style="140" bestFit="1" customWidth="1"/>
    <col min="4617" max="4865" width="11" style="140"/>
    <col min="4866" max="4866" width="22.7109375" style="140" customWidth="1"/>
    <col min="4867" max="4867" width="18" style="140" bestFit="1" customWidth="1"/>
    <col min="4868" max="4868" width="16.42578125" style="140" bestFit="1" customWidth="1"/>
    <col min="4869" max="4869" width="24" style="140" bestFit="1" customWidth="1"/>
    <col min="4870" max="4870" width="11" style="140"/>
    <col min="4871" max="4871" width="11.85546875" style="140" bestFit="1" customWidth="1"/>
    <col min="4872" max="4872" width="16.85546875" style="140" bestFit="1" customWidth="1"/>
    <col min="4873" max="5121" width="11" style="140"/>
    <col min="5122" max="5122" width="22.7109375" style="140" customWidth="1"/>
    <col min="5123" max="5123" width="18" style="140" bestFit="1" customWidth="1"/>
    <col min="5124" max="5124" width="16.42578125" style="140" bestFit="1" customWidth="1"/>
    <col min="5125" max="5125" width="24" style="140" bestFit="1" customWidth="1"/>
    <col min="5126" max="5126" width="11" style="140"/>
    <col min="5127" max="5127" width="11.85546875" style="140" bestFit="1" customWidth="1"/>
    <col min="5128" max="5128" width="16.85546875" style="140" bestFit="1" customWidth="1"/>
    <col min="5129" max="5377" width="11" style="140"/>
    <col min="5378" max="5378" width="22.7109375" style="140" customWidth="1"/>
    <col min="5379" max="5379" width="18" style="140" bestFit="1" customWidth="1"/>
    <col min="5380" max="5380" width="16.42578125" style="140" bestFit="1" customWidth="1"/>
    <col min="5381" max="5381" width="24" style="140" bestFit="1" customWidth="1"/>
    <col min="5382" max="5382" width="11" style="140"/>
    <col min="5383" max="5383" width="11.85546875" style="140" bestFit="1" customWidth="1"/>
    <col min="5384" max="5384" width="16.85546875" style="140" bestFit="1" customWidth="1"/>
    <col min="5385" max="5633" width="11" style="140"/>
    <col min="5634" max="5634" width="22.7109375" style="140" customWidth="1"/>
    <col min="5635" max="5635" width="18" style="140" bestFit="1" customWidth="1"/>
    <col min="5636" max="5636" width="16.42578125" style="140" bestFit="1" customWidth="1"/>
    <col min="5637" max="5637" width="24" style="140" bestFit="1" customWidth="1"/>
    <col min="5638" max="5638" width="11" style="140"/>
    <col min="5639" max="5639" width="11.85546875" style="140" bestFit="1" customWidth="1"/>
    <col min="5640" max="5640" width="16.85546875" style="140" bestFit="1" customWidth="1"/>
    <col min="5641" max="5889" width="11" style="140"/>
    <col min="5890" max="5890" width="22.7109375" style="140" customWidth="1"/>
    <col min="5891" max="5891" width="18" style="140" bestFit="1" customWidth="1"/>
    <col min="5892" max="5892" width="16.42578125" style="140" bestFit="1" customWidth="1"/>
    <col min="5893" max="5893" width="24" style="140" bestFit="1" customWidth="1"/>
    <col min="5894" max="5894" width="11" style="140"/>
    <col min="5895" max="5895" width="11.85546875" style="140" bestFit="1" customWidth="1"/>
    <col min="5896" max="5896" width="16.85546875" style="140" bestFit="1" customWidth="1"/>
    <col min="5897" max="6145" width="11" style="140"/>
    <col min="6146" max="6146" width="22.7109375" style="140" customWidth="1"/>
    <col min="6147" max="6147" width="18" style="140" bestFit="1" customWidth="1"/>
    <col min="6148" max="6148" width="16.42578125" style="140" bestFit="1" customWidth="1"/>
    <col min="6149" max="6149" width="24" style="140" bestFit="1" customWidth="1"/>
    <col min="6150" max="6150" width="11" style="140"/>
    <col min="6151" max="6151" width="11.85546875" style="140" bestFit="1" customWidth="1"/>
    <col min="6152" max="6152" width="16.85546875" style="140" bestFit="1" customWidth="1"/>
    <col min="6153" max="6401" width="11" style="140"/>
    <col min="6402" max="6402" width="22.7109375" style="140" customWidth="1"/>
    <col min="6403" max="6403" width="18" style="140" bestFit="1" customWidth="1"/>
    <col min="6404" max="6404" width="16.42578125" style="140" bestFit="1" customWidth="1"/>
    <col min="6405" max="6405" width="24" style="140" bestFit="1" customWidth="1"/>
    <col min="6406" max="6406" width="11" style="140"/>
    <col min="6407" max="6407" width="11.85546875" style="140" bestFit="1" customWidth="1"/>
    <col min="6408" max="6408" width="16.85546875" style="140" bestFit="1" customWidth="1"/>
    <col min="6409" max="6657" width="11" style="140"/>
    <col min="6658" max="6658" width="22.7109375" style="140" customWidth="1"/>
    <col min="6659" max="6659" width="18" style="140" bestFit="1" customWidth="1"/>
    <col min="6660" max="6660" width="16.42578125" style="140" bestFit="1" customWidth="1"/>
    <col min="6661" max="6661" width="24" style="140" bestFit="1" customWidth="1"/>
    <col min="6662" max="6662" width="11" style="140"/>
    <col min="6663" max="6663" width="11.85546875" style="140" bestFit="1" customWidth="1"/>
    <col min="6664" max="6664" width="16.85546875" style="140" bestFit="1" customWidth="1"/>
    <col min="6665" max="6913" width="11" style="140"/>
    <col min="6914" max="6914" width="22.7109375" style="140" customWidth="1"/>
    <col min="6915" max="6915" width="18" style="140" bestFit="1" customWidth="1"/>
    <col min="6916" max="6916" width="16.42578125" style="140" bestFit="1" customWidth="1"/>
    <col min="6917" max="6917" width="24" style="140" bestFit="1" customWidth="1"/>
    <col min="6918" max="6918" width="11" style="140"/>
    <col min="6919" max="6919" width="11.85546875" style="140" bestFit="1" customWidth="1"/>
    <col min="6920" max="6920" width="16.85546875" style="140" bestFit="1" customWidth="1"/>
    <col min="6921" max="7169" width="11" style="140"/>
    <col min="7170" max="7170" width="22.7109375" style="140" customWidth="1"/>
    <col min="7171" max="7171" width="18" style="140" bestFit="1" customWidth="1"/>
    <col min="7172" max="7172" width="16.42578125" style="140" bestFit="1" customWidth="1"/>
    <col min="7173" max="7173" width="24" style="140" bestFit="1" customWidth="1"/>
    <col min="7174" max="7174" width="11" style="140"/>
    <col min="7175" max="7175" width="11.85546875" style="140" bestFit="1" customWidth="1"/>
    <col min="7176" max="7176" width="16.85546875" style="140" bestFit="1" customWidth="1"/>
    <col min="7177" max="7425" width="11" style="140"/>
    <col min="7426" max="7426" width="22.7109375" style="140" customWidth="1"/>
    <col min="7427" max="7427" width="18" style="140" bestFit="1" customWidth="1"/>
    <col min="7428" max="7428" width="16.42578125" style="140" bestFit="1" customWidth="1"/>
    <col min="7429" max="7429" width="24" style="140" bestFit="1" customWidth="1"/>
    <col min="7430" max="7430" width="11" style="140"/>
    <col min="7431" max="7431" width="11.85546875" style="140" bestFit="1" customWidth="1"/>
    <col min="7432" max="7432" width="16.85546875" style="140" bestFit="1" customWidth="1"/>
    <col min="7433" max="7681" width="11" style="140"/>
    <col min="7682" max="7682" width="22.7109375" style="140" customWidth="1"/>
    <col min="7683" max="7683" width="18" style="140" bestFit="1" customWidth="1"/>
    <col min="7684" max="7684" width="16.42578125" style="140" bestFit="1" customWidth="1"/>
    <col min="7685" max="7685" width="24" style="140" bestFit="1" customWidth="1"/>
    <col min="7686" max="7686" width="11" style="140"/>
    <col min="7687" max="7687" width="11.85546875" style="140" bestFit="1" customWidth="1"/>
    <col min="7688" max="7688" width="16.85546875" style="140" bestFit="1" customWidth="1"/>
    <col min="7689" max="7937" width="11" style="140"/>
    <col min="7938" max="7938" width="22.7109375" style="140" customWidth="1"/>
    <col min="7939" max="7939" width="18" style="140" bestFit="1" customWidth="1"/>
    <col min="7940" max="7940" width="16.42578125" style="140" bestFit="1" customWidth="1"/>
    <col min="7941" max="7941" width="24" style="140" bestFit="1" customWidth="1"/>
    <col min="7942" max="7942" width="11" style="140"/>
    <col min="7943" max="7943" width="11.85546875" style="140" bestFit="1" customWidth="1"/>
    <col min="7944" max="7944" width="16.85546875" style="140" bestFit="1" customWidth="1"/>
    <col min="7945" max="8193" width="11" style="140"/>
    <col min="8194" max="8194" width="22.7109375" style="140" customWidth="1"/>
    <col min="8195" max="8195" width="18" style="140" bestFit="1" customWidth="1"/>
    <col min="8196" max="8196" width="16.42578125" style="140" bestFit="1" customWidth="1"/>
    <col min="8197" max="8197" width="24" style="140" bestFit="1" customWidth="1"/>
    <col min="8198" max="8198" width="11" style="140"/>
    <col min="8199" max="8199" width="11.85546875" style="140" bestFit="1" customWidth="1"/>
    <col min="8200" max="8200" width="16.85546875" style="140" bestFit="1" customWidth="1"/>
    <col min="8201" max="8449" width="11" style="140"/>
    <col min="8450" max="8450" width="22.7109375" style="140" customWidth="1"/>
    <col min="8451" max="8451" width="18" style="140" bestFit="1" customWidth="1"/>
    <col min="8452" max="8452" width="16.42578125" style="140" bestFit="1" customWidth="1"/>
    <col min="8453" max="8453" width="24" style="140" bestFit="1" customWidth="1"/>
    <col min="8454" max="8454" width="11" style="140"/>
    <col min="8455" max="8455" width="11.85546875" style="140" bestFit="1" customWidth="1"/>
    <col min="8456" max="8456" width="16.85546875" style="140" bestFit="1" customWidth="1"/>
    <col min="8457" max="8705" width="11" style="140"/>
    <col min="8706" max="8706" width="22.7109375" style="140" customWidth="1"/>
    <col min="8707" max="8707" width="18" style="140" bestFit="1" customWidth="1"/>
    <col min="8708" max="8708" width="16.42578125" style="140" bestFit="1" customWidth="1"/>
    <col min="8709" max="8709" width="24" style="140" bestFit="1" customWidth="1"/>
    <col min="8710" max="8710" width="11" style="140"/>
    <col min="8711" max="8711" width="11.85546875" style="140" bestFit="1" customWidth="1"/>
    <col min="8712" max="8712" width="16.85546875" style="140" bestFit="1" customWidth="1"/>
    <col min="8713" max="8961" width="11" style="140"/>
    <col min="8962" max="8962" width="22.7109375" style="140" customWidth="1"/>
    <col min="8963" max="8963" width="18" style="140" bestFit="1" customWidth="1"/>
    <col min="8964" max="8964" width="16.42578125" style="140" bestFit="1" customWidth="1"/>
    <col min="8965" max="8965" width="24" style="140" bestFit="1" customWidth="1"/>
    <col min="8966" max="8966" width="11" style="140"/>
    <col min="8967" max="8967" width="11.85546875" style="140" bestFit="1" customWidth="1"/>
    <col min="8968" max="8968" width="16.85546875" style="140" bestFit="1" customWidth="1"/>
    <col min="8969" max="9217" width="11" style="140"/>
    <col min="9218" max="9218" width="22.7109375" style="140" customWidth="1"/>
    <col min="9219" max="9219" width="18" style="140" bestFit="1" customWidth="1"/>
    <col min="9220" max="9220" width="16.42578125" style="140" bestFit="1" customWidth="1"/>
    <col min="9221" max="9221" width="24" style="140" bestFit="1" customWidth="1"/>
    <col min="9222" max="9222" width="11" style="140"/>
    <col min="9223" max="9223" width="11.85546875" style="140" bestFit="1" customWidth="1"/>
    <col min="9224" max="9224" width="16.85546875" style="140" bestFit="1" customWidth="1"/>
    <col min="9225" max="9473" width="11" style="140"/>
    <col min="9474" max="9474" width="22.7109375" style="140" customWidth="1"/>
    <col min="9475" max="9475" width="18" style="140" bestFit="1" customWidth="1"/>
    <col min="9476" max="9476" width="16.42578125" style="140" bestFit="1" customWidth="1"/>
    <col min="9477" max="9477" width="24" style="140" bestFit="1" customWidth="1"/>
    <col min="9478" max="9478" width="11" style="140"/>
    <col min="9479" max="9479" width="11.85546875" style="140" bestFit="1" customWidth="1"/>
    <col min="9480" max="9480" width="16.85546875" style="140" bestFit="1" customWidth="1"/>
    <col min="9481" max="9729" width="11" style="140"/>
    <col min="9730" max="9730" width="22.7109375" style="140" customWidth="1"/>
    <col min="9731" max="9731" width="18" style="140" bestFit="1" customWidth="1"/>
    <col min="9732" max="9732" width="16.42578125" style="140" bestFit="1" customWidth="1"/>
    <col min="9733" max="9733" width="24" style="140" bestFit="1" customWidth="1"/>
    <col min="9734" max="9734" width="11" style="140"/>
    <col min="9735" max="9735" width="11.85546875" style="140" bestFit="1" customWidth="1"/>
    <col min="9736" max="9736" width="16.85546875" style="140" bestFit="1" customWidth="1"/>
    <col min="9737" max="9985" width="11" style="140"/>
    <col min="9986" max="9986" width="22.7109375" style="140" customWidth="1"/>
    <col min="9987" max="9987" width="18" style="140" bestFit="1" customWidth="1"/>
    <col min="9988" max="9988" width="16.42578125" style="140" bestFit="1" customWidth="1"/>
    <col min="9989" max="9989" width="24" style="140" bestFit="1" customWidth="1"/>
    <col min="9990" max="9990" width="11" style="140"/>
    <col min="9991" max="9991" width="11.85546875" style="140" bestFit="1" customWidth="1"/>
    <col min="9992" max="9992" width="16.85546875" style="140" bestFit="1" customWidth="1"/>
    <col min="9993" max="10241" width="11" style="140"/>
    <col min="10242" max="10242" width="22.7109375" style="140" customWidth="1"/>
    <col min="10243" max="10243" width="18" style="140" bestFit="1" customWidth="1"/>
    <col min="10244" max="10244" width="16.42578125" style="140" bestFit="1" customWidth="1"/>
    <col min="10245" max="10245" width="24" style="140" bestFit="1" customWidth="1"/>
    <col min="10246" max="10246" width="11" style="140"/>
    <col min="10247" max="10247" width="11.85546875" style="140" bestFit="1" customWidth="1"/>
    <col min="10248" max="10248" width="16.85546875" style="140" bestFit="1" customWidth="1"/>
    <col min="10249" max="10497" width="11" style="140"/>
    <col min="10498" max="10498" width="22.7109375" style="140" customWidth="1"/>
    <col min="10499" max="10499" width="18" style="140" bestFit="1" customWidth="1"/>
    <col min="10500" max="10500" width="16.42578125" style="140" bestFit="1" customWidth="1"/>
    <col min="10501" max="10501" width="24" style="140" bestFit="1" customWidth="1"/>
    <col min="10502" max="10502" width="11" style="140"/>
    <col min="10503" max="10503" width="11.85546875" style="140" bestFit="1" customWidth="1"/>
    <col min="10504" max="10504" width="16.85546875" style="140" bestFit="1" customWidth="1"/>
    <col min="10505" max="10753" width="11" style="140"/>
    <col min="10754" max="10754" width="22.7109375" style="140" customWidth="1"/>
    <col min="10755" max="10755" width="18" style="140" bestFit="1" customWidth="1"/>
    <col min="10756" max="10756" width="16.42578125" style="140" bestFit="1" customWidth="1"/>
    <col min="10757" max="10757" width="24" style="140" bestFit="1" customWidth="1"/>
    <col min="10758" max="10758" width="11" style="140"/>
    <col min="10759" max="10759" width="11.85546875" style="140" bestFit="1" customWidth="1"/>
    <col min="10760" max="10760" width="16.85546875" style="140" bestFit="1" customWidth="1"/>
    <col min="10761" max="11009" width="11" style="140"/>
    <col min="11010" max="11010" width="22.7109375" style="140" customWidth="1"/>
    <col min="11011" max="11011" width="18" style="140" bestFit="1" customWidth="1"/>
    <col min="11012" max="11012" width="16.42578125" style="140" bestFit="1" customWidth="1"/>
    <col min="11013" max="11013" width="24" style="140" bestFit="1" customWidth="1"/>
    <col min="11014" max="11014" width="11" style="140"/>
    <col min="11015" max="11015" width="11.85546875" style="140" bestFit="1" customWidth="1"/>
    <col min="11016" max="11016" width="16.85546875" style="140" bestFit="1" customWidth="1"/>
    <col min="11017" max="11265" width="11" style="140"/>
    <col min="11266" max="11266" width="22.7109375" style="140" customWidth="1"/>
    <col min="11267" max="11267" width="18" style="140" bestFit="1" customWidth="1"/>
    <col min="11268" max="11268" width="16.42578125" style="140" bestFit="1" customWidth="1"/>
    <col min="11269" max="11269" width="24" style="140" bestFit="1" customWidth="1"/>
    <col min="11270" max="11270" width="11" style="140"/>
    <col min="11271" max="11271" width="11.85546875" style="140" bestFit="1" customWidth="1"/>
    <col min="11272" max="11272" width="16.85546875" style="140" bestFit="1" customWidth="1"/>
    <col min="11273" max="11521" width="11" style="140"/>
    <col min="11522" max="11522" width="22.7109375" style="140" customWidth="1"/>
    <col min="11523" max="11523" width="18" style="140" bestFit="1" customWidth="1"/>
    <col min="11524" max="11524" width="16.42578125" style="140" bestFit="1" customWidth="1"/>
    <col min="11525" max="11525" width="24" style="140" bestFit="1" customWidth="1"/>
    <col min="11526" max="11526" width="11" style="140"/>
    <col min="11527" max="11527" width="11.85546875" style="140" bestFit="1" customWidth="1"/>
    <col min="11528" max="11528" width="16.85546875" style="140" bestFit="1" customWidth="1"/>
    <col min="11529" max="11777" width="11" style="140"/>
    <col min="11778" max="11778" width="22.7109375" style="140" customWidth="1"/>
    <col min="11779" max="11779" width="18" style="140" bestFit="1" customWidth="1"/>
    <col min="11780" max="11780" width="16.42578125" style="140" bestFit="1" customWidth="1"/>
    <col min="11781" max="11781" width="24" style="140" bestFit="1" customWidth="1"/>
    <col min="11782" max="11782" width="11" style="140"/>
    <col min="11783" max="11783" width="11.85546875" style="140" bestFit="1" customWidth="1"/>
    <col min="11784" max="11784" width="16.85546875" style="140" bestFit="1" customWidth="1"/>
    <col min="11785" max="12033" width="11" style="140"/>
    <col min="12034" max="12034" width="22.7109375" style="140" customWidth="1"/>
    <col min="12035" max="12035" width="18" style="140" bestFit="1" customWidth="1"/>
    <col min="12036" max="12036" width="16.42578125" style="140" bestFit="1" customWidth="1"/>
    <col min="12037" max="12037" width="24" style="140" bestFit="1" customWidth="1"/>
    <col min="12038" max="12038" width="11" style="140"/>
    <col min="12039" max="12039" width="11.85546875" style="140" bestFit="1" customWidth="1"/>
    <col min="12040" max="12040" width="16.85546875" style="140" bestFit="1" customWidth="1"/>
    <col min="12041" max="12289" width="11" style="140"/>
    <col min="12290" max="12290" width="22.7109375" style="140" customWidth="1"/>
    <col min="12291" max="12291" width="18" style="140" bestFit="1" customWidth="1"/>
    <col min="12292" max="12292" width="16.42578125" style="140" bestFit="1" customWidth="1"/>
    <col min="12293" max="12293" width="24" style="140" bestFit="1" customWidth="1"/>
    <col min="12294" max="12294" width="11" style="140"/>
    <col min="12295" max="12295" width="11.85546875" style="140" bestFit="1" customWidth="1"/>
    <col min="12296" max="12296" width="16.85546875" style="140" bestFit="1" customWidth="1"/>
    <col min="12297" max="12545" width="11" style="140"/>
    <col min="12546" max="12546" width="22.7109375" style="140" customWidth="1"/>
    <col min="12547" max="12547" width="18" style="140" bestFit="1" customWidth="1"/>
    <col min="12548" max="12548" width="16.42578125" style="140" bestFit="1" customWidth="1"/>
    <col min="12549" max="12549" width="24" style="140" bestFit="1" customWidth="1"/>
    <col min="12550" max="12550" width="11" style="140"/>
    <col min="12551" max="12551" width="11.85546875" style="140" bestFit="1" customWidth="1"/>
    <col min="12552" max="12552" width="16.85546875" style="140" bestFit="1" customWidth="1"/>
    <col min="12553" max="12801" width="11" style="140"/>
    <col min="12802" max="12802" width="22.7109375" style="140" customWidth="1"/>
    <col min="12803" max="12803" width="18" style="140" bestFit="1" customWidth="1"/>
    <col min="12804" max="12804" width="16.42578125" style="140" bestFit="1" customWidth="1"/>
    <col min="12805" max="12805" width="24" style="140" bestFit="1" customWidth="1"/>
    <col min="12806" max="12806" width="11" style="140"/>
    <col min="12807" max="12807" width="11.85546875" style="140" bestFit="1" customWidth="1"/>
    <col min="12808" max="12808" width="16.85546875" style="140" bestFit="1" customWidth="1"/>
    <col min="12809" max="13057" width="11" style="140"/>
    <col min="13058" max="13058" width="22.7109375" style="140" customWidth="1"/>
    <col min="13059" max="13059" width="18" style="140" bestFit="1" customWidth="1"/>
    <col min="13060" max="13060" width="16.42578125" style="140" bestFit="1" customWidth="1"/>
    <col min="13061" max="13061" width="24" style="140" bestFit="1" customWidth="1"/>
    <col min="13062" max="13062" width="11" style="140"/>
    <col min="13063" max="13063" width="11.85546875" style="140" bestFit="1" customWidth="1"/>
    <col min="13064" max="13064" width="16.85546875" style="140" bestFit="1" customWidth="1"/>
    <col min="13065" max="13313" width="11" style="140"/>
    <col min="13314" max="13314" width="22.7109375" style="140" customWidth="1"/>
    <col min="13315" max="13315" width="18" style="140" bestFit="1" customWidth="1"/>
    <col min="13316" max="13316" width="16.42578125" style="140" bestFit="1" customWidth="1"/>
    <col min="13317" max="13317" width="24" style="140" bestFit="1" customWidth="1"/>
    <col min="13318" max="13318" width="11" style="140"/>
    <col min="13319" max="13319" width="11.85546875" style="140" bestFit="1" customWidth="1"/>
    <col min="13320" max="13320" width="16.85546875" style="140" bestFit="1" customWidth="1"/>
    <col min="13321" max="13569" width="11" style="140"/>
    <col min="13570" max="13570" width="22.7109375" style="140" customWidth="1"/>
    <col min="13571" max="13571" width="18" style="140" bestFit="1" customWidth="1"/>
    <col min="13572" max="13572" width="16.42578125" style="140" bestFit="1" customWidth="1"/>
    <col min="13573" max="13573" width="24" style="140" bestFit="1" customWidth="1"/>
    <col min="13574" max="13574" width="11" style="140"/>
    <col min="13575" max="13575" width="11.85546875" style="140" bestFit="1" customWidth="1"/>
    <col min="13576" max="13576" width="16.85546875" style="140" bestFit="1" customWidth="1"/>
    <col min="13577" max="13825" width="11" style="140"/>
    <col min="13826" max="13826" width="22.7109375" style="140" customWidth="1"/>
    <col min="13827" max="13827" width="18" style="140" bestFit="1" customWidth="1"/>
    <col min="13828" max="13828" width="16.42578125" style="140" bestFit="1" customWidth="1"/>
    <col min="13829" max="13829" width="24" style="140" bestFit="1" customWidth="1"/>
    <col min="13830" max="13830" width="11" style="140"/>
    <col min="13831" max="13831" width="11.85546875" style="140" bestFit="1" customWidth="1"/>
    <col min="13832" max="13832" width="16.85546875" style="140" bestFit="1" customWidth="1"/>
    <col min="13833" max="14081" width="11" style="140"/>
    <col min="14082" max="14082" width="22.7109375" style="140" customWidth="1"/>
    <col min="14083" max="14083" width="18" style="140" bestFit="1" customWidth="1"/>
    <col min="14084" max="14084" width="16.42578125" style="140" bestFit="1" customWidth="1"/>
    <col min="14085" max="14085" width="24" style="140" bestFit="1" customWidth="1"/>
    <col min="14086" max="14086" width="11" style="140"/>
    <col min="14087" max="14087" width="11.85546875" style="140" bestFit="1" customWidth="1"/>
    <col min="14088" max="14088" width="16.85546875" style="140" bestFit="1" customWidth="1"/>
    <col min="14089" max="14337" width="11" style="140"/>
    <col min="14338" max="14338" width="22.7109375" style="140" customWidth="1"/>
    <col min="14339" max="14339" width="18" style="140" bestFit="1" customWidth="1"/>
    <col min="14340" max="14340" width="16.42578125" style="140" bestFit="1" customWidth="1"/>
    <col min="14341" max="14341" width="24" style="140" bestFit="1" customWidth="1"/>
    <col min="14342" max="14342" width="11" style="140"/>
    <col min="14343" max="14343" width="11.85546875" style="140" bestFit="1" customWidth="1"/>
    <col min="14344" max="14344" width="16.85546875" style="140" bestFit="1" customWidth="1"/>
    <col min="14345" max="14593" width="11" style="140"/>
    <col min="14594" max="14594" width="22.7109375" style="140" customWidth="1"/>
    <col min="14595" max="14595" width="18" style="140" bestFit="1" customWidth="1"/>
    <col min="14596" max="14596" width="16.42578125" style="140" bestFit="1" customWidth="1"/>
    <col min="14597" max="14597" width="24" style="140" bestFit="1" customWidth="1"/>
    <col min="14598" max="14598" width="11" style="140"/>
    <col min="14599" max="14599" width="11.85546875" style="140" bestFit="1" customWidth="1"/>
    <col min="14600" max="14600" width="16.85546875" style="140" bestFit="1" customWidth="1"/>
    <col min="14601" max="14849" width="11" style="140"/>
    <col min="14850" max="14850" width="22.7109375" style="140" customWidth="1"/>
    <col min="14851" max="14851" width="18" style="140" bestFit="1" customWidth="1"/>
    <col min="14852" max="14852" width="16.42578125" style="140" bestFit="1" customWidth="1"/>
    <col min="14853" max="14853" width="24" style="140" bestFit="1" customWidth="1"/>
    <col min="14854" max="14854" width="11" style="140"/>
    <col min="14855" max="14855" width="11.85546875" style="140" bestFit="1" customWidth="1"/>
    <col min="14856" max="14856" width="16.85546875" style="140" bestFit="1" customWidth="1"/>
    <col min="14857" max="15105" width="11" style="140"/>
    <col min="15106" max="15106" width="22.7109375" style="140" customWidth="1"/>
    <col min="15107" max="15107" width="18" style="140" bestFit="1" customWidth="1"/>
    <col min="15108" max="15108" width="16.42578125" style="140" bestFit="1" customWidth="1"/>
    <col min="15109" max="15109" width="24" style="140" bestFit="1" customWidth="1"/>
    <col min="15110" max="15110" width="11" style="140"/>
    <col min="15111" max="15111" width="11.85546875" style="140" bestFit="1" customWidth="1"/>
    <col min="15112" max="15112" width="16.85546875" style="140" bestFit="1" customWidth="1"/>
    <col min="15113" max="15361" width="11" style="140"/>
    <col min="15362" max="15362" width="22.7109375" style="140" customWidth="1"/>
    <col min="15363" max="15363" width="18" style="140" bestFit="1" customWidth="1"/>
    <col min="15364" max="15364" width="16.42578125" style="140" bestFit="1" customWidth="1"/>
    <col min="15365" max="15365" width="24" style="140" bestFit="1" customWidth="1"/>
    <col min="15366" max="15366" width="11" style="140"/>
    <col min="15367" max="15367" width="11.85546875" style="140" bestFit="1" customWidth="1"/>
    <col min="15368" max="15368" width="16.85546875" style="140" bestFit="1" customWidth="1"/>
    <col min="15369" max="15617" width="11" style="140"/>
    <col min="15618" max="15618" width="22.7109375" style="140" customWidth="1"/>
    <col min="15619" max="15619" width="18" style="140" bestFit="1" customWidth="1"/>
    <col min="15620" max="15620" width="16.42578125" style="140" bestFit="1" customWidth="1"/>
    <col min="15621" max="15621" width="24" style="140" bestFit="1" customWidth="1"/>
    <col min="15622" max="15622" width="11" style="140"/>
    <col min="15623" max="15623" width="11.85546875" style="140" bestFit="1" customWidth="1"/>
    <col min="15624" max="15624" width="16.85546875" style="140" bestFit="1" customWidth="1"/>
    <col min="15625" max="15873" width="11" style="140"/>
    <col min="15874" max="15874" width="22.7109375" style="140" customWidth="1"/>
    <col min="15875" max="15875" width="18" style="140" bestFit="1" customWidth="1"/>
    <col min="15876" max="15876" width="16.42578125" style="140" bestFit="1" customWidth="1"/>
    <col min="15877" max="15877" width="24" style="140" bestFit="1" customWidth="1"/>
    <col min="15878" max="15878" width="11" style="140"/>
    <col min="15879" max="15879" width="11.85546875" style="140" bestFit="1" customWidth="1"/>
    <col min="15880" max="15880" width="16.85546875" style="140" bestFit="1" customWidth="1"/>
    <col min="15881" max="16129" width="11" style="140"/>
    <col min="16130" max="16130" width="22.7109375" style="140" customWidth="1"/>
    <col min="16131" max="16131" width="18" style="140" bestFit="1" customWidth="1"/>
    <col min="16132" max="16132" width="16.42578125" style="140" bestFit="1" customWidth="1"/>
    <col min="16133" max="16133" width="24" style="140" bestFit="1" customWidth="1"/>
    <col min="16134" max="16134" width="11" style="140"/>
    <col min="16135" max="16135" width="11.85546875" style="140" bestFit="1" customWidth="1"/>
    <col min="16136" max="16136" width="16.85546875" style="140" bestFit="1" customWidth="1"/>
    <col min="16137" max="16384" width="11" style="140"/>
  </cols>
  <sheetData>
    <row r="2" spans="2:9" x14ac:dyDescent="0.2">
      <c r="B2" s="413" t="s">
        <v>465</v>
      </c>
      <c r="C2" s="414"/>
      <c r="D2" s="414"/>
      <c r="E2" s="414"/>
      <c r="F2" s="414"/>
      <c r="G2" s="414"/>
      <c r="H2" s="415"/>
    </row>
    <row r="3" spans="2:9" x14ac:dyDescent="0.2">
      <c r="B3" s="416"/>
      <c r="C3" s="417"/>
      <c r="D3" s="417"/>
      <c r="E3" s="417"/>
      <c r="F3" s="417"/>
      <c r="G3" s="417"/>
      <c r="H3" s="418"/>
    </row>
    <row r="4" spans="2:9" x14ac:dyDescent="0.2">
      <c r="B4" s="416"/>
      <c r="C4" s="417"/>
      <c r="D4" s="417"/>
      <c r="E4" s="417"/>
      <c r="F4" s="417"/>
      <c r="G4" s="417"/>
      <c r="H4" s="418"/>
    </row>
    <row r="5" spans="2:9" x14ac:dyDescent="0.2">
      <c r="B5" s="416"/>
      <c r="C5" s="417"/>
      <c r="D5" s="417"/>
      <c r="E5" s="417"/>
      <c r="F5" s="417"/>
      <c r="G5" s="417"/>
      <c r="H5" s="418"/>
    </row>
    <row r="6" spans="2:9" x14ac:dyDescent="0.2">
      <c r="B6" s="416"/>
      <c r="C6" s="417"/>
      <c r="D6" s="417"/>
      <c r="E6" s="417"/>
      <c r="F6" s="417"/>
      <c r="G6" s="417"/>
      <c r="H6" s="418"/>
    </row>
    <row r="7" spans="2:9" x14ac:dyDescent="0.2">
      <c r="B7" s="416"/>
      <c r="C7" s="417"/>
      <c r="D7" s="417"/>
      <c r="E7" s="417"/>
      <c r="F7" s="417"/>
      <c r="G7" s="417"/>
      <c r="H7" s="418"/>
    </row>
    <row r="8" spans="2:9" x14ac:dyDescent="0.2">
      <c r="B8" s="416"/>
      <c r="C8" s="417"/>
      <c r="D8" s="417"/>
      <c r="E8" s="417"/>
      <c r="F8" s="417"/>
      <c r="G8" s="417"/>
      <c r="H8" s="418"/>
    </row>
    <row r="9" spans="2:9" x14ac:dyDescent="0.2">
      <c r="B9" s="416"/>
      <c r="C9" s="417"/>
      <c r="D9" s="417"/>
      <c r="E9" s="417"/>
      <c r="F9" s="417"/>
      <c r="G9" s="417"/>
      <c r="H9" s="418"/>
    </row>
    <row r="10" spans="2:9" x14ac:dyDescent="0.2">
      <c r="B10" s="416"/>
      <c r="C10" s="417"/>
      <c r="D10" s="417"/>
      <c r="E10" s="417"/>
      <c r="F10" s="417"/>
      <c r="G10" s="417"/>
      <c r="H10" s="418"/>
    </row>
    <row r="11" spans="2:9" x14ac:dyDescent="0.2">
      <c r="B11" s="416"/>
      <c r="C11" s="417"/>
      <c r="D11" s="417"/>
      <c r="E11" s="417"/>
      <c r="F11" s="417"/>
      <c r="G11" s="417"/>
      <c r="H11" s="418"/>
    </row>
    <row r="12" spans="2:9" x14ac:dyDescent="0.2">
      <c r="B12" s="419"/>
      <c r="C12" s="420"/>
      <c r="D12" s="420"/>
      <c r="E12" s="420"/>
      <c r="F12" s="420"/>
      <c r="G12" s="420"/>
      <c r="H12" s="421"/>
    </row>
    <row r="15" spans="2:9" s="141" customFormat="1" x14ac:dyDescent="0.2">
      <c r="B15" s="233"/>
      <c r="C15" s="233" t="s">
        <v>463</v>
      </c>
      <c r="D15" s="233" t="s">
        <v>464</v>
      </c>
      <c r="E15" s="150" t="s">
        <v>461</v>
      </c>
      <c r="G15" s="141" t="s">
        <v>409</v>
      </c>
      <c r="H15" s="141" t="s">
        <v>410</v>
      </c>
      <c r="I15" s="141" t="s">
        <v>411</v>
      </c>
    </row>
    <row r="16" spans="2:9" s="141" customFormat="1" x14ac:dyDescent="0.2">
      <c r="B16" s="541" t="s">
        <v>446</v>
      </c>
      <c r="C16" s="234">
        <v>19</v>
      </c>
      <c r="D16" s="234">
        <v>8</v>
      </c>
      <c r="E16" s="336">
        <v>21</v>
      </c>
      <c r="G16" s="141">
        <f t="shared" ref="G16:G21" si="0">C16^2</f>
        <v>361</v>
      </c>
      <c r="H16" s="141">
        <f t="shared" ref="H16:I21" si="1">D16^2</f>
        <v>64</v>
      </c>
      <c r="I16" s="141">
        <f t="shared" si="1"/>
        <v>441</v>
      </c>
    </row>
    <row r="17" spans="2:17" s="141" customFormat="1" x14ac:dyDescent="0.2">
      <c r="B17" s="542"/>
      <c r="C17" s="235">
        <v>18</v>
      </c>
      <c r="D17" s="235">
        <v>10</v>
      </c>
      <c r="E17" s="152">
        <v>31</v>
      </c>
      <c r="G17" s="141">
        <f t="shared" si="0"/>
        <v>324</v>
      </c>
      <c r="H17" s="141">
        <f t="shared" si="1"/>
        <v>100</v>
      </c>
      <c r="I17" s="141">
        <f t="shared" si="1"/>
        <v>961</v>
      </c>
    </row>
    <row r="18" spans="2:17" s="141" customFormat="1" x14ac:dyDescent="0.2">
      <c r="B18" s="543"/>
      <c r="C18" s="236">
        <v>25</v>
      </c>
      <c r="D18" s="236">
        <v>10</v>
      </c>
      <c r="E18" s="154">
        <v>26</v>
      </c>
      <c r="G18" s="141">
        <f t="shared" si="0"/>
        <v>625</v>
      </c>
      <c r="H18" s="141">
        <f t="shared" si="1"/>
        <v>100</v>
      </c>
      <c r="I18" s="141">
        <f t="shared" si="1"/>
        <v>676</v>
      </c>
    </row>
    <row r="19" spans="2:17" s="141" customFormat="1" x14ac:dyDescent="0.2">
      <c r="B19" s="541" t="s">
        <v>447</v>
      </c>
      <c r="C19" s="235">
        <v>20</v>
      </c>
      <c r="D19" s="235">
        <v>18</v>
      </c>
      <c r="E19" s="152">
        <v>28</v>
      </c>
      <c r="G19" s="141">
        <f t="shared" si="0"/>
        <v>400</v>
      </c>
      <c r="H19" s="141">
        <f t="shared" si="1"/>
        <v>324</v>
      </c>
      <c r="I19" s="141">
        <f t="shared" si="1"/>
        <v>784</v>
      </c>
    </row>
    <row r="20" spans="2:17" s="141" customFormat="1" x14ac:dyDescent="0.2">
      <c r="B20" s="542"/>
      <c r="C20" s="235">
        <v>17</v>
      </c>
      <c r="D20" s="235">
        <v>7</v>
      </c>
      <c r="E20" s="152">
        <v>14</v>
      </c>
      <c r="G20" s="141">
        <f t="shared" si="0"/>
        <v>289</v>
      </c>
      <c r="H20" s="141">
        <f t="shared" si="1"/>
        <v>49</v>
      </c>
      <c r="I20" s="141">
        <f t="shared" si="1"/>
        <v>196</v>
      </c>
    </row>
    <row r="21" spans="2:17" s="141" customFormat="1" x14ac:dyDescent="0.2">
      <c r="B21" s="543"/>
      <c r="C21" s="236">
        <v>21</v>
      </c>
      <c r="D21" s="236">
        <v>16</v>
      </c>
      <c r="E21" s="154">
        <v>24</v>
      </c>
      <c r="G21" s="141">
        <f t="shared" si="0"/>
        <v>441</v>
      </c>
      <c r="H21" s="141">
        <f t="shared" si="1"/>
        <v>256</v>
      </c>
      <c r="I21" s="141">
        <f t="shared" si="1"/>
        <v>576</v>
      </c>
    </row>
    <row r="22" spans="2:17" s="141" customFormat="1" x14ac:dyDescent="0.2"/>
    <row r="23" spans="2:17" s="141" customFormat="1" ht="15" x14ac:dyDescent="0.25">
      <c r="B23" s="20" t="s">
        <v>442</v>
      </c>
      <c r="C23" s="143" t="s">
        <v>448</v>
      </c>
      <c r="D23" s="326">
        <f>SUM(C16:C18)</f>
        <v>62</v>
      </c>
      <c r="E23" s="326" t="s">
        <v>450</v>
      </c>
      <c r="F23" s="326">
        <f>SUM(D16:D18)</f>
        <v>28</v>
      </c>
      <c r="G23" s="326" t="s">
        <v>452</v>
      </c>
      <c r="H23" s="144">
        <f>SUM(E16:E18)</f>
        <v>78</v>
      </c>
      <c r="J23" s="141">
        <f>SUM(G16:I21)</f>
        <v>6967</v>
      </c>
    </row>
    <row r="24" spans="2:17" s="141" customFormat="1" ht="15" x14ac:dyDescent="0.25">
      <c r="B24" s="20" t="s">
        <v>443</v>
      </c>
      <c r="C24" s="145" t="s">
        <v>449</v>
      </c>
      <c r="D24" s="327">
        <f>SUM(C19:C21)</f>
        <v>58</v>
      </c>
      <c r="E24" s="327" t="s">
        <v>451</v>
      </c>
      <c r="F24" s="327">
        <f>SUM(D19:D21)</f>
        <v>41</v>
      </c>
      <c r="G24" s="327" t="s">
        <v>453</v>
      </c>
      <c r="H24" s="146">
        <f>SUM(E19:E21)</f>
        <v>66</v>
      </c>
      <c r="J24" s="141">
        <f>SUM(D23:D24)+SUM(F23:F24)+SUM(H23:H24)</f>
        <v>333</v>
      </c>
    </row>
    <row r="25" spans="2:17" s="141" customFormat="1" ht="15" x14ac:dyDescent="0.25">
      <c r="B25" s="20" t="s">
        <v>444</v>
      </c>
    </row>
    <row r="26" spans="2:17" s="141" customFormat="1" ht="15" x14ac:dyDescent="0.25">
      <c r="B26" s="20" t="s">
        <v>445</v>
      </c>
    </row>
    <row r="27" spans="2:17" x14ac:dyDescent="0.2">
      <c r="E27" s="328" t="s">
        <v>412</v>
      </c>
      <c r="F27" s="140">
        <f>J23-J24^2/18</f>
        <v>806.5</v>
      </c>
      <c r="L27" s="140" t="s">
        <v>431</v>
      </c>
      <c r="M27" s="140">
        <f>F32/1</f>
        <v>0.5</v>
      </c>
      <c r="N27" s="140" t="s">
        <v>433</v>
      </c>
      <c r="O27" s="140">
        <f>M27/M30</f>
        <v>2.2842639593908604E-2</v>
      </c>
      <c r="P27" s="140" t="s">
        <v>454</v>
      </c>
      <c r="Q27" s="140">
        <f>FINV(0.05,1,12)</f>
        <v>4.7472253467225149</v>
      </c>
    </row>
    <row r="28" spans="2:17" x14ac:dyDescent="0.2">
      <c r="E28" s="328"/>
      <c r="L28" s="140" t="s">
        <v>432</v>
      </c>
      <c r="M28" s="140">
        <f>F37/2</f>
        <v>244.5</v>
      </c>
      <c r="N28" s="140" t="s">
        <v>434</v>
      </c>
      <c r="O28" s="140">
        <f>M28/M30</f>
        <v>11.170050761421306</v>
      </c>
      <c r="P28" s="140" t="s">
        <v>455</v>
      </c>
      <c r="Q28" s="140">
        <f>FINV(0.05,2,12)</f>
        <v>3.8852938346523942</v>
      </c>
    </row>
    <row r="29" spans="2:17" x14ac:dyDescent="0.2">
      <c r="E29" s="328"/>
      <c r="L29" s="140" t="s">
        <v>435</v>
      </c>
      <c r="M29" s="140">
        <f>F49/2</f>
        <v>27.166666666666515</v>
      </c>
      <c r="N29" s="140" t="s">
        <v>436</v>
      </c>
      <c r="O29" s="140">
        <f>M29/M30</f>
        <v>1.2411167512690271</v>
      </c>
      <c r="P29" s="140" t="s">
        <v>455</v>
      </c>
      <c r="Q29" s="140">
        <f>FINV(0.05,2,12)</f>
        <v>3.8852938346523942</v>
      </c>
    </row>
    <row r="30" spans="2:17" x14ac:dyDescent="0.2">
      <c r="E30" s="328"/>
      <c r="L30" s="140" t="s">
        <v>337</v>
      </c>
      <c r="M30" s="140">
        <f>F44/12</f>
        <v>21.888888888888914</v>
      </c>
    </row>
    <row r="31" spans="2:17" ht="15" x14ac:dyDescent="0.25">
      <c r="E31" s="328"/>
      <c r="O31" s="544" t="s">
        <v>456</v>
      </c>
      <c r="P31" s="545"/>
      <c r="Q31" s="546"/>
    </row>
    <row r="32" spans="2:17" ht="15" x14ac:dyDescent="0.25">
      <c r="E32" s="328" t="s">
        <v>413</v>
      </c>
      <c r="F32" s="140">
        <f>((D23+F23+H23)^2+(D24+F24+H24)^2)/9-J24^2/18</f>
        <v>0.5</v>
      </c>
      <c r="O32" s="547" t="s">
        <v>457</v>
      </c>
      <c r="P32" s="548"/>
      <c r="Q32" s="549"/>
    </row>
    <row r="33" spans="5:19" ht="15" x14ac:dyDescent="0.25">
      <c r="O33" s="550" t="s">
        <v>441</v>
      </c>
      <c r="P33" s="551"/>
      <c r="Q33" s="552"/>
    </row>
    <row r="35" spans="5:19" ht="15" customHeight="1" x14ac:dyDescent="0.2">
      <c r="M35" s="553" t="s">
        <v>459</v>
      </c>
      <c r="N35" s="554"/>
      <c r="O35" s="554"/>
      <c r="P35" s="554"/>
      <c r="Q35" s="554"/>
      <c r="R35" s="554"/>
      <c r="S35" s="555"/>
    </row>
    <row r="36" spans="5:19" x14ac:dyDescent="0.2">
      <c r="M36" s="331" t="s">
        <v>458</v>
      </c>
      <c r="N36" s="317"/>
      <c r="O36" s="317"/>
      <c r="P36" s="317"/>
      <c r="Q36" s="317"/>
      <c r="R36" s="317"/>
      <c r="S36" s="332"/>
    </row>
    <row r="37" spans="5:19" x14ac:dyDescent="0.2">
      <c r="E37" s="328" t="s">
        <v>414</v>
      </c>
      <c r="F37" s="140">
        <f>((D23+D24)^2+(F23+F24)^2+(H23+H24)^2)/6-J24^2/18</f>
        <v>489</v>
      </c>
      <c r="M37" s="333" t="s">
        <v>460</v>
      </c>
      <c r="N37" s="334"/>
      <c r="O37" s="334"/>
      <c r="P37" s="334"/>
      <c r="Q37" s="334"/>
      <c r="R37" s="334"/>
      <c r="S37" s="335"/>
    </row>
    <row r="44" spans="5:19" x14ac:dyDescent="0.2">
      <c r="E44" s="328" t="s">
        <v>112</v>
      </c>
      <c r="F44" s="140">
        <f>J23-(D23^2+D24^2+F23^2+F24^2+H23^2+H24^2)/3</f>
        <v>262.66666666666697</v>
      </c>
    </row>
    <row r="49" spans="2:6" x14ac:dyDescent="0.2">
      <c r="E49" s="328" t="s">
        <v>430</v>
      </c>
      <c r="F49" s="140">
        <f>F27-F32-F37-F44</f>
        <v>54.33333333333303</v>
      </c>
    </row>
    <row r="59" spans="2:6" x14ac:dyDescent="0.2">
      <c r="B59" s="140" t="s">
        <v>402</v>
      </c>
    </row>
    <row r="61" spans="2:6" x14ac:dyDescent="0.2">
      <c r="B61" s="140" t="s">
        <v>253</v>
      </c>
      <c r="C61" s="140" t="s">
        <v>397</v>
      </c>
      <c r="D61" s="140" t="s">
        <v>398</v>
      </c>
      <c r="E61" s="140" t="s">
        <v>399</v>
      </c>
      <c r="F61" s="140" t="s">
        <v>76</v>
      </c>
    </row>
    <row r="62" spans="2:6" ht="13.5" thickBot="1" x14ac:dyDescent="0.25">
      <c r="B62" s="316" t="s">
        <v>400</v>
      </c>
      <c r="C62" s="316"/>
      <c r="D62" s="316"/>
      <c r="E62" s="316"/>
      <c r="F62" s="316"/>
    </row>
    <row r="63" spans="2:6" x14ac:dyDescent="0.2">
      <c r="B63" s="317" t="s">
        <v>47</v>
      </c>
      <c r="C63" s="317">
        <v>3</v>
      </c>
      <c r="D63" s="317">
        <v>3</v>
      </c>
      <c r="E63" s="317">
        <v>3</v>
      </c>
      <c r="F63" s="317">
        <v>9</v>
      </c>
    </row>
    <row r="64" spans="2:6" x14ac:dyDescent="0.2">
      <c r="B64" s="317" t="s">
        <v>46</v>
      </c>
      <c r="C64" s="317">
        <v>62</v>
      </c>
      <c r="D64" s="317">
        <v>28</v>
      </c>
      <c r="E64" s="317">
        <v>78</v>
      </c>
      <c r="F64" s="317">
        <v>168</v>
      </c>
    </row>
    <row r="65" spans="2:6" x14ac:dyDescent="0.2">
      <c r="B65" s="317" t="s">
        <v>255</v>
      </c>
      <c r="C65" s="317">
        <v>20.666666666666668</v>
      </c>
      <c r="D65" s="317">
        <v>9.3333333333333339</v>
      </c>
      <c r="E65" s="317">
        <v>26</v>
      </c>
      <c r="F65" s="317">
        <v>18.666666666666668</v>
      </c>
    </row>
    <row r="66" spans="2:6" x14ac:dyDescent="0.2">
      <c r="B66" s="317" t="s">
        <v>171</v>
      </c>
      <c r="C66" s="317">
        <v>14.333333333333371</v>
      </c>
      <c r="D66" s="317">
        <v>1.3333333333333428</v>
      </c>
      <c r="E66" s="317">
        <v>25</v>
      </c>
      <c r="F66" s="317">
        <v>64.5</v>
      </c>
    </row>
    <row r="67" spans="2:6" x14ac:dyDescent="0.2">
      <c r="B67" s="317"/>
      <c r="C67" s="317"/>
      <c r="D67" s="317"/>
      <c r="E67" s="317"/>
      <c r="F67" s="317"/>
    </row>
    <row r="68" spans="2:6" ht="13.5" thickBot="1" x14ac:dyDescent="0.25">
      <c r="B68" s="316" t="s">
        <v>401</v>
      </c>
      <c r="C68" s="316"/>
      <c r="D68" s="316"/>
      <c r="E68" s="316"/>
      <c r="F68" s="316"/>
    </row>
    <row r="69" spans="2:6" x14ac:dyDescent="0.2">
      <c r="B69" s="317" t="s">
        <v>47</v>
      </c>
      <c r="C69" s="317">
        <v>3</v>
      </c>
      <c r="D69" s="317">
        <v>3</v>
      </c>
      <c r="E69" s="317">
        <v>3</v>
      </c>
      <c r="F69" s="317">
        <v>9</v>
      </c>
    </row>
    <row r="70" spans="2:6" x14ac:dyDescent="0.2">
      <c r="B70" s="317" t="s">
        <v>46</v>
      </c>
      <c r="C70" s="317">
        <v>58</v>
      </c>
      <c r="D70" s="317">
        <v>41</v>
      </c>
      <c r="E70" s="317">
        <v>66</v>
      </c>
      <c r="F70" s="317">
        <v>165</v>
      </c>
    </row>
    <row r="71" spans="2:6" x14ac:dyDescent="0.2">
      <c r="B71" s="317" t="s">
        <v>255</v>
      </c>
      <c r="C71" s="317">
        <v>19.333333333333332</v>
      </c>
      <c r="D71" s="317">
        <v>13.666666666666666</v>
      </c>
      <c r="E71" s="317">
        <v>22</v>
      </c>
      <c r="F71" s="317">
        <v>18.333333333333332</v>
      </c>
    </row>
    <row r="72" spans="2:6" x14ac:dyDescent="0.2">
      <c r="B72" s="317" t="s">
        <v>171</v>
      </c>
      <c r="C72" s="317">
        <v>4.3333333333333712</v>
      </c>
      <c r="D72" s="317">
        <v>34.333333333333314</v>
      </c>
      <c r="E72" s="317">
        <v>52</v>
      </c>
      <c r="F72" s="317">
        <v>36.25</v>
      </c>
    </row>
    <row r="73" spans="2:6" x14ac:dyDescent="0.2">
      <c r="B73" s="317"/>
      <c r="C73" s="317"/>
      <c r="D73" s="317"/>
      <c r="E73" s="317"/>
      <c r="F73" s="317"/>
    </row>
    <row r="74" spans="2:6" ht="13.5" thickBot="1" x14ac:dyDescent="0.25">
      <c r="B74" s="316" t="s">
        <v>76</v>
      </c>
      <c r="C74" s="316"/>
      <c r="D74" s="316"/>
      <c r="E74" s="316"/>
    </row>
    <row r="75" spans="2:6" x14ac:dyDescent="0.2">
      <c r="B75" s="317" t="s">
        <v>47</v>
      </c>
      <c r="C75" s="317">
        <v>6</v>
      </c>
      <c r="D75" s="317">
        <v>6</v>
      </c>
      <c r="E75" s="317">
        <v>6</v>
      </c>
    </row>
    <row r="76" spans="2:6" x14ac:dyDescent="0.2">
      <c r="B76" s="317" t="s">
        <v>46</v>
      </c>
      <c r="C76" s="317">
        <v>120</v>
      </c>
      <c r="D76" s="317">
        <v>69</v>
      </c>
      <c r="E76" s="317">
        <v>144</v>
      </c>
    </row>
    <row r="77" spans="2:6" x14ac:dyDescent="0.2">
      <c r="B77" s="317" t="s">
        <v>255</v>
      </c>
      <c r="C77" s="317">
        <v>20</v>
      </c>
      <c r="D77" s="317">
        <v>11.5</v>
      </c>
      <c r="E77" s="317">
        <v>24</v>
      </c>
    </row>
    <row r="78" spans="2:6" x14ac:dyDescent="0.2">
      <c r="B78" s="317" t="s">
        <v>171</v>
      </c>
      <c r="C78" s="317">
        <v>8</v>
      </c>
      <c r="D78" s="317">
        <v>19.899999999999999</v>
      </c>
      <c r="E78" s="317">
        <v>35.6</v>
      </c>
    </row>
    <row r="79" spans="2:6" x14ac:dyDescent="0.2">
      <c r="B79" s="317"/>
      <c r="C79" s="317"/>
      <c r="D79" s="317"/>
      <c r="E79" s="317"/>
    </row>
    <row r="81" spans="2:14" ht="13.5" thickBot="1" x14ac:dyDescent="0.25">
      <c r="B81" s="156" t="s">
        <v>73</v>
      </c>
      <c r="C81" s="156"/>
      <c r="D81" s="156"/>
      <c r="E81" s="156"/>
      <c r="F81" s="156"/>
      <c r="G81" s="156"/>
      <c r="H81" s="156"/>
    </row>
    <row r="82" spans="2:14" x14ac:dyDescent="0.2">
      <c r="B82" s="318" t="s">
        <v>256</v>
      </c>
      <c r="C82" s="318" t="s">
        <v>79</v>
      </c>
      <c r="D82" s="318" t="s">
        <v>78</v>
      </c>
      <c r="E82" s="318" t="s">
        <v>80</v>
      </c>
      <c r="F82" s="318" t="s">
        <v>81</v>
      </c>
      <c r="G82" s="318" t="s">
        <v>85</v>
      </c>
      <c r="H82" s="318" t="s">
        <v>257</v>
      </c>
      <c r="J82" s="496" t="s">
        <v>462</v>
      </c>
      <c r="K82" s="497"/>
      <c r="L82" s="497"/>
      <c r="M82" s="497"/>
      <c r="N82" s="498"/>
    </row>
    <row r="83" spans="2:14" x14ac:dyDescent="0.2">
      <c r="B83" s="230" t="s">
        <v>403</v>
      </c>
      <c r="C83" s="329">
        <v>0.5</v>
      </c>
      <c r="D83" s="230">
        <v>1</v>
      </c>
      <c r="E83" s="230">
        <v>0.5</v>
      </c>
      <c r="F83" s="329">
        <v>2.2842639593908604E-2</v>
      </c>
      <c r="G83" s="230">
        <v>0.88237799701753095</v>
      </c>
      <c r="H83" s="329">
        <v>4.7472212827415206</v>
      </c>
      <c r="J83" s="499"/>
      <c r="K83" s="500"/>
      <c r="L83" s="500"/>
      <c r="M83" s="500"/>
      <c r="N83" s="501"/>
    </row>
    <row r="84" spans="2:14" x14ac:dyDescent="0.2">
      <c r="B84" s="230" t="s">
        <v>404</v>
      </c>
      <c r="C84" s="329">
        <v>489</v>
      </c>
      <c r="D84" s="230">
        <v>2</v>
      </c>
      <c r="E84" s="230">
        <v>244.5</v>
      </c>
      <c r="F84" s="329">
        <v>11.170050761421306</v>
      </c>
      <c r="G84" s="230">
        <v>1.8208661719691282E-3</v>
      </c>
      <c r="H84" s="329">
        <v>3.8852903117003734</v>
      </c>
      <c r="J84" s="499"/>
      <c r="K84" s="500"/>
      <c r="L84" s="500"/>
      <c r="M84" s="500"/>
      <c r="N84" s="501"/>
    </row>
    <row r="85" spans="2:14" x14ac:dyDescent="0.2">
      <c r="B85" s="230" t="s">
        <v>405</v>
      </c>
      <c r="C85" s="329">
        <v>54.333333333332121</v>
      </c>
      <c r="D85" s="230">
        <v>2</v>
      </c>
      <c r="E85" s="230">
        <v>27.16666666666606</v>
      </c>
      <c r="F85" s="329">
        <v>1.2411167512690064</v>
      </c>
      <c r="G85" s="230">
        <v>0.32364895062187915</v>
      </c>
      <c r="H85" s="329">
        <v>3.8852903117003734</v>
      </c>
      <c r="J85" s="499"/>
      <c r="K85" s="500"/>
      <c r="L85" s="500"/>
      <c r="M85" s="500"/>
      <c r="N85" s="501"/>
    </row>
    <row r="86" spans="2:14" x14ac:dyDescent="0.2">
      <c r="B86" s="230" t="s">
        <v>406</v>
      </c>
      <c r="C86" s="329">
        <v>262.66666666666697</v>
      </c>
      <c r="D86" s="230">
        <v>12</v>
      </c>
      <c r="E86" s="230">
        <v>21.888888888888914</v>
      </c>
      <c r="F86" s="230"/>
      <c r="G86" s="230"/>
      <c r="H86" s="230"/>
      <c r="J86" s="502"/>
      <c r="K86" s="503"/>
      <c r="L86" s="503"/>
      <c r="M86" s="503"/>
      <c r="N86" s="504"/>
    </row>
    <row r="87" spans="2:14" x14ac:dyDescent="0.2">
      <c r="B87" s="230"/>
      <c r="C87" s="329"/>
      <c r="D87" s="230"/>
      <c r="E87" s="230"/>
      <c r="F87" s="230"/>
      <c r="G87" s="230"/>
      <c r="H87" s="230"/>
    </row>
    <row r="88" spans="2:14" ht="13.5" thickBot="1" x14ac:dyDescent="0.25">
      <c r="B88" s="232" t="s">
        <v>76</v>
      </c>
      <c r="C88" s="330">
        <v>806.5</v>
      </c>
      <c r="D88" s="232">
        <v>17</v>
      </c>
      <c r="E88" s="232"/>
      <c r="F88" s="232"/>
      <c r="G88" s="232"/>
      <c r="H88" s="232"/>
    </row>
  </sheetData>
  <mergeCells count="8">
    <mergeCell ref="J82:N86"/>
    <mergeCell ref="B16:B18"/>
    <mergeCell ref="B19:B21"/>
    <mergeCell ref="B2:H12"/>
    <mergeCell ref="O31:Q31"/>
    <mergeCell ref="O32:Q32"/>
    <mergeCell ref="O33:Q33"/>
    <mergeCell ref="M35:S35"/>
  </mergeCells>
  <pageMargins left="0.75" right="0.75" top="1" bottom="1" header="0" footer="0"/>
  <headerFooter alignWithMargins="0"/>
  <ignoredErrors>
    <ignoredError sqref="D23:D24 F23:F24 H23:H24" formulaRange="1"/>
  </ignoredErrors>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2:O59"/>
  <sheetViews>
    <sheetView topLeftCell="A40" workbookViewId="0">
      <selection activeCell="J31" sqref="J31"/>
    </sheetView>
  </sheetViews>
  <sheetFormatPr baseColWidth="10" defaultColWidth="11.42578125" defaultRowHeight="15" x14ac:dyDescent="0.25"/>
  <cols>
    <col min="1" max="1" width="11.42578125" style="20"/>
    <col min="2" max="2" width="13.7109375" style="20" bestFit="1" customWidth="1"/>
    <col min="3" max="16384" width="11.42578125" style="20"/>
  </cols>
  <sheetData>
    <row r="2" spans="2:13" ht="15" customHeight="1" x14ac:dyDescent="0.25">
      <c r="B2" s="413" t="s">
        <v>466</v>
      </c>
      <c r="C2" s="414"/>
      <c r="D2" s="414"/>
      <c r="E2" s="414"/>
      <c r="F2" s="414"/>
      <c r="G2" s="414"/>
      <c r="H2" s="414"/>
      <c r="I2" s="414"/>
      <c r="J2" s="414"/>
      <c r="K2" s="414"/>
      <c r="L2" s="414"/>
      <c r="M2" s="415"/>
    </row>
    <row r="3" spans="2:13" x14ac:dyDescent="0.25">
      <c r="B3" s="416"/>
      <c r="C3" s="417"/>
      <c r="D3" s="417"/>
      <c r="E3" s="417"/>
      <c r="F3" s="417"/>
      <c r="G3" s="417"/>
      <c r="H3" s="417"/>
      <c r="I3" s="417"/>
      <c r="J3" s="417"/>
      <c r="K3" s="417"/>
      <c r="L3" s="417"/>
      <c r="M3" s="418"/>
    </row>
    <row r="4" spans="2:13" x14ac:dyDescent="0.25">
      <c r="B4" s="416"/>
      <c r="C4" s="417"/>
      <c r="D4" s="417"/>
      <c r="E4" s="417"/>
      <c r="F4" s="417"/>
      <c r="G4" s="417"/>
      <c r="H4" s="417"/>
      <c r="I4" s="417"/>
      <c r="J4" s="417"/>
      <c r="K4" s="417"/>
      <c r="L4" s="417"/>
      <c r="M4" s="418"/>
    </row>
    <row r="5" spans="2:13" x14ac:dyDescent="0.25">
      <c r="B5" s="416"/>
      <c r="C5" s="417"/>
      <c r="D5" s="417"/>
      <c r="E5" s="417"/>
      <c r="F5" s="417"/>
      <c r="G5" s="417"/>
      <c r="H5" s="417"/>
      <c r="I5" s="417"/>
      <c r="J5" s="417"/>
      <c r="K5" s="417"/>
      <c r="L5" s="417"/>
      <c r="M5" s="418"/>
    </row>
    <row r="6" spans="2:13" x14ac:dyDescent="0.25">
      <c r="B6" s="416"/>
      <c r="C6" s="417"/>
      <c r="D6" s="417"/>
      <c r="E6" s="417"/>
      <c r="F6" s="417"/>
      <c r="G6" s="417"/>
      <c r="H6" s="417"/>
      <c r="I6" s="417"/>
      <c r="J6" s="417"/>
      <c r="K6" s="417"/>
      <c r="L6" s="417"/>
      <c r="M6" s="418"/>
    </row>
    <row r="7" spans="2:13" x14ac:dyDescent="0.25">
      <c r="B7" s="416"/>
      <c r="C7" s="417"/>
      <c r="D7" s="417"/>
      <c r="E7" s="417"/>
      <c r="F7" s="417"/>
      <c r="G7" s="417"/>
      <c r="H7" s="417"/>
      <c r="I7" s="417"/>
      <c r="J7" s="417"/>
      <c r="K7" s="417"/>
      <c r="L7" s="417"/>
      <c r="M7" s="418"/>
    </row>
    <row r="8" spans="2:13" x14ac:dyDescent="0.25">
      <c r="B8" s="416"/>
      <c r="C8" s="417"/>
      <c r="D8" s="417"/>
      <c r="E8" s="417"/>
      <c r="F8" s="417"/>
      <c r="G8" s="417"/>
      <c r="H8" s="417"/>
      <c r="I8" s="417"/>
      <c r="J8" s="417"/>
      <c r="K8" s="417"/>
      <c r="L8" s="417"/>
      <c r="M8" s="418"/>
    </row>
    <row r="9" spans="2:13" x14ac:dyDescent="0.25">
      <c r="B9" s="416"/>
      <c r="C9" s="417"/>
      <c r="D9" s="417"/>
      <c r="E9" s="417"/>
      <c r="F9" s="417"/>
      <c r="G9" s="417"/>
      <c r="H9" s="417"/>
      <c r="I9" s="417"/>
      <c r="J9" s="417"/>
      <c r="K9" s="417"/>
      <c r="L9" s="417"/>
      <c r="M9" s="418"/>
    </row>
    <row r="10" spans="2:13" x14ac:dyDescent="0.25">
      <c r="B10" s="419"/>
      <c r="C10" s="420"/>
      <c r="D10" s="420"/>
      <c r="E10" s="420"/>
      <c r="F10" s="420"/>
      <c r="G10" s="420"/>
      <c r="H10" s="420"/>
      <c r="I10" s="420"/>
      <c r="J10" s="420"/>
      <c r="K10" s="420"/>
      <c r="L10" s="420"/>
      <c r="M10" s="421"/>
    </row>
    <row r="13" spans="2:13" x14ac:dyDescent="0.25">
      <c r="B13" s="337"/>
      <c r="C13" s="556" t="s">
        <v>467</v>
      </c>
      <c r="D13" s="557"/>
    </row>
    <row r="14" spans="2:13" x14ac:dyDescent="0.25">
      <c r="B14" s="337" t="s">
        <v>417</v>
      </c>
      <c r="C14" s="337" t="s">
        <v>415</v>
      </c>
      <c r="D14" s="44" t="s">
        <v>416</v>
      </c>
      <c r="E14" s="20" t="s">
        <v>428</v>
      </c>
      <c r="F14" s="20" t="s">
        <v>429</v>
      </c>
    </row>
    <row r="15" spans="2:13" x14ac:dyDescent="0.25">
      <c r="B15" s="338">
        <v>1</v>
      </c>
      <c r="C15" s="339">
        <v>3.91</v>
      </c>
      <c r="D15" s="70">
        <v>4.83</v>
      </c>
      <c r="E15" s="320">
        <f>C15^2</f>
        <v>15.288100000000002</v>
      </c>
      <c r="F15" s="320">
        <f>D15^2</f>
        <v>23.328900000000001</v>
      </c>
    </row>
    <row r="16" spans="2:13" x14ac:dyDescent="0.25">
      <c r="B16" s="340">
        <v>1</v>
      </c>
      <c r="C16" s="341">
        <v>5.01</v>
      </c>
      <c r="D16" s="7">
        <v>3.95</v>
      </c>
      <c r="E16" s="320">
        <f t="shared" ref="E16:E29" si="0">C16^2</f>
        <v>25.100099999999998</v>
      </c>
      <c r="F16" s="320">
        <f t="shared" ref="F16:F29" si="1">D16^2</f>
        <v>15.602500000000001</v>
      </c>
    </row>
    <row r="17" spans="2:8" x14ac:dyDescent="0.25">
      <c r="B17" s="340">
        <v>1</v>
      </c>
      <c r="C17" s="341">
        <v>4.47</v>
      </c>
      <c r="D17" s="7">
        <v>4.04</v>
      </c>
      <c r="E17" s="320">
        <f t="shared" si="0"/>
        <v>19.980899999999998</v>
      </c>
      <c r="F17" s="320">
        <f t="shared" si="1"/>
        <v>16.3216</v>
      </c>
    </row>
    <row r="18" spans="2:8" x14ac:dyDescent="0.25">
      <c r="B18" s="340">
        <v>1</v>
      </c>
      <c r="C18" s="341">
        <v>3.33</v>
      </c>
      <c r="D18" s="7">
        <v>3.66</v>
      </c>
      <c r="E18" s="320">
        <f t="shared" si="0"/>
        <v>11.088900000000001</v>
      </c>
      <c r="F18" s="320">
        <f t="shared" si="1"/>
        <v>13.395600000000002</v>
      </c>
    </row>
    <row r="19" spans="2:8" x14ac:dyDescent="0.25">
      <c r="B19" s="342">
        <v>1</v>
      </c>
      <c r="C19" s="343">
        <v>4.71</v>
      </c>
      <c r="D19" s="10">
        <v>9.44</v>
      </c>
      <c r="E19" s="320">
        <f t="shared" si="0"/>
        <v>22.184100000000001</v>
      </c>
      <c r="F19" s="320">
        <f t="shared" si="1"/>
        <v>89.113599999999991</v>
      </c>
    </row>
    <row r="20" spans="2:8" x14ac:dyDescent="0.25">
      <c r="B20" s="338">
        <v>2</v>
      </c>
      <c r="C20" s="341">
        <v>5.65</v>
      </c>
      <c r="D20" s="339">
        <v>9.66</v>
      </c>
      <c r="E20" s="320">
        <f t="shared" si="0"/>
        <v>31.922500000000003</v>
      </c>
      <c r="F20" s="320">
        <f t="shared" si="1"/>
        <v>93.315600000000003</v>
      </c>
    </row>
    <row r="21" spans="2:8" x14ac:dyDescent="0.25">
      <c r="B21" s="340">
        <v>2</v>
      </c>
      <c r="C21" s="341">
        <v>6.49</v>
      </c>
      <c r="D21" s="341">
        <v>7.68</v>
      </c>
      <c r="E21" s="320">
        <f t="shared" si="0"/>
        <v>42.120100000000001</v>
      </c>
      <c r="F21" s="320">
        <f t="shared" si="1"/>
        <v>58.982399999999998</v>
      </c>
    </row>
    <row r="22" spans="2:8" x14ac:dyDescent="0.25">
      <c r="B22" s="340">
        <v>2</v>
      </c>
      <c r="C22" s="341">
        <v>5.5</v>
      </c>
      <c r="D22" s="341">
        <v>9.57</v>
      </c>
      <c r="E22" s="320">
        <f t="shared" si="0"/>
        <v>30.25</v>
      </c>
      <c r="F22" s="320">
        <f t="shared" si="1"/>
        <v>91.584900000000005</v>
      </c>
    </row>
    <row r="23" spans="2:8" x14ac:dyDescent="0.25">
      <c r="B23" s="340">
        <v>2</v>
      </c>
      <c r="C23" s="341">
        <v>5.72</v>
      </c>
      <c r="D23" s="341">
        <v>7.98</v>
      </c>
      <c r="E23" s="320">
        <f t="shared" si="0"/>
        <v>32.718399999999995</v>
      </c>
      <c r="F23" s="320">
        <f t="shared" si="1"/>
        <v>63.680400000000006</v>
      </c>
    </row>
    <row r="24" spans="2:8" x14ac:dyDescent="0.25">
      <c r="B24" s="342">
        <v>2</v>
      </c>
      <c r="C24" s="343">
        <v>5.44</v>
      </c>
      <c r="D24" s="343">
        <v>7.39</v>
      </c>
      <c r="E24" s="320">
        <f t="shared" si="0"/>
        <v>29.593600000000006</v>
      </c>
      <c r="F24" s="320">
        <f t="shared" si="1"/>
        <v>54.612099999999998</v>
      </c>
    </row>
    <row r="25" spans="2:8" x14ac:dyDescent="0.25">
      <c r="B25" s="338">
        <v>3</v>
      </c>
      <c r="C25" s="339">
        <v>4.9400000000000004</v>
      </c>
      <c r="D25" s="339">
        <v>5.92</v>
      </c>
      <c r="E25" s="320">
        <f t="shared" si="0"/>
        <v>24.403600000000004</v>
      </c>
      <c r="F25" s="320">
        <f t="shared" si="1"/>
        <v>35.046399999999998</v>
      </c>
    </row>
    <row r="26" spans="2:8" x14ac:dyDescent="0.25">
      <c r="B26" s="340">
        <v>3</v>
      </c>
      <c r="C26" s="341">
        <v>7.13</v>
      </c>
      <c r="D26" s="341">
        <v>5.48</v>
      </c>
      <c r="E26" s="320">
        <f t="shared" si="0"/>
        <v>50.8369</v>
      </c>
      <c r="F26" s="320">
        <f t="shared" si="1"/>
        <v>30.030400000000004</v>
      </c>
    </row>
    <row r="27" spans="2:8" x14ac:dyDescent="0.25">
      <c r="B27" s="340">
        <v>3</v>
      </c>
      <c r="C27" s="341">
        <v>5.54</v>
      </c>
      <c r="D27" s="341">
        <v>5.19</v>
      </c>
      <c r="E27" s="320">
        <f t="shared" si="0"/>
        <v>30.691600000000001</v>
      </c>
      <c r="F27" s="320">
        <f t="shared" si="1"/>
        <v>26.936100000000003</v>
      </c>
    </row>
    <row r="28" spans="2:8" x14ac:dyDescent="0.25">
      <c r="B28" s="340">
        <v>3</v>
      </c>
      <c r="C28" s="341">
        <v>5.94</v>
      </c>
      <c r="D28" s="341">
        <v>6.12</v>
      </c>
      <c r="E28" s="320">
        <f t="shared" si="0"/>
        <v>35.283600000000007</v>
      </c>
      <c r="F28" s="320">
        <f t="shared" si="1"/>
        <v>37.4544</v>
      </c>
    </row>
    <row r="29" spans="2:8" x14ac:dyDescent="0.25">
      <c r="B29" s="342">
        <v>3</v>
      </c>
      <c r="C29" s="343">
        <v>6.16</v>
      </c>
      <c r="D29" s="343">
        <v>4.45</v>
      </c>
      <c r="E29" s="320">
        <f t="shared" si="0"/>
        <v>37.945599999999999</v>
      </c>
      <c r="F29" s="320">
        <f t="shared" si="1"/>
        <v>19.802500000000002</v>
      </c>
    </row>
    <row r="30" spans="2:8" x14ac:dyDescent="0.25">
      <c r="E30" s="20" t="s">
        <v>278</v>
      </c>
      <c r="F30" s="320">
        <f>SUM(E15:F29)</f>
        <v>1108.6153999999999</v>
      </c>
    </row>
    <row r="32" spans="2:8" x14ac:dyDescent="0.25">
      <c r="B32" s="20" t="s">
        <v>424</v>
      </c>
      <c r="C32" s="20" t="s">
        <v>418</v>
      </c>
      <c r="D32" s="20">
        <f>SUM(C15:C19)</f>
        <v>21.43</v>
      </c>
      <c r="E32" s="20" t="s">
        <v>419</v>
      </c>
      <c r="F32" s="20">
        <f>SUM(D15:D19)</f>
        <v>25.92</v>
      </c>
      <c r="H32" s="20">
        <f>SUM(D32:D34)+SUM(F32:F34)</f>
        <v>175.3</v>
      </c>
    </row>
    <row r="33" spans="2:6" x14ac:dyDescent="0.25">
      <c r="B33" s="20" t="s">
        <v>425</v>
      </c>
      <c r="C33" s="20" t="s">
        <v>420</v>
      </c>
      <c r="D33" s="20">
        <f>SUM(C20:C24)</f>
        <v>28.8</v>
      </c>
      <c r="E33" s="20" t="s">
        <v>422</v>
      </c>
      <c r="F33" s="20">
        <f>SUM(D20:D24)</f>
        <v>42.28</v>
      </c>
    </row>
    <row r="34" spans="2:6" x14ac:dyDescent="0.25">
      <c r="B34" s="20" t="s">
        <v>426</v>
      </c>
      <c r="C34" s="20" t="s">
        <v>421</v>
      </c>
      <c r="D34" s="20">
        <f>SUM(C25:C29)</f>
        <v>29.71</v>
      </c>
      <c r="E34" s="20" t="s">
        <v>423</v>
      </c>
      <c r="F34" s="20">
        <f>SUM(D25:D29)</f>
        <v>27.16</v>
      </c>
    </row>
    <row r="35" spans="2:6" x14ac:dyDescent="0.25">
      <c r="B35" s="20" t="s">
        <v>427</v>
      </c>
    </row>
    <row r="37" spans="2:6" x14ac:dyDescent="0.25">
      <c r="D37" s="20" t="s">
        <v>412</v>
      </c>
      <c r="E37" s="20">
        <f>F30-(H32^2)/30</f>
        <v>84.279066666666495</v>
      </c>
    </row>
    <row r="42" spans="2:6" x14ac:dyDescent="0.25">
      <c r="D42" s="20" t="s">
        <v>413</v>
      </c>
      <c r="E42" s="20">
        <f>((D32+F32)^2+(D33+F33)^2+(D34+F34)^2)/(5*2)-(H32^2)/30</f>
        <v>28.522246666666661</v>
      </c>
    </row>
    <row r="47" spans="2:6" x14ac:dyDescent="0.25">
      <c r="D47" s="20" t="s">
        <v>414</v>
      </c>
      <c r="E47" s="20">
        <f>((D32+D33+D34)^2+(F32+F33+F34)^2)/(3*5)-(H32^2)/30</f>
        <v>7.9258799999997791</v>
      </c>
    </row>
    <row r="51" spans="4:15" x14ac:dyDescent="0.25">
      <c r="J51" s="20" t="s">
        <v>431</v>
      </c>
      <c r="K51" s="20">
        <f>E42/2</f>
        <v>14.26112333333333</v>
      </c>
      <c r="L51" s="20" t="s">
        <v>433</v>
      </c>
      <c r="M51" s="20">
        <f>K51/K54</f>
        <v>9.8015940654396374</v>
      </c>
      <c r="N51" s="20" t="s">
        <v>437</v>
      </c>
      <c r="O51" s="20">
        <f>FINV(0.01,2,24)</f>
        <v>5.6135912114648372</v>
      </c>
    </row>
    <row r="52" spans="4:15" x14ac:dyDescent="0.25">
      <c r="D52" s="20" t="s">
        <v>112</v>
      </c>
      <c r="E52" s="20">
        <f>F30-((D32^2+D33^2+D34^2+F32^2+F33^2+F34^2)/5)</f>
        <v>34.91951999999992</v>
      </c>
      <c r="J52" s="20" t="s">
        <v>432</v>
      </c>
      <c r="K52" s="20">
        <f>E47/1</f>
        <v>7.9258799999997791</v>
      </c>
      <c r="L52" s="20" t="s">
        <v>434</v>
      </c>
      <c r="M52" s="20">
        <f>K52/K54</f>
        <v>5.4474150847432936</v>
      </c>
      <c r="N52" s="20" t="s">
        <v>438</v>
      </c>
      <c r="O52" s="20">
        <f>FINV(0.01,1,24)</f>
        <v>7.8228705933679761</v>
      </c>
    </row>
    <row r="53" spans="4:15" x14ac:dyDescent="0.25">
      <c r="J53" s="20" t="s">
        <v>435</v>
      </c>
      <c r="K53" s="20">
        <f>E56/2</f>
        <v>6.4557100000000673</v>
      </c>
      <c r="L53" s="20" t="s">
        <v>436</v>
      </c>
      <c r="M53" s="20">
        <f>K53/K54</f>
        <v>4.4369750786952968</v>
      </c>
      <c r="N53" s="20" t="s">
        <v>437</v>
      </c>
      <c r="O53" s="20">
        <f>FINV(0.01,2,24)</f>
        <v>5.6135912114648372</v>
      </c>
    </row>
    <row r="54" spans="4:15" x14ac:dyDescent="0.25">
      <c r="J54" s="20" t="s">
        <v>337</v>
      </c>
      <c r="K54" s="20">
        <f>E52/24</f>
        <v>1.4549799999999966</v>
      </c>
    </row>
    <row r="56" spans="4:15" x14ac:dyDescent="0.25">
      <c r="D56" s="20" t="s">
        <v>430</v>
      </c>
      <c r="E56" s="20">
        <f>E37-E42-E47-E52</f>
        <v>12.911420000000135</v>
      </c>
    </row>
    <row r="57" spans="4:15" x14ac:dyDescent="0.25">
      <c r="M57" s="544" t="s">
        <v>439</v>
      </c>
      <c r="N57" s="545"/>
      <c r="O57" s="546"/>
    </row>
    <row r="58" spans="4:15" x14ac:dyDescent="0.25">
      <c r="M58" s="547" t="s">
        <v>440</v>
      </c>
      <c r="N58" s="548"/>
      <c r="O58" s="549"/>
    </row>
    <row r="59" spans="4:15" x14ac:dyDescent="0.25">
      <c r="M59" s="550" t="s">
        <v>441</v>
      </c>
      <c r="N59" s="551"/>
      <c r="O59" s="552"/>
    </row>
  </sheetData>
  <mergeCells count="5">
    <mergeCell ref="M59:O59"/>
    <mergeCell ref="B2:M10"/>
    <mergeCell ref="C13:D13"/>
    <mergeCell ref="M57:O57"/>
    <mergeCell ref="M58:O58"/>
  </mergeCells>
  <pageMargins left="0.7" right="0.7" top="0.75" bottom="0.75" header="0.3" footer="0.3"/>
  <ignoredErrors>
    <ignoredError sqref="D32:D34 F32:F34" formulaRange="1"/>
    <ignoredError sqref="O52" formula="1"/>
  </ignoredErrors>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08"/>
  <sheetViews>
    <sheetView tabSelected="1" workbookViewId="0">
      <selection activeCell="E9" sqref="E9"/>
    </sheetView>
  </sheetViews>
  <sheetFormatPr baseColWidth="10" defaultRowHeight="15" x14ac:dyDescent="0.25"/>
  <cols>
    <col min="1" max="1" width="23.7109375" style="375" bestFit="1" customWidth="1"/>
    <col min="2" max="2" width="17.140625" style="375" bestFit="1" customWidth="1"/>
    <col min="3" max="3" width="19.28515625" style="375" bestFit="1" customWidth="1"/>
    <col min="4" max="4" width="28.28515625" style="375" bestFit="1" customWidth="1"/>
    <col min="5" max="6" width="11.42578125" style="375"/>
    <col min="7" max="7" width="14.140625" style="375" bestFit="1" customWidth="1"/>
    <col min="8" max="9" width="15.5703125" style="375" bestFit="1" customWidth="1"/>
    <col min="10" max="16384" width="11.42578125" style="375"/>
  </cols>
  <sheetData>
    <row r="2" spans="1:11" x14ac:dyDescent="0.25">
      <c r="A2" s="403" t="s">
        <v>527</v>
      </c>
      <c r="B2" s="404" t="s">
        <v>392</v>
      </c>
      <c r="D2" s="406" t="s">
        <v>536</v>
      </c>
    </row>
    <row r="3" spans="1:11" x14ac:dyDescent="0.25">
      <c r="A3" s="375" t="s">
        <v>528</v>
      </c>
      <c r="B3" s="375">
        <v>1E-3</v>
      </c>
      <c r="C3" s="408">
        <v>-3.45</v>
      </c>
      <c r="D3" s="405">
        <f>SUM(H9:H408)</f>
        <v>-334.76296381634853</v>
      </c>
    </row>
    <row r="4" spans="1:11" x14ac:dyDescent="0.25">
      <c r="A4" s="375" t="s">
        <v>529</v>
      </c>
      <c r="B4" s="375">
        <v>1E-3</v>
      </c>
      <c r="C4" s="408">
        <v>2.2899999999999999E-3</v>
      </c>
      <c r="D4" s="405">
        <f>SUM(I9:I408)</f>
        <v>-333.40332558273792</v>
      </c>
    </row>
    <row r="5" spans="1:11" x14ac:dyDescent="0.25">
      <c r="A5" s="375" t="s">
        <v>530</v>
      </c>
      <c r="B5" s="375">
        <v>1E-3</v>
      </c>
      <c r="C5" s="408">
        <v>0.77700000000000002</v>
      </c>
    </row>
    <row r="6" spans="1:11" x14ac:dyDescent="0.25">
      <c r="A6" s="375" t="s">
        <v>531</v>
      </c>
      <c r="B6" s="375">
        <v>1E-3</v>
      </c>
      <c r="C6" s="408">
        <v>-0.56000000000000005</v>
      </c>
    </row>
    <row r="8" spans="1:11" x14ac:dyDescent="0.25">
      <c r="A8" s="374" t="s">
        <v>523</v>
      </c>
      <c r="B8" s="402" t="s">
        <v>524</v>
      </c>
      <c r="C8" s="402" t="s">
        <v>525</v>
      </c>
      <c r="D8" s="402" t="s">
        <v>526</v>
      </c>
      <c r="E8" s="403" t="s">
        <v>532</v>
      </c>
      <c r="F8" s="407" t="s">
        <v>533</v>
      </c>
      <c r="G8" s="407" t="s">
        <v>534</v>
      </c>
      <c r="H8" s="404" t="s">
        <v>535</v>
      </c>
      <c r="I8" s="404" t="s">
        <v>535</v>
      </c>
      <c r="J8" s="6"/>
      <c r="K8" s="6"/>
    </row>
    <row r="9" spans="1:11" x14ac:dyDescent="0.25">
      <c r="A9" s="375">
        <v>0</v>
      </c>
      <c r="B9" s="375">
        <v>380</v>
      </c>
      <c r="C9" s="375">
        <v>3.61</v>
      </c>
      <c r="D9" s="375">
        <v>3</v>
      </c>
      <c r="E9" s="405">
        <f>$B$3+$B$4*B9+$B$5*C9+$B$6*D9</f>
        <v>0.38761000000000001</v>
      </c>
      <c r="F9" s="405">
        <f>EXP(E9)</f>
        <v>1.4734550247576628</v>
      </c>
      <c r="G9" s="405">
        <f>F9/(1+F9)</f>
        <v>0.59570722330074499</v>
      </c>
      <c r="H9" s="405">
        <f>A9*LN(G9)+(1-A9)*LN(1-G9)</f>
        <v>-0.90561596868533067</v>
      </c>
      <c r="I9" s="375">
        <f>A9*($B$3+B9*$B$4+C9*$B$5)+D9*$B$6-LN(1+EXP($B$3+B9*$B$4+C9*$B$5))</f>
        <v>-0.90082993100309117</v>
      </c>
    </row>
    <row r="10" spans="1:11" x14ac:dyDescent="0.25">
      <c r="A10" s="375">
        <v>1</v>
      </c>
      <c r="B10" s="375">
        <v>660</v>
      </c>
      <c r="C10" s="375">
        <v>3.67</v>
      </c>
      <c r="D10" s="375">
        <v>3</v>
      </c>
      <c r="E10" s="405">
        <f t="shared" ref="E10:E73" si="0">$B$3+$B$4*B10+$B$5*C10+$B$6*D10</f>
        <v>0.66766999999999999</v>
      </c>
      <c r="F10" s="405">
        <f t="shared" ref="F10:F73" si="1">EXP(E10)</f>
        <v>1.9496892482407837</v>
      </c>
      <c r="G10" s="405">
        <f t="shared" ref="G10:G73" si="2">F10/(1+F10)</f>
        <v>0.66098123705864698</v>
      </c>
      <c r="H10" s="409">
        <f t="shared" ref="H10:H73" si="3">A10*LN(G10)+(1-A10)*LN(1-G10)</f>
        <v>-0.41402982522373</v>
      </c>
      <c r="I10" s="375">
        <f t="shared" ref="I10:I73" si="4">A10*($B$3+B10*$B$4+C10*$B$5)+D10*$B$6-LN(1+EXP($B$3+B10*$B$4+C10*$B$5))</f>
        <v>-0.4120478902196405</v>
      </c>
    </row>
    <row r="11" spans="1:11" x14ac:dyDescent="0.25">
      <c r="A11" s="375">
        <v>1</v>
      </c>
      <c r="B11" s="375">
        <v>800</v>
      </c>
      <c r="C11" s="375">
        <v>4</v>
      </c>
      <c r="D11" s="375">
        <v>1</v>
      </c>
      <c r="E11" s="405">
        <f t="shared" si="0"/>
        <v>0.80600000000000005</v>
      </c>
      <c r="F11" s="405">
        <f t="shared" si="1"/>
        <v>2.2389343140399323</v>
      </c>
      <c r="G11" s="405">
        <f t="shared" si="2"/>
        <v>0.69125647418496206</v>
      </c>
      <c r="H11" s="409">
        <f t="shared" si="3"/>
        <v>-0.36924436027992313</v>
      </c>
      <c r="I11" s="375">
        <f t="shared" si="4"/>
        <v>-0.36855321052982215</v>
      </c>
    </row>
    <row r="12" spans="1:11" x14ac:dyDescent="0.25">
      <c r="A12" s="375">
        <v>1</v>
      </c>
      <c r="B12" s="375">
        <v>640</v>
      </c>
      <c r="C12" s="375">
        <v>3.19</v>
      </c>
      <c r="D12" s="375">
        <v>4</v>
      </c>
      <c r="E12" s="405">
        <f t="shared" si="0"/>
        <v>0.64819000000000004</v>
      </c>
      <c r="F12" s="405">
        <f t="shared" si="1"/>
        <v>1.9120768359727822</v>
      </c>
      <c r="G12" s="405">
        <f t="shared" si="2"/>
        <v>0.65660246747371653</v>
      </c>
      <c r="H12" s="409">
        <f t="shared" si="3"/>
        <v>-0.42067651596599992</v>
      </c>
      <c r="I12" s="375">
        <f t="shared" si="4"/>
        <v>-0.41805191065387381</v>
      </c>
    </row>
    <row r="13" spans="1:11" x14ac:dyDescent="0.25">
      <c r="A13" s="375">
        <v>0</v>
      </c>
      <c r="B13" s="375">
        <v>520</v>
      </c>
      <c r="C13" s="375">
        <v>2.93</v>
      </c>
      <c r="D13" s="375">
        <v>4</v>
      </c>
      <c r="E13" s="405">
        <f t="shared" si="0"/>
        <v>0.52793000000000001</v>
      </c>
      <c r="F13" s="405">
        <f t="shared" si="1"/>
        <v>1.6954191561070187</v>
      </c>
      <c r="G13" s="405">
        <f t="shared" si="2"/>
        <v>0.62900018806563085</v>
      </c>
      <c r="H13" s="405">
        <f t="shared" si="3"/>
        <v>-0.99155372329027747</v>
      </c>
      <c r="I13" s="375">
        <f t="shared" si="4"/>
        <v>-0.9850395900508343</v>
      </c>
    </row>
    <row r="14" spans="1:11" x14ac:dyDescent="0.25">
      <c r="A14" s="375">
        <v>1</v>
      </c>
      <c r="B14" s="375">
        <v>760</v>
      </c>
      <c r="C14" s="375">
        <v>3</v>
      </c>
      <c r="D14" s="375">
        <v>2</v>
      </c>
      <c r="E14" s="405">
        <f t="shared" si="0"/>
        <v>0.76600000000000001</v>
      </c>
      <c r="F14" s="405">
        <f t="shared" si="1"/>
        <v>2.1511444438853182</v>
      </c>
      <c r="G14" s="405">
        <f t="shared" si="2"/>
        <v>0.68265497891076876</v>
      </c>
      <c r="H14" s="405">
        <f t="shared" si="3"/>
        <v>-0.38176570237358837</v>
      </c>
      <c r="I14" s="375">
        <f t="shared" si="4"/>
        <v>-0.38040082579556045</v>
      </c>
    </row>
    <row r="15" spans="1:11" x14ac:dyDescent="0.25">
      <c r="A15" s="375">
        <v>1</v>
      </c>
      <c r="B15" s="375">
        <v>560</v>
      </c>
      <c r="C15" s="375">
        <v>2.98</v>
      </c>
      <c r="D15" s="375">
        <v>1</v>
      </c>
      <c r="E15" s="405">
        <f t="shared" si="0"/>
        <v>0.56498000000000004</v>
      </c>
      <c r="F15" s="405">
        <f t="shared" si="1"/>
        <v>1.7594125941180478</v>
      </c>
      <c r="G15" s="405">
        <f t="shared" si="2"/>
        <v>0.63760403133203214</v>
      </c>
      <c r="H15" s="405">
        <f t="shared" si="3"/>
        <v>-0.45003782885982091</v>
      </c>
      <c r="I15" s="375">
        <f t="shared" si="4"/>
        <v>-0.44940034037164889</v>
      </c>
    </row>
    <row r="16" spans="1:11" x14ac:dyDescent="0.25">
      <c r="A16" s="375">
        <v>0</v>
      </c>
      <c r="B16" s="375">
        <v>400</v>
      </c>
      <c r="C16" s="375">
        <v>3.08</v>
      </c>
      <c r="D16" s="375">
        <v>2</v>
      </c>
      <c r="E16" s="405">
        <f t="shared" si="0"/>
        <v>0.40608000000000005</v>
      </c>
      <c r="F16" s="405">
        <f t="shared" si="1"/>
        <v>1.500922621464913</v>
      </c>
      <c r="G16" s="405">
        <f t="shared" si="2"/>
        <v>0.6001475649757404</v>
      </c>
      <c r="H16" s="405">
        <f t="shared" si="3"/>
        <v>-0.91665971237844057</v>
      </c>
      <c r="I16" s="375">
        <f t="shared" si="4"/>
        <v>-0.91345989725343579</v>
      </c>
    </row>
    <row r="17" spans="1:9" x14ac:dyDescent="0.25">
      <c r="A17" s="375">
        <v>1</v>
      </c>
      <c r="B17" s="375">
        <v>540</v>
      </c>
      <c r="C17" s="375">
        <v>3.39</v>
      </c>
      <c r="D17" s="375">
        <v>3</v>
      </c>
      <c r="E17" s="405">
        <f t="shared" si="0"/>
        <v>0.54739000000000004</v>
      </c>
      <c r="F17" s="405">
        <f t="shared" si="1"/>
        <v>1.728735125904467</v>
      </c>
      <c r="G17" s="405">
        <f t="shared" si="2"/>
        <v>0.63352983933589391</v>
      </c>
      <c r="H17" s="405">
        <f t="shared" si="3"/>
        <v>-0.45644817798469295</v>
      </c>
      <c r="I17" s="375">
        <f t="shared" si="4"/>
        <v>-0.45454863350941066</v>
      </c>
    </row>
    <row r="18" spans="1:9" x14ac:dyDescent="0.25">
      <c r="A18" s="375">
        <v>0</v>
      </c>
      <c r="B18" s="375">
        <v>700</v>
      </c>
      <c r="C18" s="375">
        <v>3.92</v>
      </c>
      <c r="D18" s="375">
        <v>2</v>
      </c>
      <c r="E18" s="405">
        <f t="shared" si="0"/>
        <v>0.7069200000000001</v>
      </c>
      <c r="F18" s="405">
        <f t="shared" si="1"/>
        <v>2.0277362033001816</v>
      </c>
      <c r="G18" s="405">
        <f t="shared" si="2"/>
        <v>0.66972023556410998</v>
      </c>
      <c r="H18" s="405">
        <f t="shared" si="3"/>
        <v>-1.1078152126586389</v>
      </c>
      <c r="I18" s="375">
        <f t="shared" si="4"/>
        <v>-1.1044762146776557</v>
      </c>
    </row>
    <row r="19" spans="1:9" x14ac:dyDescent="0.25">
      <c r="A19" s="375">
        <v>0</v>
      </c>
      <c r="B19" s="375">
        <v>800</v>
      </c>
      <c r="C19" s="375">
        <v>4</v>
      </c>
      <c r="D19" s="375">
        <v>4</v>
      </c>
      <c r="E19" s="405">
        <f t="shared" si="0"/>
        <v>0.80900000000000005</v>
      </c>
      <c r="F19" s="405">
        <f t="shared" si="1"/>
        <v>2.2456612022692308</v>
      </c>
      <c r="G19" s="405">
        <f t="shared" si="2"/>
        <v>0.69189636943595911</v>
      </c>
      <c r="H19" s="405">
        <f t="shared" si="3"/>
        <v>-1.177319089729238</v>
      </c>
      <c r="I19" s="375">
        <f t="shared" si="4"/>
        <v>-1.1705532105298222</v>
      </c>
    </row>
    <row r="20" spans="1:9" x14ac:dyDescent="0.25">
      <c r="A20" s="375">
        <v>0</v>
      </c>
      <c r="B20" s="375">
        <v>440</v>
      </c>
      <c r="C20" s="375">
        <v>3.22</v>
      </c>
      <c r="D20" s="375">
        <v>1</v>
      </c>
      <c r="E20" s="405">
        <f t="shared" si="0"/>
        <v>0.44522</v>
      </c>
      <c r="F20" s="405">
        <f t="shared" si="1"/>
        <v>1.5608335414423822</v>
      </c>
      <c r="G20" s="405">
        <f t="shared" si="2"/>
        <v>0.60950214693113058</v>
      </c>
      <c r="H20" s="405">
        <f t="shared" si="3"/>
        <v>-0.94033280762053317</v>
      </c>
      <c r="I20" s="375">
        <f t="shared" si="4"/>
        <v>-0.93872342448692514</v>
      </c>
    </row>
    <row r="21" spans="1:9" x14ac:dyDescent="0.25">
      <c r="A21" s="375">
        <v>1</v>
      </c>
      <c r="B21" s="375">
        <v>760</v>
      </c>
      <c r="C21" s="375">
        <v>4</v>
      </c>
      <c r="D21" s="375">
        <v>1</v>
      </c>
      <c r="E21" s="405">
        <f t="shared" si="0"/>
        <v>0.76600000000000001</v>
      </c>
      <c r="F21" s="405">
        <f t="shared" si="1"/>
        <v>2.1511444438853182</v>
      </c>
      <c r="G21" s="405">
        <f t="shared" si="2"/>
        <v>0.68265497891076876</v>
      </c>
      <c r="H21" s="405">
        <f t="shared" si="3"/>
        <v>-0.38176570237358837</v>
      </c>
      <c r="I21" s="375">
        <f t="shared" si="4"/>
        <v>-0.38108315572644424</v>
      </c>
    </row>
    <row r="22" spans="1:9" x14ac:dyDescent="0.25">
      <c r="A22" s="375">
        <v>0</v>
      </c>
      <c r="B22" s="375">
        <v>700</v>
      </c>
      <c r="C22" s="375">
        <v>3.08</v>
      </c>
      <c r="D22" s="375">
        <v>2</v>
      </c>
      <c r="E22" s="405">
        <f t="shared" si="0"/>
        <v>0.70608000000000004</v>
      </c>
      <c r="F22" s="405">
        <f t="shared" si="1"/>
        <v>2.0260336200744757</v>
      </c>
      <c r="G22" s="405">
        <f t="shared" si="2"/>
        <v>0.66953440524716035</v>
      </c>
      <c r="H22" s="405">
        <f t="shared" si="3"/>
        <v>-1.1072527257057909</v>
      </c>
      <c r="I22" s="375">
        <f t="shared" si="4"/>
        <v>-1.1039140995114483</v>
      </c>
    </row>
    <row r="23" spans="1:9" x14ac:dyDescent="0.25">
      <c r="A23" s="375">
        <v>1</v>
      </c>
      <c r="B23" s="375">
        <v>700</v>
      </c>
      <c r="C23" s="375">
        <v>4</v>
      </c>
      <c r="D23" s="375">
        <v>1</v>
      </c>
      <c r="E23" s="405">
        <f t="shared" si="0"/>
        <v>0.70600000000000007</v>
      </c>
      <c r="F23" s="405">
        <f t="shared" si="1"/>
        <v>2.0258715438680048</v>
      </c>
      <c r="G23" s="405">
        <f t="shared" si="2"/>
        <v>0.66951670436026212</v>
      </c>
      <c r="H23" s="405">
        <f t="shared" si="3"/>
        <v>-0.40119916366140351</v>
      </c>
      <c r="I23" s="375">
        <f t="shared" si="4"/>
        <v>-0.40052975760158638</v>
      </c>
    </row>
    <row r="24" spans="1:9" x14ac:dyDescent="0.25">
      <c r="A24" s="375">
        <v>0</v>
      </c>
      <c r="B24" s="375">
        <v>480</v>
      </c>
      <c r="C24" s="375">
        <v>3.44</v>
      </c>
      <c r="D24" s="375">
        <v>3</v>
      </c>
      <c r="E24" s="405">
        <f t="shared" si="0"/>
        <v>0.48743999999999998</v>
      </c>
      <c r="F24" s="405">
        <f t="shared" si="1"/>
        <v>1.6281428346447153</v>
      </c>
      <c r="G24" s="405">
        <f t="shared" si="2"/>
        <v>0.6195031766090503</v>
      </c>
      <c r="H24" s="405">
        <f t="shared" si="3"/>
        <v>-0.96627745022786127</v>
      </c>
      <c r="I24" s="375">
        <f t="shared" si="4"/>
        <v>-0.96142000168668562</v>
      </c>
    </row>
    <row r="25" spans="1:9" x14ac:dyDescent="0.25">
      <c r="A25" s="375">
        <v>0</v>
      </c>
      <c r="B25" s="375">
        <v>780</v>
      </c>
      <c r="C25" s="375">
        <v>3.87</v>
      </c>
      <c r="D25" s="375">
        <v>4</v>
      </c>
      <c r="E25" s="405">
        <f t="shared" si="0"/>
        <v>0.78887000000000007</v>
      </c>
      <c r="F25" s="405">
        <f t="shared" si="1"/>
        <v>2.2009079945229866</v>
      </c>
      <c r="G25" s="405">
        <f t="shared" si="2"/>
        <v>0.68758864618693161</v>
      </c>
      <c r="H25" s="405">
        <f t="shared" si="3"/>
        <v>-1.1634345178451821</v>
      </c>
      <c r="I25" s="375">
        <f t="shared" si="4"/>
        <v>-1.1566858826034183</v>
      </c>
    </row>
    <row r="26" spans="1:9" x14ac:dyDescent="0.25">
      <c r="A26" s="375">
        <v>0</v>
      </c>
      <c r="B26" s="375">
        <v>360</v>
      </c>
      <c r="C26" s="375">
        <v>2.56</v>
      </c>
      <c r="D26" s="375">
        <v>3</v>
      </c>
      <c r="E26" s="405">
        <f t="shared" si="0"/>
        <v>0.36656</v>
      </c>
      <c r="F26" s="405">
        <f t="shared" si="1"/>
        <v>1.4427629637311956</v>
      </c>
      <c r="G26" s="405">
        <f t="shared" si="2"/>
        <v>0.59062749237341028</v>
      </c>
      <c r="H26" s="405">
        <f t="shared" si="3"/>
        <v>-0.89312976085154561</v>
      </c>
      <c r="I26" s="375">
        <f t="shared" si="4"/>
        <v>-0.88835896661122915</v>
      </c>
    </row>
    <row r="27" spans="1:9" x14ac:dyDescent="0.25">
      <c r="A27" s="375">
        <v>0</v>
      </c>
      <c r="B27" s="375">
        <v>800</v>
      </c>
      <c r="C27" s="375">
        <v>3.75</v>
      </c>
      <c r="D27" s="375">
        <v>2</v>
      </c>
      <c r="E27" s="405">
        <f t="shared" si="0"/>
        <v>0.80675000000000008</v>
      </c>
      <c r="F27" s="405">
        <f t="shared" si="1"/>
        <v>2.2406141446331929</v>
      </c>
      <c r="G27" s="405">
        <f t="shared" si="2"/>
        <v>0.69141651694136186</v>
      </c>
      <c r="H27" s="405">
        <f t="shared" si="3"/>
        <v>-1.1757628626544665</v>
      </c>
      <c r="I27" s="375">
        <f t="shared" si="4"/>
        <v>-1.1723804564488862</v>
      </c>
    </row>
    <row r="28" spans="1:9" x14ac:dyDescent="0.25">
      <c r="A28" s="375">
        <v>1</v>
      </c>
      <c r="B28" s="375">
        <v>540</v>
      </c>
      <c r="C28" s="375">
        <v>3.81</v>
      </c>
      <c r="D28" s="375">
        <v>1</v>
      </c>
      <c r="E28" s="405">
        <f t="shared" si="0"/>
        <v>0.54581000000000002</v>
      </c>
      <c r="F28" s="405">
        <f t="shared" si="1"/>
        <v>1.7260058810767258</v>
      </c>
      <c r="G28" s="405">
        <f t="shared" si="2"/>
        <v>0.63316293374795762</v>
      </c>
      <c r="H28" s="405">
        <f t="shared" si="3"/>
        <v>-0.45702749067360049</v>
      </c>
      <c r="I28" s="375">
        <f t="shared" si="4"/>
        <v>-0.45639444388397521</v>
      </c>
    </row>
    <row r="29" spans="1:9" x14ac:dyDescent="0.25">
      <c r="A29" s="375">
        <v>0</v>
      </c>
      <c r="B29" s="375">
        <v>500</v>
      </c>
      <c r="C29" s="375">
        <v>3.17</v>
      </c>
      <c r="D29" s="375">
        <v>3</v>
      </c>
      <c r="E29" s="405">
        <f t="shared" si="0"/>
        <v>0.50717000000000001</v>
      </c>
      <c r="F29" s="405">
        <f t="shared" si="1"/>
        <v>1.6605850831532738</v>
      </c>
      <c r="G29" s="405">
        <f t="shared" si="2"/>
        <v>0.62414282244459574</v>
      </c>
      <c r="H29" s="405">
        <f t="shared" si="3"/>
        <v>-0.97854605467947664</v>
      </c>
      <c r="I29" s="375">
        <f t="shared" si="4"/>
        <v>-0.97367468212244079</v>
      </c>
    </row>
    <row r="30" spans="1:9" x14ac:dyDescent="0.25">
      <c r="A30" s="375">
        <v>1</v>
      </c>
      <c r="B30" s="375">
        <v>660</v>
      </c>
      <c r="C30" s="375">
        <v>3.63</v>
      </c>
      <c r="D30" s="375">
        <v>2</v>
      </c>
      <c r="E30" s="405">
        <f t="shared" si="0"/>
        <v>0.66663000000000006</v>
      </c>
      <c r="F30" s="405">
        <f t="shared" si="1"/>
        <v>1.9476626254491314</v>
      </c>
      <c r="G30" s="405">
        <f t="shared" si="2"/>
        <v>0.66074814961307471</v>
      </c>
      <c r="H30" s="405">
        <f t="shared" si="3"/>
        <v>-0.41438252593590152</v>
      </c>
      <c r="I30" s="375">
        <f t="shared" si="4"/>
        <v>-0.41306147805277726</v>
      </c>
    </row>
    <row r="31" spans="1:9" x14ac:dyDescent="0.25">
      <c r="A31" s="375">
        <v>0</v>
      </c>
      <c r="B31" s="375">
        <v>600</v>
      </c>
      <c r="C31" s="375">
        <v>2.82</v>
      </c>
      <c r="D31" s="375">
        <v>4</v>
      </c>
      <c r="E31" s="405">
        <f t="shared" si="0"/>
        <v>0.60782000000000003</v>
      </c>
      <c r="F31" s="405">
        <f t="shared" si="1"/>
        <v>1.8364236283892319</v>
      </c>
      <c r="G31" s="405">
        <f t="shared" si="2"/>
        <v>0.64744335437373046</v>
      </c>
      <c r="H31" s="405">
        <f t="shared" si="3"/>
        <v>-1.0425439728280512</v>
      </c>
      <c r="I31" s="375">
        <f t="shared" si="4"/>
        <v>-1.0359560262112972</v>
      </c>
    </row>
    <row r="32" spans="1:9" x14ac:dyDescent="0.25">
      <c r="A32" s="375">
        <v>0</v>
      </c>
      <c r="B32" s="375">
        <v>680</v>
      </c>
      <c r="C32" s="375">
        <v>3.19</v>
      </c>
      <c r="D32" s="375">
        <v>4</v>
      </c>
      <c r="E32" s="405">
        <f t="shared" si="0"/>
        <v>0.68819000000000008</v>
      </c>
      <c r="F32" s="405">
        <f t="shared" si="1"/>
        <v>1.9901101719641636</v>
      </c>
      <c r="G32" s="405">
        <f t="shared" si="2"/>
        <v>0.66556416235890292</v>
      </c>
      <c r="H32" s="405">
        <f t="shared" si="3"/>
        <v>-1.0953102335345253</v>
      </c>
      <c r="I32" s="375">
        <f t="shared" si="4"/>
        <v>-1.0886497583785473</v>
      </c>
    </row>
    <row r="33" spans="1:9" x14ac:dyDescent="0.25">
      <c r="A33" s="375">
        <v>1</v>
      </c>
      <c r="B33" s="375">
        <v>760</v>
      </c>
      <c r="C33" s="375">
        <v>3.35</v>
      </c>
      <c r="D33" s="375">
        <v>2</v>
      </c>
      <c r="E33" s="405">
        <f t="shared" si="0"/>
        <v>0.76634999999999998</v>
      </c>
      <c r="F33" s="405">
        <f t="shared" si="1"/>
        <v>2.151897476213648</v>
      </c>
      <c r="G33" s="405">
        <f t="shared" si="2"/>
        <v>0.68273079706853512</v>
      </c>
      <c r="H33" s="405">
        <f t="shared" si="3"/>
        <v>-0.38165464488466749</v>
      </c>
      <c r="I33" s="375">
        <f t="shared" si="4"/>
        <v>-0.38028961661494864</v>
      </c>
    </row>
    <row r="34" spans="1:9" x14ac:dyDescent="0.25">
      <c r="A34" s="375">
        <v>1</v>
      </c>
      <c r="B34" s="375">
        <v>800</v>
      </c>
      <c r="C34" s="375">
        <v>3.66</v>
      </c>
      <c r="D34" s="375">
        <v>1</v>
      </c>
      <c r="E34" s="405">
        <f t="shared" si="0"/>
        <v>0.80566000000000004</v>
      </c>
      <c r="F34" s="405">
        <f t="shared" si="1"/>
        <v>2.2381732057688968</v>
      </c>
      <c r="G34" s="405">
        <f t="shared" si="2"/>
        <v>0.69118390634000926</v>
      </c>
      <c r="H34" s="405">
        <f t="shared" si="3"/>
        <v>-0.36934934541496661</v>
      </c>
      <c r="I34" s="375">
        <f t="shared" si="4"/>
        <v>-0.36865826824658376</v>
      </c>
    </row>
    <row r="35" spans="1:9" x14ac:dyDescent="0.25">
      <c r="A35" s="375">
        <v>1</v>
      </c>
      <c r="B35" s="375">
        <v>620</v>
      </c>
      <c r="C35" s="375">
        <v>3.61</v>
      </c>
      <c r="D35" s="375">
        <v>1</v>
      </c>
      <c r="E35" s="405">
        <f t="shared" si="0"/>
        <v>0.62561</v>
      </c>
      <c r="F35" s="405">
        <f t="shared" si="1"/>
        <v>1.8693859351241033</v>
      </c>
      <c r="G35" s="405">
        <f t="shared" si="2"/>
        <v>0.65149337781334415</v>
      </c>
      <c r="H35" s="405">
        <f t="shared" si="3"/>
        <v>-0.42848804699177562</v>
      </c>
      <c r="I35" s="375">
        <f t="shared" si="4"/>
        <v>-0.42783666715030266</v>
      </c>
    </row>
    <row r="36" spans="1:9" x14ac:dyDescent="0.25">
      <c r="A36" s="375">
        <v>1</v>
      </c>
      <c r="B36" s="375">
        <v>520</v>
      </c>
      <c r="C36" s="375">
        <v>3.74</v>
      </c>
      <c r="D36" s="375">
        <v>4</v>
      </c>
      <c r="E36" s="405">
        <f t="shared" si="0"/>
        <v>0.52873999999999999</v>
      </c>
      <c r="F36" s="405">
        <f t="shared" si="1"/>
        <v>1.696793001955919</v>
      </c>
      <c r="G36" s="405">
        <f t="shared" si="2"/>
        <v>0.62918918905725274</v>
      </c>
      <c r="H36" s="405">
        <f t="shared" si="3"/>
        <v>-0.46332328999068018</v>
      </c>
      <c r="I36" s="375">
        <f t="shared" si="4"/>
        <v>-0.46080840035769366</v>
      </c>
    </row>
    <row r="37" spans="1:9" x14ac:dyDescent="0.25">
      <c r="A37" s="375">
        <v>1</v>
      </c>
      <c r="B37" s="375">
        <v>780</v>
      </c>
      <c r="C37" s="375">
        <v>3.22</v>
      </c>
      <c r="D37" s="375">
        <v>2</v>
      </c>
      <c r="E37" s="405">
        <f t="shared" si="0"/>
        <v>0.78622000000000003</v>
      </c>
      <c r="F37" s="405">
        <f t="shared" si="1"/>
        <v>2.1950833094538709</v>
      </c>
      <c r="G37" s="405">
        <f t="shared" si="2"/>
        <v>0.68701911557638606</v>
      </c>
      <c r="H37" s="405">
        <f t="shared" si="3"/>
        <v>-0.37539316243599108</v>
      </c>
      <c r="I37" s="375">
        <f t="shared" si="4"/>
        <v>-0.37401955435973366</v>
      </c>
    </row>
    <row r="38" spans="1:9" x14ac:dyDescent="0.25">
      <c r="A38" s="375">
        <v>0</v>
      </c>
      <c r="B38" s="375">
        <v>520</v>
      </c>
      <c r="C38" s="375">
        <v>3.29</v>
      </c>
      <c r="D38" s="375">
        <v>1</v>
      </c>
      <c r="E38" s="405">
        <f t="shared" si="0"/>
        <v>0.52529000000000003</v>
      </c>
      <c r="F38" s="405">
        <f t="shared" si="1"/>
        <v>1.6909491525357878</v>
      </c>
      <c r="G38" s="405">
        <f t="shared" si="2"/>
        <v>0.62838391091200652</v>
      </c>
      <c r="H38" s="405">
        <f t="shared" si="3"/>
        <v>-0.98989397618750041</v>
      </c>
      <c r="I38" s="375">
        <f t="shared" si="4"/>
        <v>-0.98826570904536337</v>
      </c>
    </row>
    <row r="39" spans="1:9" x14ac:dyDescent="0.25">
      <c r="A39" s="375">
        <v>0</v>
      </c>
      <c r="B39" s="375">
        <v>540</v>
      </c>
      <c r="C39" s="375">
        <v>3.78</v>
      </c>
      <c r="D39" s="375">
        <v>4</v>
      </c>
      <c r="E39" s="405">
        <f t="shared" si="0"/>
        <v>0.54878000000000005</v>
      </c>
      <c r="F39" s="405">
        <f t="shared" si="1"/>
        <v>1.7311397385480989</v>
      </c>
      <c r="G39" s="405">
        <f t="shared" si="2"/>
        <v>0.633852495393879</v>
      </c>
      <c r="H39" s="405">
        <f t="shared" si="3"/>
        <v>-1.0047190087212208</v>
      </c>
      <c r="I39" s="375">
        <f t="shared" si="4"/>
        <v>-0.99818545606946762</v>
      </c>
    </row>
    <row r="40" spans="1:9" x14ac:dyDescent="0.25">
      <c r="A40" s="375">
        <v>0</v>
      </c>
      <c r="B40" s="375">
        <v>760</v>
      </c>
      <c r="C40" s="375">
        <v>3.35</v>
      </c>
      <c r="D40" s="375">
        <v>3</v>
      </c>
      <c r="E40" s="405">
        <f t="shared" si="0"/>
        <v>0.76734999999999998</v>
      </c>
      <c r="F40" s="405">
        <f t="shared" si="1"/>
        <v>2.1540504499973392</v>
      </c>
      <c r="G40" s="405">
        <f t="shared" si="2"/>
        <v>0.68294736693230651</v>
      </c>
      <c r="H40" s="405">
        <f t="shared" si="3"/>
        <v>-1.1486874839732677</v>
      </c>
      <c r="I40" s="375">
        <f t="shared" si="4"/>
        <v>-1.1436396166149487</v>
      </c>
    </row>
    <row r="41" spans="1:9" x14ac:dyDescent="0.25">
      <c r="A41" s="375">
        <v>0</v>
      </c>
      <c r="B41" s="375">
        <v>600</v>
      </c>
      <c r="C41" s="375">
        <v>3.4</v>
      </c>
      <c r="D41" s="375">
        <v>3</v>
      </c>
      <c r="E41" s="405">
        <f t="shared" si="0"/>
        <v>0.60739999999999994</v>
      </c>
      <c r="F41" s="405">
        <f t="shared" si="1"/>
        <v>1.8356524924151985</v>
      </c>
      <c r="G41" s="405">
        <f t="shared" si="2"/>
        <v>0.64734747904589884</v>
      </c>
      <c r="H41" s="405">
        <f t="shared" si="3"/>
        <v>-1.0422720667526175</v>
      </c>
      <c r="I41" s="375">
        <f t="shared" si="4"/>
        <v>-1.0373310519171766</v>
      </c>
    </row>
    <row r="42" spans="1:9" x14ac:dyDescent="0.25">
      <c r="A42" s="375">
        <v>1</v>
      </c>
      <c r="B42" s="375">
        <v>800</v>
      </c>
      <c r="C42" s="375">
        <v>4</v>
      </c>
      <c r="D42" s="375">
        <v>3</v>
      </c>
      <c r="E42" s="405">
        <f t="shared" si="0"/>
        <v>0.80800000000000005</v>
      </c>
      <c r="F42" s="405">
        <f t="shared" si="1"/>
        <v>2.2434166635233792</v>
      </c>
      <c r="G42" s="405">
        <f t="shared" si="2"/>
        <v>0.69168315275482284</v>
      </c>
      <c r="H42" s="405">
        <f t="shared" si="3"/>
        <v>-0.36862729996132693</v>
      </c>
      <c r="I42" s="375">
        <f t="shared" si="4"/>
        <v>-0.36655321052982215</v>
      </c>
    </row>
    <row r="43" spans="1:9" x14ac:dyDescent="0.25">
      <c r="A43" s="375">
        <v>0</v>
      </c>
      <c r="B43" s="375">
        <v>360</v>
      </c>
      <c r="C43" s="375">
        <v>3.14</v>
      </c>
      <c r="D43" s="375">
        <v>1</v>
      </c>
      <c r="E43" s="405">
        <f t="shared" si="0"/>
        <v>0.36513999999999996</v>
      </c>
      <c r="F43" s="405">
        <f t="shared" si="1"/>
        <v>1.4407156942280541</v>
      </c>
      <c r="G43" s="405">
        <f t="shared" si="2"/>
        <v>0.59028411118719892</v>
      </c>
      <c r="H43" s="405">
        <f t="shared" si="3"/>
        <v>-0.89229131360257885</v>
      </c>
      <c r="I43" s="375">
        <f t="shared" si="4"/>
        <v>-0.89070115042305509</v>
      </c>
    </row>
    <row r="44" spans="1:9" x14ac:dyDescent="0.25">
      <c r="A44" s="375">
        <v>0</v>
      </c>
      <c r="B44" s="375">
        <v>400</v>
      </c>
      <c r="C44" s="375">
        <v>3.05</v>
      </c>
      <c r="D44" s="375">
        <v>2</v>
      </c>
      <c r="E44" s="405">
        <f t="shared" si="0"/>
        <v>0.40605000000000002</v>
      </c>
      <c r="F44" s="405">
        <f t="shared" si="1"/>
        <v>1.5008775944616772</v>
      </c>
      <c r="G44" s="405">
        <f t="shared" si="2"/>
        <v>0.60014036584015473</v>
      </c>
      <c r="H44" s="405">
        <f t="shared" si="3"/>
        <v>-0.91664170805947809</v>
      </c>
      <c r="I44" s="375">
        <f t="shared" si="4"/>
        <v>-0.91344190733562403</v>
      </c>
    </row>
    <row r="45" spans="1:9" x14ac:dyDescent="0.25">
      <c r="A45" s="375">
        <v>0</v>
      </c>
      <c r="B45" s="375">
        <v>580</v>
      </c>
      <c r="C45" s="375">
        <v>3.25</v>
      </c>
      <c r="D45" s="375">
        <v>1</v>
      </c>
      <c r="E45" s="405">
        <f t="shared" si="0"/>
        <v>0.58524999999999994</v>
      </c>
      <c r="F45" s="405">
        <f t="shared" si="1"/>
        <v>1.7954397894844529</v>
      </c>
      <c r="G45" s="405">
        <f t="shared" si="2"/>
        <v>0.64227453448946425</v>
      </c>
      <c r="H45" s="405">
        <f t="shared" si="3"/>
        <v>-1.0279894428818177</v>
      </c>
      <c r="I45" s="375">
        <f t="shared" si="4"/>
        <v>-1.0263472832371994</v>
      </c>
    </row>
    <row r="46" spans="1:9" x14ac:dyDescent="0.25">
      <c r="A46" s="375">
        <v>0</v>
      </c>
      <c r="B46" s="375">
        <v>520</v>
      </c>
      <c r="C46" s="375">
        <v>2.9</v>
      </c>
      <c r="D46" s="375">
        <v>3</v>
      </c>
      <c r="E46" s="405">
        <f t="shared" si="0"/>
        <v>0.52690000000000003</v>
      </c>
      <c r="F46" s="405">
        <f t="shared" si="1"/>
        <v>1.6936737734026275</v>
      </c>
      <c r="G46" s="405">
        <f t="shared" si="2"/>
        <v>0.62875979642597624</v>
      </c>
      <c r="H46" s="405">
        <f t="shared" si="3"/>
        <v>-0.99090597689278592</v>
      </c>
      <c r="I46" s="375">
        <f t="shared" si="4"/>
        <v>-0.98602074816780627</v>
      </c>
    </row>
    <row r="47" spans="1:9" x14ac:dyDescent="0.25">
      <c r="A47" s="375">
        <v>1</v>
      </c>
      <c r="B47" s="375">
        <v>500</v>
      </c>
      <c r="C47" s="375">
        <v>3.13</v>
      </c>
      <c r="D47" s="375">
        <v>2</v>
      </c>
      <c r="E47" s="405">
        <f t="shared" si="0"/>
        <v>0.50612999999999997</v>
      </c>
      <c r="F47" s="405">
        <f t="shared" si="1"/>
        <v>1.6588589723999663</v>
      </c>
      <c r="G47" s="405">
        <f t="shared" si="2"/>
        <v>0.62389881886162246</v>
      </c>
      <c r="H47" s="405">
        <f t="shared" si="3"/>
        <v>-0.47176707302054238</v>
      </c>
      <c r="I47" s="375">
        <f t="shared" si="4"/>
        <v>-0.47051974475844782</v>
      </c>
    </row>
    <row r="48" spans="1:9" x14ac:dyDescent="0.25">
      <c r="A48" s="375">
        <v>1</v>
      </c>
      <c r="B48" s="375">
        <v>520</v>
      </c>
      <c r="C48" s="375">
        <v>2.68</v>
      </c>
      <c r="D48" s="375">
        <v>3</v>
      </c>
      <c r="E48" s="405">
        <f t="shared" si="0"/>
        <v>0.52668000000000004</v>
      </c>
      <c r="F48" s="405">
        <f t="shared" si="1"/>
        <v>1.6933012061563788</v>
      </c>
      <c r="G48" s="405">
        <f t="shared" si="2"/>
        <v>0.62870844237020773</v>
      </c>
      <c r="H48" s="405">
        <f t="shared" si="3"/>
        <v>-0.46408765538646518</v>
      </c>
      <c r="I48" s="375">
        <f t="shared" si="4"/>
        <v>-0.46220258078305909</v>
      </c>
    </row>
    <row r="49" spans="1:9" x14ac:dyDescent="0.25">
      <c r="A49" s="375">
        <v>0</v>
      </c>
      <c r="B49" s="375">
        <v>560</v>
      </c>
      <c r="C49" s="375">
        <v>2.42</v>
      </c>
      <c r="D49" s="375">
        <v>2</v>
      </c>
      <c r="E49" s="405">
        <f t="shared" si="0"/>
        <v>0.56542000000000003</v>
      </c>
      <c r="F49" s="405">
        <f t="shared" si="1"/>
        <v>1.7601869059955808</v>
      </c>
      <c r="G49" s="405">
        <f t="shared" si="2"/>
        <v>0.63770569383260411</v>
      </c>
      <c r="H49" s="405">
        <f t="shared" si="3"/>
        <v>-1.0152983969998086</v>
      </c>
      <c r="I49" s="375">
        <f t="shared" si="4"/>
        <v>-1.012023447771208</v>
      </c>
    </row>
    <row r="50" spans="1:9" x14ac:dyDescent="0.25">
      <c r="A50" s="375">
        <v>1</v>
      </c>
      <c r="B50" s="375">
        <v>580</v>
      </c>
      <c r="C50" s="375">
        <v>3.32</v>
      </c>
      <c r="D50" s="375">
        <v>2</v>
      </c>
      <c r="E50" s="405">
        <f t="shared" si="0"/>
        <v>0.58631999999999995</v>
      </c>
      <c r="F50" s="405">
        <f t="shared" si="1"/>
        <v>1.7973619382253887</v>
      </c>
      <c r="G50" s="405">
        <f t="shared" si="2"/>
        <v>0.64252033806022713</v>
      </c>
      <c r="H50" s="405">
        <f t="shared" si="3"/>
        <v>-0.44235680814531059</v>
      </c>
      <c r="I50" s="375">
        <f t="shared" si="4"/>
        <v>-0.44107222693233261</v>
      </c>
    </row>
    <row r="51" spans="1:9" x14ac:dyDescent="0.25">
      <c r="A51" s="375">
        <v>1</v>
      </c>
      <c r="B51" s="375">
        <v>600</v>
      </c>
      <c r="C51" s="375">
        <v>3.15</v>
      </c>
      <c r="D51" s="375">
        <v>2</v>
      </c>
      <c r="E51" s="405">
        <f t="shared" si="0"/>
        <v>0.60614999999999997</v>
      </c>
      <c r="F51" s="405">
        <f t="shared" si="1"/>
        <v>1.8333593603058327</v>
      </c>
      <c r="G51" s="405">
        <f t="shared" si="2"/>
        <v>0.64706206561385138</v>
      </c>
      <c r="H51" s="405">
        <f t="shared" si="3"/>
        <v>-0.43531306077626408</v>
      </c>
      <c r="I51" s="375">
        <f t="shared" si="4"/>
        <v>-0.4340193934800376</v>
      </c>
    </row>
    <row r="52" spans="1:9" x14ac:dyDescent="0.25">
      <c r="A52" s="375">
        <v>0</v>
      </c>
      <c r="B52" s="375">
        <v>500</v>
      </c>
      <c r="C52" s="375">
        <v>3.31</v>
      </c>
      <c r="D52" s="375">
        <v>3</v>
      </c>
      <c r="E52" s="405">
        <f t="shared" si="0"/>
        <v>0.50731000000000004</v>
      </c>
      <c r="F52" s="405">
        <f t="shared" si="1"/>
        <v>1.6608175813394086</v>
      </c>
      <c r="G52" s="405">
        <f t="shared" si="2"/>
        <v>0.62417566427210036</v>
      </c>
      <c r="H52" s="405">
        <f t="shared" si="3"/>
        <v>-0.97863343697356042</v>
      </c>
      <c r="I52" s="375">
        <f t="shared" si="4"/>
        <v>-0.97376196585440356</v>
      </c>
    </row>
    <row r="53" spans="1:9" x14ac:dyDescent="0.25">
      <c r="A53" s="375">
        <v>0</v>
      </c>
      <c r="B53" s="375">
        <v>700</v>
      </c>
      <c r="C53" s="375">
        <v>2.94</v>
      </c>
      <c r="D53" s="375">
        <v>2</v>
      </c>
      <c r="E53" s="405">
        <f t="shared" si="0"/>
        <v>0.70594000000000012</v>
      </c>
      <c r="F53" s="405">
        <f t="shared" si="1"/>
        <v>2.0257499952218687</v>
      </c>
      <c r="G53" s="405">
        <f t="shared" si="2"/>
        <v>0.66950342838001953</v>
      </c>
      <c r="H53" s="405">
        <f t="shared" si="3"/>
        <v>-1.1071589930574202</v>
      </c>
      <c r="I53" s="375">
        <f t="shared" si="4"/>
        <v>-1.1038204288378026</v>
      </c>
    </row>
    <row r="54" spans="1:9" x14ac:dyDescent="0.25">
      <c r="A54" s="375">
        <v>1</v>
      </c>
      <c r="B54" s="375">
        <v>460</v>
      </c>
      <c r="C54" s="375">
        <v>3.45</v>
      </c>
      <c r="D54" s="375">
        <v>3</v>
      </c>
      <c r="E54" s="405">
        <f t="shared" si="0"/>
        <v>0.46745000000000003</v>
      </c>
      <c r="F54" s="405">
        <f t="shared" si="1"/>
        <v>1.5959194055869101</v>
      </c>
      <c r="G54" s="405">
        <f t="shared" si="2"/>
        <v>0.61478002828292333</v>
      </c>
      <c r="H54" s="405">
        <f t="shared" si="3"/>
        <v>-0.48649075274624753</v>
      </c>
      <c r="I54" s="375">
        <f t="shared" si="4"/>
        <v>-0.48464747862066049</v>
      </c>
    </row>
    <row r="55" spans="1:9" x14ac:dyDescent="0.25">
      <c r="A55" s="375">
        <v>1</v>
      </c>
      <c r="B55" s="375">
        <v>580</v>
      </c>
      <c r="C55" s="375">
        <v>3.46</v>
      </c>
      <c r="D55" s="375">
        <v>2</v>
      </c>
      <c r="E55" s="405">
        <f t="shared" si="0"/>
        <v>0.58645999999999998</v>
      </c>
      <c r="F55" s="405">
        <f t="shared" si="1"/>
        <v>1.7976135865117093</v>
      </c>
      <c r="G55" s="405">
        <f t="shared" si="2"/>
        <v>0.64255249373203072</v>
      </c>
      <c r="H55" s="405">
        <f t="shared" si="3"/>
        <v>-0.44230676324355128</v>
      </c>
      <c r="I55" s="375">
        <f t="shared" si="4"/>
        <v>-0.44102211770091215</v>
      </c>
    </row>
    <row r="56" spans="1:9" x14ac:dyDescent="0.25">
      <c r="A56" s="375">
        <v>0</v>
      </c>
      <c r="B56" s="375">
        <v>500</v>
      </c>
      <c r="C56" s="375">
        <v>2.97</v>
      </c>
      <c r="D56" s="375">
        <v>4</v>
      </c>
      <c r="E56" s="405">
        <f t="shared" si="0"/>
        <v>0.50797000000000003</v>
      </c>
      <c r="F56" s="405">
        <f t="shared" si="1"/>
        <v>1.6619140827487546</v>
      </c>
      <c r="G56" s="405">
        <f t="shared" si="2"/>
        <v>0.62433047464575686</v>
      </c>
      <c r="H56" s="405">
        <f t="shared" si="3"/>
        <v>-0.9790454440007994</v>
      </c>
      <c r="I56" s="375">
        <f t="shared" si="4"/>
        <v>-0.9725499990587565</v>
      </c>
    </row>
    <row r="57" spans="1:9" x14ac:dyDescent="0.25">
      <c r="A57" s="375">
        <v>0</v>
      </c>
      <c r="B57" s="375">
        <v>440</v>
      </c>
      <c r="C57" s="375">
        <v>2.48</v>
      </c>
      <c r="D57" s="375">
        <v>4</v>
      </c>
      <c r="E57" s="405">
        <f t="shared" si="0"/>
        <v>0.44747999999999999</v>
      </c>
      <c r="F57" s="405">
        <f t="shared" si="1"/>
        <v>1.5643650143072667</v>
      </c>
      <c r="G57" s="405">
        <f t="shared" si="2"/>
        <v>0.6100399145906541</v>
      </c>
      <c r="H57" s="405">
        <f t="shared" si="3"/>
        <v>-0.94171089020030374</v>
      </c>
      <c r="I57" s="375">
        <f t="shared" si="4"/>
        <v>-0.93527263422904772</v>
      </c>
    </row>
    <row r="58" spans="1:9" x14ac:dyDescent="0.25">
      <c r="A58" s="375">
        <v>0</v>
      </c>
      <c r="B58" s="375">
        <v>400</v>
      </c>
      <c r="C58" s="375">
        <v>3.35</v>
      </c>
      <c r="D58" s="375">
        <v>3</v>
      </c>
      <c r="E58" s="405">
        <f t="shared" si="0"/>
        <v>0.40735000000000005</v>
      </c>
      <c r="F58" s="405">
        <f t="shared" si="1"/>
        <v>1.5028300041257949</v>
      </c>
      <c r="G58" s="405">
        <f t="shared" si="2"/>
        <v>0.60045228866860789</v>
      </c>
      <c r="H58" s="405">
        <f t="shared" si="3"/>
        <v>-0.91742209329372082</v>
      </c>
      <c r="I58" s="375">
        <f t="shared" si="4"/>
        <v>-0.91262181623627359</v>
      </c>
    </row>
    <row r="59" spans="1:9" x14ac:dyDescent="0.25">
      <c r="A59" s="375">
        <v>0</v>
      </c>
      <c r="B59" s="375">
        <v>640</v>
      </c>
      <c r="C59" s="375">
        <v>3.86</v>
      </c>
      <c r="D59" s="375">
        <v>3</v>
      </c>
      <c r="E59" s="405">
        <f t="shared" si="0"/>
        <v>0.64785999999999999</v>
      </c>
      <c r="F59" s="405">
        <f t="shared" si="1"/>
        <v>1.9114459547180433</v>
      </c>
      <c r="G59" s="405">
        <f t="shared" si="2"/>
        <v>0.65652805665875935</v>
      </c>
      <c r="H59" s="405">
        <f t="shared" si="3"/>
        <v>-1.0686498494293064</v>
      </c>
      <c r="I59" s="375">
        <f t="shared" si="4"/>
        <v>-1.0636812803220874</v>
      </c>
    </row>
    <row r="60" spans="1:9" x14ac:dyDescent="0.25">
      <c r="A60" s="375">
        <v>0</v>
      </c>
      <c r="B60" s="375">
        <v>440</v>
      </c>
      <c r="C60" s="375">
        <v>3.13</v>
      </c>
      <c r="D60" s="375">
        <v>4</v>
      </c>
      <c r="E60" s="405">
        <f t="shared" si="0"/>
        <v>0.44813000000000003</v>
      </c>
      <c r="F60" s="405">
        <f t="shared" si="1"/>
        <v>1.5653821821102898</v>
      </c>
      <c r="G60" s="405">
        <f t="shared" si="2"/>
        <v>0.61019453281717362</v>
      </c>
      <c r="H60" s="405">
        <f t="shared" si="3"/>
        <v>-0.94210746639691045</v>
      </c>
      <c r="I60" s="375">
        <f t="shared" si="4"/>
        <v>-0.93566859168103544</v>
      </c>
    </row>
    <row r="61" spans="1:9" x14ac:dyDescent="0.25">
      <c r="A61" s="375">
        <v>0</v>
      </c>
      <c r="B61" s="375">
        <v>740</v>
      </c>
      <c r="C61" s="375">
        <v>3.37</v>
      </c>
      <c r="D61" s="375">
        <v>4</v>
      </c>
      <c r="E61" s="405">
        <f t="shared" si="0"/>
        <v>0.74836999999999998</v>
      </c>
      <c r="F61" s="405">
        <f t="shared" si="1"/>
        <v>2.1135521173868588</v>
      </c>
      <c r="G61" s="405">
        <f t="shared" si="2"/>
        <v>0.67882342665287398</v>
      </c>
      <c r="H61" s="405">
        <f t="shared" si="3"/>
        <v>-1.1357642343541894</v>
      </c>
      <c r="I61" s="375">
        <f t="shared" si="4"/>
        <v>-1.1290506856560496</v>
      </c>
    </row>
    <row r="62" spans="1:9" x14ac:dyDescent="0.25">
      <c r="A62" s="375">
        <v>1</v>
      </c>
      <c r="B62" s="375">
        <v>680</v>
      </c>
      <c r="C62" s="375">
        <v>3.27</v>
      </c>
      <c r="D62" s="375">
        <v>2</v>
      </c>
      <c r="E62" s="405">
        <f t="shared" si="0"/>
        <v>0.68627000000000005</v>
      </c>
      <c r="F62" s="405">
        <f t="shared" si="1"/>
        <v>1.9862928262585582</v>
      </c>
      <c r="G62" s="405">
        <f t="shared" si="2"/>
        <v>0.66513665665772248</v>
      </c>
      <c r="H62" s="405">
        <f t="shared" si="3"/>
        <v>-0.40776276070483808</v>
      </c>
      <c r="I62" s="375">
        <f t="shared" si="4"/>
        <v>-0.40643293294932425</v>
      </c>
    </row>
    <row r="63" spans="1:9" x14ac:dyDescent="0.25">
      <c r="A63" s="375">
        <v>0</v>
      </c>
      <c r="B63" s="375">
        <v>660</v>
      </c>
      <c r="C63" s="375">
        <v>3.34</v>
      </c>
      <c r="D63" s="375">
        <v>3</v>
      </c>
      <c r="E63" s="405">
        <f t="shared" si="0"/>
        <v>0.66734000000000004</v>
      </c>
      <c r="F63" s="405">
        <f t="shared" si="1"/>
        <v>1.9490459569377672</v>
      </c>
      <c r="G63" s="405">
        <f t="shared" si="2"/>
        <v>0.66090728506707275</v>
      </c>
      <c r="H63" s="405">
        <f t="shared" si="3"/>
        <v>-1.0814817136173633</v>
      </c>
      <c r="I63" s="375">
        <f t="shared" si="4"/>
        <v>-1.0765000005762531</v>
      </c>
    </row>
    <row r="64" spans="1:9" x14ac:dyDescent="0.25">
      <c r="A64" s="375">
        <v>1</v>
      </c>
      <c r="B64" s="375">
        <v>740</v>
      </c>
      <c r="C64" s="375">
        <v>4</v>
      </c>
      <c r="D64" s="375">
        <v>3</v>
      </c>
      <c r="E64" s="405">
        <f t="shared" si="0"/>
        <v>0.748</v>
      </c>
      <c r="F64" s="405">
        <f t="shared" si="1"/>
        <v>2.1127702477582266</v>
      </c>
      <c r="G64" s="405">
        <f t="shared" si="2"/>
        <v>0.67874275310868637</v>
      </c>
      <c r="H64" s="405">
        <f t="shared" si="3"/>
        <v>-0.38751308461060441</v>
      </c>
      <c r="I64" s="375">
        <f t="shared" si="4"/>
        <v>-0.38547783793145363</v>
      </c>
    </row>
    <row r="65" spans="1:9" x14ac:dyDescent="0.25">
      <c r="A65" s="375">
        <v>0</v>
      </c>
      <c r="B65" s="375">
        <v>560</v>
      </c>
      <c r="C65" s="375">
        <v>3.19</v>
      </c>
      <c r="D65" s="375">
        <v>3</v>
      </c>
      <c r="E65" s="405">
        <f t="shared" si="0"/>
        <v>0.56719000000000008</v>
      </c>
      <c r="F65" s="405">
        <f t="shared" si="1"/>
        <v>1.7633051956914665</v>
      </c>
      <c r="G65" s="405">
        <f t="shared" si="2"/>
        <v>0.63811452981769956</v>
      </c>
      <c r="H65" s="405">
        <f t="shared" si="3"/>
        <v>-1.0164274979271795</v>
      </c>
      <c r="I65" s="375">
        <f t="shared" si="4"/>
        <v>-1.011514193784167</v>
      </c>
    </row>
    <row r="66" spans="1:9" x14ac:dyDescent="0.25">
      <c r="A66" s="375">
        <v>0</v>
      </c>
      <c r="B66" s="375">
        <v>380</v>
      </c>
      <c r="C66" s="375">
        <v>2.94</v>
      </c>
      <c r="D66" s="375">
        <v>3</v>
      </c>
      <c r="E66" s="405">
        <f t="shared" si="0"/>
        <v>0.38694000000000001</v>
      </c>
      <c r="F66" s="405">
        <f t="shared" si="1"/>
        <v>1.4724681405342077</v>
      </c>
      <c r="G66" s="405">
        <f t="shared" si="2"/>
        <v>0.59554585007354743</v>
      </c>
      <c r="H66" s="405">
        <f t="shared" si="3"/>
        <v>-0.905216898904596</v>
      </c>
      <c r="I66" s="375">
        <f t="shared" si="4"/>
        <v>-0.90043134548059856</v>
      </c>
    </row>
    <row r="67" spans="1:9" x14ac:dyDescent="0.25">
      <c r="A67" s="375">
        <v>0</v>
      </c>
      <c r="B67" s="375">
        <v>400</v>
      </c>
      <c r="C67" s="375">
        <v>3.65</v>
      </c>
      <c r="D67" s="375">
        <v>2</v>
      </c>
      <c r="E67" s="405">
        <f t="shared" si="0"/>
        <v>0.40665000000000001</v>
      </c>
      <c r="F67" s="405">
        <f t="shared" si="1"/>
        <v>1.5017783912303611</v>
      </c>
      <c r="G67" s="405">
        <f t="shared" si="2"/>
        <v>0.6002843403295185</v>
      </c>
      <c r="H67" s="405">
        <f t="shared" si="3"/>
        <v>-0.91700183547219505</v>
      </c>
      <c r="I67" s="375">
        <f t="shared" si="4"/>
        <v>-0.91380174674173431</v>
      </c>
    </row>
    <row r="68" spans="1:9" x14ac:dyDescent="0.25">
      <c r="A68" s="375">
        <v>0</v>
      </c>
      <c r="B68" s="375">
        <v>600</v>
      </c>
      <c r="C68" s="375">
        <v>2.82</v>
      </c>
      <c r="D68" s="375">
        <v>4</v>
      </c>
      <c r="E68" s="405">
        <f t="shared" si="0"/>
        <v>0.60782000000000003</v>
      </c>
      <c r="F68" s="405">
        <f t="shared" si="1"/>
        <v>1.8364236283892319</v>
      </c>
      <c r="G68" s="405">
        <f t="shared" si="2"/>
        <v>0.64744335437373046</v>
      </c>
      <c r="H68" s="405">
        <f t="shared" si="3"/>
        <v>-1.0425439728280512</v>
      </c>
      <c r="I68" s="375">
        <f t="shared" si="4"/>
        <v>-1.0359560262112972</v>
      </c>
    </row>
    <row r="69" spans="1:9" x14ac:dyDescent="0.25">
      <c r="A69" s="375">
        <v>1</v>
      </c>
      <c r="B69" s="375">
        <v>620</v>
      </c>
      <c r="C69" s="375">
        <v>3.18</v>
      </c>
      <c r="D69" s="375">
        <v>2</v>
      </c>
      <c r="E69" s="405">
        <f t="shared" si="0"/>
        <v>0.62617999999999996</v>
      </c>
      <c r="F69" s="405">
        <f t="shared" si="1"/>
        <v>1.8704517888465768</v>
      </c>
      <c r="G69" s="405">
        <f t="shared" si="2"/>
        <v>0.65162278499656456</v>
      </c>
      <c r="H69" s="405">
        <f t="shared" si="3"/>
        <v>-0.42828943509923834</v>
      </c>
      <c r="I69" s="375">
        <f t="shared" si="4"/>
        <v>-0.42698664364203909</v>
      </c>
    </row>
    <row r="70" spans="1:9" x14ac:dyDescent="0.25">
      <c r="A70" s="375">
        <v>0</v>
      </c>
      <c r="B70" s="375">
        <v>560</v>
      </c>
      <c r="C70" s="375">
        <v>3.32</v>
      </c>
      <c r="D70" s="375">
        <v>4</v>
      </c>
      <c r="E70" s="405">
        <f t="shared" si="0"/>
        <v>0.56832000000000005</v>
      </c>
      <c r="F70" s="405">
        <f t="shared" si="1"/>
        <v>1.7652988567689643</v>
      </c>
      <c r="G70" s="405">
        <f t="shared" si="2"/>
        <v>0.63837543361645122</v>
      </c>
      <c r="H70" s="405">
        <f t="shared" si="3"/>
        <v>-1.0171487147641958</v>
      </c>
      <c r="I70" s="375">
        <f t="shared" si="4"/>
        <v>-1.0105970605281736</v>
      </c>
    </row>
    <row r="71" spans="1:9" x14ac:dyDescent="0.25">
      <c r="A71" s="375">
        <v>0</v>
      </c>
      <c r="B71" s="375">
        <v>640</v>
      </c>
      <c r="C71" s="375">
        <v>3.67</v>
      </c>
      <c r="D71" s="375">
        <v>3</v>
      </c>
      <c r="E71" s="405">
        <f t="shared" si="0"/>
        <v>0.64766999999999997</v>
      </c>
      <c r="F71" s="405">
        <f t="shared" si="1"/>
        <v>1.9110828144860612</v>
      </c>
      <c r="G71" s="405">
        <f t="shared" si="2"/>
        <v>0.65648521058081077</v>
      </c>
      <c r="H71" s="405">
        <f t="shared" si="3"/>
        <v>-1.0685251131688784</v>
      </c>
      <c r="I71" s="375">
        <f t="shared" si="4"/>
        <v>-1.0635566726601762</v>
      </c>
    </row>
    <row r="72" spans="1:9" x14ac:dyDescent="0.25">
      <c r="A72" s="375">
        <v>1</v>
      </c>
      <c r="B72" s="375">
        <v>680</v>
      </c>
      <c r="C72" s="375">
        <v>3.85</v>
      </c>
      <c r="D72" s="375">
        <v>3</v>
      </c>
      <c r="E72" s="405">
        <f t="shared" si="0"/>
        <v>0.68785000000000007</v>
      </c>
      <c r="F72" s="405">
        <f t="shared" si="1"/>
        <v>1.9894336495210283</v>
      </c>
      <c r="G72" s="405">
        <f t="shared" si="2"/>
        <v>0.66548847800645405</v>
      </c>
      <c r="H72" s="405">
        <f t="shared" si="3"/>
        <v>-0.40723395458542139</v>
      </c>
      <c r="I72" s="375">
        <f t="shared" si="4"/>
        <v>-0.40523849124374589</v>
      </c>
    </row>
    <row r="73" spans="1:9" x14ac:dyDescent="0.25">
      <c r="A73" s="375">
        <v>0</v>
      </c>
      <c r="B73" s="375">
        <v>580</v>
      </c>
      <c r="C73" s="375">
        <v>4</v>
      </c>
      <c r="D73" s="375">
        <v>3</v>
      </c>
      <c r="E73" s="405">
        <f t="shared" si="0"/>
        <v>0.58799999999999997</v>
      </c>
      <c r="F73" s="405">
        <f t="shared" si="1"/>
        <v>1.8003840441397763</v>
      </c>
      <c r="G73" s="405">
        <f t="shared" si="2"/>
        <v>0.64290612136122893</v>
      </c>
      <c r="H73" s="405">
        <f t="shared" si="3"/>
        <v>-1.0297565663971231</v>
      </c>
      <c r="I73" s="375">
        <f t="shared" si="4"/>
        <v>-1.0248288814283018</v>
      </c>
    </row>
    <row r="74" spans="1:9" x14ac:dyDescent="0.25">
      <c r="A74" s="375">
        <v>0</v>
      </c>
      <c r="B74" s="375">
        <v>600</v>
      </c>
      <c r="C74" s="375">
        <v>3.59</v>
      </c>
      <c r="D74" s="375">
        <v>2</v>
      </c>
      <c r="E74" s="405">
        <f t="shared" ref="E74:E137" si="5">$B$3+$B$4*B74+$B$5*C74+$B$6*D74</f>
        <v>0.60658999999999996</v>
      </c>
      <c r="F74" s="405">
        <f t="shared" ref="F74:F137" si="6">EXP(E74)</f>
        <v>1.8341662159195851</v>
      </c>
      <c r="G74" s="405">
        <f t="shared" ref="G74:G137" si="7">F74/(1+F74)</f>
        <v>0.64716254312009858</v>
      </c>
      <c r="H74" s="405">
        <f t="shared" ref="H74:H137" si="8">A74*LN(G74)+(1-A74)*LN(1-G74)</f>
        <v>-1.0417477901906624</v>
      </c>
      <c r="I74" s="375">
        <f t="shared" ref="I74:I137" si="9">A74*($B$3+B74*$B$4+C74*$B$5)+D74*$B$6-LN(1+EXP($B$3+B74*$B$4+C74*$B$5))</f>
        <v>-1.0384539218803472</v>
      </c>
    </row>
    <row r="75" spans="1:9" x14ac:dyDescent="0.25">
      <c r="A75" s="375">
        <v>0</v>
      </c>
      <c r="B75" s="375">
        <v>740</v>
      </c>
      <c r="C75" s="375">
        <v>3.62</v>
      </c>
      <c r="D75" s="375">
        <v>4</v>
      </c>
      <c r="E75" s="405">
        <f t="shared" si="5"/>
        <v>0.74861999999999995</v>
      </c>
      <c r="F75" s="405">
        <f t="shared" si="6"/>
        <v>2.1140805714702133</v>
      </c>
      <c r="G75" s="405">
        <f t="shared" si="7"/>
        <v>0.67887792976150196</v>
      </c>
      <c r="H75" s="405">
        <f t="shared" si="8"/>
        <v>-1.1359339470238428</v>
      </c>
      <c r="I75" s="375">
        <f t="shared" si="9"/>
        <v>-1.1292201801574813</v>
      </c>
    </row>
    <row r="76" spans="1:9" x14ac:dyDescent="0.25">
      <c r="A76" s="375">
        <v>0</v>
      </c>
      <c r="B76" s="375">
        <v>620</v>
      </c>
      <c r="C76" s="375">
        <v>3.3</v>
      </c>
      <c r="D76" s="375">
        <v>1</v>
      </c>
      <c r="E76" s="405">
        <f t="shared" si="5"/>
        <v>0.62529999999999997</v>
      </c>
      <c r="F76" s="405">
        <f t="shared" si="6"/>
        <v>1.8688065152989279</v>
      </c>
      <c r="G76" s="405">
        <f t="shared" si="7"/>
        <v>0.65142298908373719</v>
      </c>
      <c r="H76" s="405">
        <f t="shared" si="8"/>
        <v>-1.0538960949547356</v>
      </c>
      <c r="I76" s="375">
        <f t="shared" si="9"/>
        <v>-1.0522447855126491</v>
      </c>
    </row>
    <row r="77" spans="1:9" x14ac:dyDescent="0.25">
      <c r="A77" s="375">
        <v>0</v>
      </c>
      <c r="B77" s="375">
        <v>580</v>
      </c>
      <c r="C77" s="375">
        <v>3.69</v>
      </c>
      <c r="D77" s="375">
        <v>1</v>
      </c>
      <c r="E77" s="405">
        <f t="shared" si="5"/>
        <v>0.58568999999999993</v>
      </c>
      <c r="F77" s="405">
        <f t="shared" si="6"/>
        <v>1.796229956815891</v>
      </c>
      <c r="G77" s="405">
        <f t="shared" si="7"/>
        <v>0.64237562166070383</v>
      </c>
      <c r="H77" s="405">
        <f t="shared" si="8"/>
        <v>-1.0282720659166349</v>
      </c>
      <c r="I77" s="375">
        <f t="shared" si="9"/>
        <v>-1.0266298051704645</v>
      </c>
    </row>
    <row r="78" spans="1:9" x14ac:dyDescent="0.25">
      <c r="A78" s="375">
        <v>0</v>
      </c>
      <c r="B78" s="375">
        <v>800</v>
      </c>
      <c r="C78" s="375">
        <v>3.73</v>
      </c>
      <c r="D78" s="375">
        <v>1</v>
      </c>
      <c r="E78" s="405">
        <f t="shared" si="5"/>
        <v>0.80573000000000006</v>
      </c>
      <c r="F78" s="405">
        <f t="shared" si="6"/>
        <v>2.2383298833769532</v>
      </c>
      <c r="G78" s="405">
        <f t="shared" si="7"/>
        <v>0.69119884755002381</v>
      </c>
      <c r="H78" s="405">
        <f t="shared" si="8"/>
        <v>-1.1750577288113551</v>
      </c>
      <c r="I78" s="375">
        <f t="shared" si="9"/>
        <v>-1.1733666366989064</v>
      </c>
    </row>
    <row r="79" spans="1:9" x14ac:dyDescent="0.25">
      <c r="A79" s="375">
        <v>0</v>
      </c>
      <c r="B79" s="375">
        <v>640</v>
      </c>
      <c r="C79" s="375">
        <v>4</v>
      </c>
      <c r="D79" s="375">
        <v>3</v>
      </c>
      <c r="E79" s="405">
        <f t="shared" si="5"/>
        <v>0.64800000000000002</v>
      </c>
      <c r="F79" s="405">
        <f t="shared" si="6"/>
        <v>1.9117135758847483</v>
      </c>
      <c r="G79" s="405">
        <f t="shared" si="7"/>
        <v>0.65655962582235039</v>
      </c>
      <c r="H79" s="405">
        <f t="shared" si="8"/>
        <v>-1.0687417655670963</v>
      </c>
      <c r="I79" s="375">
        <f t="shared" si="9"/>
        <v>-1.063773101707959</v>
      </c>
    </row>
    <row r="80" spans="1:9" x14ac:dyDescent="0.25">
      <c r="A80" s="375">
        <v>0</v>
      </c>
      <c r="B80" s="375">
        <v>300</v>
      </c>
      <c r="C80" s="375">
        <v>2.92</v>
      </c>
      <c r="D80" s="375">
        <v>4</v>
      </c>
      <c r="E80" s="405">
        <f t="shared" si="5"/>
        <v>0.30791999999999997</v>
      </c>
      <c r="F80" s="405">
        <f t="shared" si="6"/>
        <v>1.3605921372121621</v>
      </c>
      <c r="G80" s="405">
        <f t="shared" si="7"/>
        <v>0.57637747570362119</v>
      </c>
      <c r="H80" s="405">
        <f t="shared" si="8"/>
        <v>-0.85891249316434704</v>
      </c>
      <c r="I80" s="375">
        <f t="shared" si="9"/>
        <v>-0.85260893699001195</v>
      </c>
    </row>
    <row r="81" spans="1:9" x14ac:dyDescent="0.25">
      <c r="A81" s="375">
        <v>0</v>
      </c>
      <c r="B81" s="375">
        <v>480</v>
      </c>
      <c r="C81" s="375">
        <v>3.39</v>
      </c>
      <c r="D81" s="375">
        <v>4</v>
      </c>
      <c r="E81" s="405">
        <f t="shared" si="5"/>
        <v>0.48838999999999999</v>
      </c>
      <c r="F81" s="405">
        <f t="shared" si="6"/>
        <v>1.6296903052697922</v>
      </c>
      <c r="G81" s="405">
        <f t="shared" si="7"/>
        <v>0.61972708421366551</v>
      </c>
      <c r="H81" s="405">
        <f t="shared" si="8"/>
        <v>-0.96686608460578094</v>
      </c>
      <c r="I81" s="375">
        <f t="shared" si="9"/>
        <v>-0.9603890621932184</v>
      </c>
    </row>
    <row r="82" spans="1:9" x14ac:dyDescent="0.25">
      <c r="A82" s="375">
        <v>0</v>
      </c>
      <c r="B82" s="375">
        <v>580</v>
      </c>
      <c r="C82" s="375">
        <v>4</v>
      </c>
      <c r="D82" s="375">
        <v>2</v>
      </c>
      <c r="E82" s="405">
        <f t="shared" si="5"/>
        <v>0.58699999999999997</v>
      </c>
      <c r="F82" s="405">
        <f t="shared" si="6"/>
        <v>1.7985845599876695</v>
      </c>
      <c r="G82" s="405">
        <f t="shared" si="7"/>
        <v>0.64267651072712062</v>
      </c>
      <c r="H82" s="405">
        <f t="shared" si="8"/>
        <v>-1.0291137750756147</v>
      </c>
      <c r="I82" s="375">
        <f t="shared" si="9"/>
        <v>-1.0258288814283016</v>
      </c>
    </row>
    <row r="83" spans="1:9" x14ac:dyDescent="0.25">
      <c r="A83" s="375">
        <v>0</v>
      </c>
      <c r="B83" s="375">
        <v>720</v>
      </c>
      <c r="C83" s="375">
        <v>3.45</v>
      </c>
      <c r="D83" s="375">
        <v>4</v>
      </c>
      <c r="E83" s="405">
        <f t="shared" si="5"/>
        <v>0.72844999999999993</v>
      </c>
      <c r="F83" s="405">
        <f t="shared" si="6"/>
        <v>2.0718667241354165</v>
      </c>
      <c r="G83" s="405">
        <f t="shared" si="7"/>
        <v>0.67446504363516868</v>
      </c>
      <c r="H83" s="405">
        <f t="shared" si="8"/>
        <v>-1.1222854302738072</v>
      </c>
      <c r="I83" s="375">
        <f t="shared" si="9"/>
        <v>-1.1155893274113027</v>
      </c>
    </row>
    <row r="84" spans="1:9" x14ac:dyDescent="0.25">
      <c r="A84" s="375">
        <v>0</v>
      </c>
      <c r="B84" s="375">
        <v>720</v>
      </c>
      <c r="C84" s="375">
        <v>4</v>
      </c>
      <c r="D84" s="375">
        <v>3</v>
      </c>
      <c r="E84" s="405">
        <f t="shared" si="5"/>
        <v>0.72799999999999998</v>
      </c>
      <c r="F84" s="405">
        <f t="shared" si="6"/>
        <v>2.0709345938545982</v>
      </c>
      <c r="G84" s="405">
        <f t="shared" si="7"/>
        <v>0.67436623300243825</v>
      </c>
      <c r="H84" s="405">
        <f t="shared" si="8"/>
        <v>-1.1219819432359819</v>
      </c>
      <c r="I84" s="375">
        <f t="shared" si="9"/>
        <v>-1.1169598330652266</v>
      </c>
    </row>
    <row r="85" spans="1:9" x14ac:dyDescent="0.25">
      <c r="A85" s="375">
        <v>0</v>
      </c>
      <c r="B85" s="375">
        <v>560</v>
      </c>
      <c r="C85" s="375">
        <v>3.36</v>
      </c>
      <c r="D85" s="375">
        <v>3</v>
      </c>
      <c r="E85" s="405">
        <f t="shared" si="5"/>
        <v>0.56736000000000009</v>
      </c>
      <c r="F85" s="405">
        <f t="shared" si="6"/>
        <v>1.7636049830559379</v>
      </c>
      <c r="G85" s="405">
        <f t="shared" si="7"/>
        <v>0.63815378603992079</v>
      </c>
      <c r="H85" s="405">
        <f t="shared" si="8"/>
        <v>-1.0165359807340535</v>
      </c>
      <c r="I85" s="375">
        <f t="shared" si="9"/>
        <v>-1.0116225587736387</v>
      </c>
    </row>
    <row r="86" spans="1:9" x14ac:dyDescent="0.25">
      <c r="A86" s="375">
        <v>1</v>
      </c>
      <c r="B86" s="375">
        <v>800</v>
      </c>
      <c r="C86" s="375">
        <v>4</v>
      </c>
      <c r="D86" s="375">
        <v>3</v>
      </c>
      <c r="E86" s="405">
        <f t="shared" si="5"/>
        <v>0.80800000000000005</v>
      </c>
      <c r="F86" s="405">
        <f t="shared" si="6"/>
        <v>2.2434166635233792</v>
      </c>
      <c r="G86" s="405">
        <f t="shared" si="7"/>
        <v>0.69168315275482284</v>
      </c>
      <c r="H86" s="405">
        <f t="shared" si="8"/>
        <v>-0.36862729996132693</v>
      </c>
      <c r="I86" s="375">
        <f t="shared" si="9"/>
        <v>-0.36655321052982215</v>
      </c>
    </row>
    <row r="87" spans="1:9" x14ac:dyDescent="0.25">
      <c r="A87" s="375">
        <v>0</v>
      </c>
      <c r="B87" s="375">
        <v>540</v>
      </c>
      <c r="C87" s="375">
        <v>3.12</v>
      </c>
      <c r="D87" s="375">
        <v>1</v>
      </c>
      <c r="E87" s="405">
        <f t="shared" si="5"/>
        <v>0.54512000000000005</v>
      </c>
      <c r="F87" s="405">
        <f t="shared" si="6"/>
        <v>1.7248153477999977</v>
      </c>
      <c r="G87" s="405">
        <f t="shared" si="7"/>
        <v>0.63300265436063585</v>
      </c>
      <c r="H87" s="405">
        <f t="shared" si="8"/>
        <v>-1.0024006635440106</v>
      </c>
      <c r="I87" s="375">
        <f t="shared" si="9"/>
        <v>-1.0007677770550925</v>
      </c>
    </row>
    <row r="88" spans="1:9" x14ac:dyDescent="0.25">
      <c r="A88" s="375">
        <v>1</v>
      </c>
      <c r="B88" s="375">
        <v>620</v>
      </c>
      <c r="C88" s="375">
        <v>4</v>
      </c>
      <c r="D88" s="375">
        <v>1</v>
      </c>
      <c r="E88" s="405">
        <f t="shared" si="5"/>
        <v>0.626</v>
      </c>
      <c r="F88" s="405">
        <f t="shared" si="6"/>
        <v>1.8701151378240854</v>
      </c>
      <c r="G88" s="405">
        <f t="shared" si="7"/>
        <v>0.65158192198584475</v>
      </c>
      <c r="H88" s="405">
        <f t="shared" si="8"/>
        <v>-0.42835214667557669</v>
      </c>
      <c r="I88" s="375">
        <f t="shared" si="9"/>
        <v>-0.42770067827651859</v>
      </c>
    </row>
    <row r="89" spans="1:9" x14ac:dyDescent="0.25">
      <c r="A89" s="375">
        <v>0</v>
      </c>
      <c r="B89" s="375">
        <v>700</v>
      </c>
      <c r="C89" s="375">
        <v>2.9</v>
      </c>
      <c r="D89" s="375">
        <v>4</v>
      </c>
      <c r="E89" s="405">
        <f t="shared" si="5"/>
        <v>0.70790000000000008</v>
      </c>
      <c r="F89" s="405">
        <f t="shared" si="6"/>
        <v>2.0297243588164999</v>
      </c>
      <c r="G89" s="405">
        <f t="shared" si="7"/>
        <v>0.66993697063892976</v>
      </c>
      <c r="H89" s="405">
        <f t="shared" si="8"/>
        <v>-1.1084716446955698</v>
      </c>
      <c r="I89" s="375">
        <f t="shared" si="9"/>
        <v>-1.1017936665852872</v>
      </c>
    </row>
    <row r="90" spans="1:9" x14ac:dyDescent="0.25">
      <c r="A90" s="375">
        <v>0</v>
      </c>
      <c r="B90" s="375">
        <v>620</v>
      </c>
      <c r="C90" s="375">
        <v>3.07</v>
      </c>
      <c r="D90" s="375">
        <v>2</v>
      </c>
      <c r="E90" s="405">
        <f t="shared" si="5"/>
        <v>0.62607000000000002</v>
      </c>
      <c r="F90" s="405">
        <f t="shared" si="6"/>
        <v>1.8702460504656222</v>
      </c>
      <c r="G90" s="405">
        <f t="shared" si="7"/>
        <v>0.65159781342168344</v>
      </c>
      <c r="H90" s="405">
        <f t="shared" si="8"/>
        <v>-1.054397757966318</v>
      </c>
      <c r="I90" s="375">
        <f t="shared" si="9"/>
        <v>-1.0510950164674</v>
      </c>
    </row>
    <row r="91" spans="1:9" x14ac:dyDescent="0.25">
      <c r="A91" s="375">
        <v>0</v>
      </c>
      <c r="B91" s="375">
        <v>500</v>
      </c>
      <c r="C91" s="375">
        <v>2.71</v>
      </c>
      <c r="D91" s="375">
        <v>2</v>
      </c>
      <c r="E91" s="405">
        <f t="shared" si="5"/>
        <v>0.50570999999999999</v>
      </c>
      <c r="F91" s="405">
        <f t="shared" si="6"/>
        <v>1.6581623979224382</v>
      </c>
      <c r="G91" s="405">
        <f t="shared" si="7"/>
        <v>0.62380026111964493</v>
      </c>
      <c r="H91" s="405">
        <f t="shared" si="8"/>
        <v>-0.97763505621338764</v>
      </c>
      <c r="I91" s="375">
        <f t="shared" si="9"/>
        <v>-0.97438792511554861</v>
      </c>
    </row>
    <row r="92" spans="1:9" x14ac:dyDescent="0.25">
      <c r="A92" s="375">
        <v>0</v>
      </c>
      <c r="B92" s="375">
        <v>380</v>
      </c>
      <c r="C92" s="375">
        <v>2.91</v>
      </c>
      <c r="D92" s="375">
        <v>4</v>
      </c>
      <c r="E92" s="405">
        <f t="shared" si="5"/>
        <v>0.38791000000000003</v>
      </c>
      <c r="F92" s="405">
        <f t="shared" si="6"/>
        <v>1.4738971275771973</v>
      </c>
      <c r="G92" s="405">
        <f t="shared" si="7"/>
        <v>0.59577947326397251</v>
      </c>
      <c r="H92" s="405">
        <f t="shared" si="8"/>
        <v>-0.90579469168991911</v>
      </c>
      <c r="I92" s="375">
        <f t="shared" si="9"/>
        <v>-0.89941350089813898</v>
      </c>
    </row>
    <row r="93" spans="1:9" x14ac:dyDescent="0.25">
      <c r="A93" s="375">
        <v>1</v>
      </c>
      <c r="B93" s="375">
        <v>500</v>
      </c>
      <c r="C93" s="375">
        <v>3.6</v>
      </c>
      <c r="D93" s="375">
        <v>3</v>
      </c>
      <c r="E93" s="405">
        <f t="shared" si="5"/>
        <v>0.50760000000000005</v>
      </c>
      <c r="F93" s="405">
        <f t="shared" si="6"/>
        <v>1.6612992882821278</v>
      </c>
      <c r="G93" s="405">
        <f t="shared" si="7"/>
        <v>0.62424369013922476</v>
      </c>
      <c r="H93" s="405">
        <f t="shared" si="8"/>
        <v>-0.47121445778006815</v>
      </c>
      <c r="I93" s="375">
        <f t="shared" si="9"/>
        <v>-0.46934278250738981</v>
      </c>
    </row>
    <row r="94" spans="1:9" x14ac:dyDescent="0.25">
      <c r="A94" s="375">
        <v>0</v>
      </c>
      <c r="B94" s="375">
        <v>520</v>
      </c>
      <c r="C94" s="375">
        <v>2.98</v>
      </c>
      <c r="D94" s="375">
        <v>2</v>
      </c>
      <c r="E94" s="405">
        <f t="shared" si="5"/>
        <v>0.52598</v>
      </c>
      <c r="F94" s="405">
        <f t="shared" si="6"/>
        <v>1.6921163100740813</v>
      </c>
      <c r="G94" s="405">
        <f t="shared" si="7"/>
        <v>0.62854502375772825</v>
      </c>
      <c r="H94" s="405">
        <f t="shared" si="8"/>
        <v>-0.99032761667160363</v>
      </c>
      <c r="I94" s="375">
        <f t="shared" si="9"/>
        <v>-0.98707099365641227</v>
      </c>
    </row>
    <row r="95" spans="1:9" x14ac:dyDescent="0.25">
      <c r="A95" s="375">
        <v>0</v>
      </c>
      <c r="B95" s="375">
        <v>600</v>
      </c>
      <c r="C95" s="375">
        <v>3.32</v>
      </c>
      <c r="D95" s="375">
        <v>2</v>
      </c>
      <c r="E95" s="405">
        <f t="shared" si="5"/>
        <v>0.60631999999999997</v>
      </c>
      <c r="F95" s="405">
        <f t="shared" si="6"/>
        <v>1.8336710578906288</v>
      </c>
      <c r="G95" s="405">
        <f t="shared" si="7"/>
        <v>0.64710088801048227</v>
      </c>
      <c r="H95" s="405">
        <f t="shared" si="8"/>
        <v>-1.0415730646273493</v>
      </c>
      <c r="I95" s="375">
        <f t="shared" si="9"/>
        <v>-1.0382793196635087</v>
      </c>
    </row>
    <row r="96" spans="1:9" x14ac:dyDescent="0.25">
      <c r="A96" s="375">
        <v>0</v>
      </c>
      <c r="B96" s="375">
        <v>600</v>
      </c>
      <c r="C96" s="375">
        <v>3.48</v>
      </c>
      <c r="D96" s="375">
        <v>2</v>
      </c>
      <c r="E96" s="405">
        <f t="shared" si="5"/>
        <v>0.60648000000000002</v>
      </c>
      <c r="F96" s="405">
        <f t="shared" si="6"/>
        <v>1.8339644687321328</v>
      </c>
      <c r="G96" s="405">
        <f t="shared" si="7"/>
        <v>0.64713742496306492</v>
      </c>
      <c r="H96" s="405">
        <f t="shared" si="8"/>
        <v>-1.0416766036924103</v>
      </c>
      <c r="I96" s="375">
        <f t="shared" si="9"/>
        <v>-1.0383827856331813</v>
      </c>
    </row>
    <row r="97" spans="1:9" x14ac:dyDescent="0.25">
      <c r="A97" s="375">
        <v>0</v>
      </c>
      <c r="B97" s="375">
        <v>700</v>
      </c>
      <c r="C97" s="375">
        <v>3.28</v>
      </c>
      <c r="D97" s="375">
        <v>1</v>
      </c>
      <c r="E97" s="405">
        <f t="shared" si="5"/>
        <v>0.70528000000000002</v>
      </c>
      <c r="F97" s="405">
        <f t="shared" si="6"/>
        <v>2.0244134413363213</v>
      </c>
      <c r="G97" s="405">
        <f t="shared" si="7"/>
        <v>0.6693573747780478</v>
      </c>
      <c r="H97" s="405">
        <f t="shared" si="8"/>
        <v>-1.1067171689905813</v>
      </c>
      <c r="I97" s="375">
        <f t="shared" si="9"/>
        <v>-1.1050479222873342</v>
      </c>
    </row>
    <row r="98" spans="1:9" x14ac:dyDescent="0.25">
      <c r="A98" s="375">
        <v>1</v>
      </c>
      <c r="B98" s="375">
        <v>660</v>
      </c>
      <c r="C98" s="375">
        <v>4</v>
      </c>
      <c r="D98" s="375">
        <v>2</v>
      </c>
      <c r="E98" s="405">
        <f t="shared" si="5"/>
        <v>0.66700000000000004</v>
      </c>
      <c r="F98" s="405">
        <f t="shared" si="6"/>
        <v>1.9483833939544983</v>
      </c>
      <c r="G98" s="405">
        <f t="shared" si="7"/>
        <v>0.6608310838914484</v>
      </c>
      <c r="H98" s="405">
        <f t="shared" si="8"/>
        <v>-0.41425701809440402</v>
      </c>
      <c r="I98" s="375">
        <f t="shared" si="9"/>
        <v>-0.41293580428942156</v>
      </c>
    </row>
    <row r="99" spans="1:9" x14ac:dyDescent="0.25">
      <c r="A99" s="375">
        <v>0</v>
      </c>
      <c r="B99" s="375">
        <v>700</v>
      </c>
      <c r="C99" s="375">
        <v>3.83</v>
      </c>
      <c r="D99" s="375">
        <v>2</v>
      </c>
      <c r="E99" s="405">
        <f t="shared" si="5"/>
        <v>0.70683000000000007</v>
      </c>
      <c r="F99" s="405">
        <f t="shared" si="6"/>
        <v>2.0275537152539695</v>
      </c>
      <c r="G99" s="405">
        <f t="shared" si="7"/>
        <v>0.66970032770628685</v>
      </c>
      <c r="H99" s="405">
        <f t="shared" si="8"/>
        <v>-1.1077549387332872</v>
      </c>
      <c r="I99" s="375">
        <f t="shared" si="9"/>
        <v>-1.1044159805815252</v>
      </c>
    </row>
    <row r="100" spans="1:9" x14ac:dyDescent="0.25">
      <c r="A100" s="375">
        <v>1</v>
      </c>
      <c r="B100" s="375">
        <v>720</v>
      </c>
      <c r="C100" s="375">
        <v>3.64</v>
      </c>
      <c r="D100" s="375">
        <v>1</v>
      </c>
      <c r="E100" s="405">
        <f t="shared" si="5"/>
        <v>0.72563999999999995</v>
      </c>
      <c r="F100" s="405">
        <f t="shared" si="6"/>
        <v>2.066052950817618</v>
      </c>
      <c r="G100" s="405">
        <f t="shared" si="7"/>
        <v>0.67384777235065951</v>
      </c>
      <c r="H100" s="405">
        <f t="shared" si="8"/>
        <v>-0.39475105062587307</v>
      </c>
      <c r="I100" s="375">
        <f t="shared" si="9"/>
        <v>-0.39407731275473157</v>
      </c>
    </row>
    <row r="101" spans="1:9" x14ac:dyDescent="0.25">
      <c r="A101" s="375">
        <v>0</v>
      </c>
      <c r="B101" s="375">
        <v>800</v>
      </c>
      <c r="C101" s="375">
        <v>3.9</v>
      </c>
      <c r="D101" s="375">
        <v>2</v>
      </c>
      <c r="E101" s="405">
        <f t="shared" si="5"/>
        <v>0.80690000000000006</v>
      </c>
      <c r="F101" s="405">
        <f t="shared" si="6"/>
        <v>2.2409502619630572</v>
      </c>
      <c r="G101" s="405">
        <f t="shared" si="7"/>
        <v>0.69144851997997159</v>
      </c>
      <c r="H101" s="405">
        <f t="shared" si="8"/>
        <v>-1.1758665775322583</v>
      </c>
      <c r="I101" s="375">
        <f t="shared" si="9"/>
        <v>-1.1724841072961072</v>
      </c>
    </row>
    <row r="102" spans="1:9" x14ac:dyDescent="0.25">
      <c r="A102" s="375">
        <v>0</v>
      </c>
      <c r="B102" s="375">
        <v>580</v>
      </c>
      <c r="C102" s="375">
        <v>2.93</v>
      </c>
      <c r="D102" s="375">
        <v>2</v>
      </c>
      <c r="E102" s="405">
        <f t="shared" si="5"/>
        <v>0.58592999999999995</v>
      </c>
      <c r="F102" s="405">
        <f t="shared" si="6"/>
        <v>1.7966611037410884</v>
      </c>
      <c r="G102" s="405">
        <f t="shared" si="7"/>
        <v>0.64243075478029787</v>
      </c>
      <c r="H102" s="405">
        <f t="shared" si="8"/>
        <v>-1.0284262426818831</v>
      </c>
      <c r="I102" s="375">
        <f t="shared" si="9"/>
        <v>-1.0251418406864736</v>
      </c>
    </row>
    <row r="103" spans="1:9" x14ac:dyDescent="0.25">
      <c r="A103" s="375">
        <v>1</v>
      </c>
      <c r="B103" s="375">
        <v>660</v>
      </c>
      <c r="C103" s="375">
        <v>3.44</v>
      </c>
      <c r="D103" s="375">
        <v>2</v>
      </c>
      <c r="E103" s="405">
        <f t="shared" si="5"/>
        <v>0.66644000000000003</v>
      </c>
      <c r="F103" s="405">
        <f t="shared" si="6"/>
        <v>1.9472926047033801</v>
      </c>
      <c r="G103" s="405">
        <f t="shared" si="7"/>
        <v>0.66070555790620544</v>
      </c>
      <c r="H103" s="405">
        <f t="shared" si="8"/>
        <v>-0.41444698783364592</v>
      </c>
      <c r="I103" s="375">
        <f t="shared" si="9"/>
        <v>-0.41312602516129837</v>
      </c>
    </row>
    <row r="104" spans="1:9" x14ac:dyDescent="0.25">
      <c r="A104" s="375">
        <v>0</v>
      </c>
      <c r="B104" s="375">
        <v>660</v>
      </c>
      <c r="C104" s="375">
        <v>3.33</v>
      </c>
      <c r="D104" s="375">
        <v>2</v>
      </c>
      <c r="E104" s="405">
        <f t="shared" si="5"/>
        <v>0.66633000000000009</v>
      </c>
      <c r="F104" s="405">
        <f t="shared" si="6"/>
        <v>1.947078414297551</v>
      </c>
      <c r="G104" s="405">
        <f t="shared" si="7"/>
        <v>0.66068089836070598</v>
      </c>
      <c r="H104" s="405">
        <f t="shared" si="8"/>
        <v>-1.0808143115785431</v>
      </c>
      <c r="I104" s="375">
        <f t="shared" si="9"/>
        <v>-1.0774933982411261</v>
      </c>
    </row>
    <row r="105" spans="1:9" x14ac:dyDescent="0.25">
      <c r="A105" s="375">
        <v>0</v>
      </c>
      <c r="B105" s="375">
        <v>640</v>
      </c>
      <c r="C105" s="375">
        <v>3.52</v>
      </c>
      <c r="D105" s="375">
        <v>4</v>
      </c>
      <c r="E105" s="405">
        <f t="shared" si="5"/>
        <v>0.64851999999999999</v>
      </c>
      <c r="F105" s="405">
        <f t="shared" si="6"/>
        <v>1.91270792545269</v>
      </c>
      <c r="G105" s="405">
        <f t="shared" si="7"/>
        <v>0.65667687059814595</v>
      </c>
      <c r="H105" s="405">
        <f t="shared" si="8"/>
        <v>-1.0690832070569936</v>
      </c>
      <c r="I105" s="375">
        <f t="shared" si="9"/>
        <v>-1.0624583039461781</v>
      </c>
    </row>
    <row r="106" spans="1:9" x14ac:dyDescent="0.25">
      <c r="A106" s="375">
        <v>0</v>
      </c>
      <c r="B106" s="375">
        <v>480</v>
      </c>
      <c r="C106" s="375">
        <v>3.57</v>
      </c>
      <c r="D106" s="375">
        <v>2</v>
      </c>
      <c r="E106" s="405">
        <f t="shared" si="5"/>
        <v>0.48657</v>
      </c>
      <c r="F106" s="405">
        <f t="shared" si="6"/>
        <v>1.6267269663705797</v>
      </c>
      <c r="G106" s="405">
        <f t="shared" si="7"/>
        <v>0.61929807977654894</v>
      </c>
      <c r="H106" s="405">
        <f t="shared" si="8"/>
        <v>-0.96573857167824451</v>
      </c>
      <c r="I106" s="375">
        <f t="shared" si="9"/>
        <v>-0.96250044712956706</v>
      </c>
    </row>
    <row r="107" spans="1:9" x14ac:dyDescent="0.25">
      <c r="A107" s="375">
        <v>0</v>
      </c>
      <c r="B107" s="375">
        <v>700</v>
      </c>
      <c r="C107" s="375">
        <v>2.88</v>
      </c>
      <c r="D107" s="375">
        <v>2</v>
      </c>
      <c r="E107" s="405">
        <f t="shared" si="5"/>
        <v>0.70588000000000006</v>
      </c>
      <c r="F107" s="405">
        <f t="shared" si="6"/>
        <v>2.0256284538684324</v>
      </c>
      <c r="G107" s="405">
        <f t="shared" si="7"/>
        <v>0.66949015212973528</v>
      </c>
      <c r="H107" s="405">
        <f t="shared" si="8"/>
        <v>-1.1071188232500035</v>
      </c>
      <c r="I107" s="375">
        <f t="shared" si="9"/>
        <v>-1.1037802855918819</v>
      </c>
    </row>
    <row r="108" spans="1:9" x14ac:dyDescent="0.25">
      <c r="A108" s="375">
        <v>0</v>
      </c>
      <c r="B108" s="375">
        <v>400</v>
      </c>
      <c r="C108" s="375">
        <v>3.31</v>
      </c>
      <c r="D108" s="375">
        <v>3</v>
      </c>
      <c r="E108" s="405">
        <f t="shared" si="5"/>
        <v>0.40731000000000001</v>
      </c>
      <c r="F108" s="405">
        <f t="shared" si="6"/>
        <v>1.5027698921278778</v>
      </c>
      <c r="G108" s="405">
        <f t="shared" si="7"/>
        <v>0.60044269225654179</v>
      </c>
      <c r="H108" s="405">
        <f t="shared" si="8"/>
        <v>-0.9173980753941019</v>
      </c>
      <c r="I108" s="375">
        <f t="shared" si="9"/>
        <v>-0.91259782713454751</v>
      </c>
    </row>
    <row r="109" spans="1:9" x14ac:dyDescent="0.25">
      <c r="A109" s="375">
        <v>0</v>
      </c>
      <c r="B109" s="375">
        <v>340</v>
      </c>
      <c r="C109" s="375">
        <v>3.15</v>
      </c>
      <c r="D109" s="375">
        <v>3</v>
      </c>
      <c r="E109" s="405">
        <f t="shared" si="5"/>
        <v>0.34715000000000001</v>
      </c>
      <c r="F109" s="405">
        <f t="shared" si="6"/>
        <v>1.4150289637967182</v>
      </c>
      <c r="G109" s="405">
        <f t="shared" si="7"/>
        <v>0.58592629115806583</v>
      </c>
      <c r="H109" s="405">
        <f t="shared" si="8"/>
        <v>-0.88171128032318336</v>
      </c>
      <c r="I109" s="375">
        <f t="shared" si="9"/>
        <v>-0.87695459341198667</v>
      </c>
    </row>
    <row r="110" spans="1:9" x14ac:dyDescent="0.25">
      <c r="A110" s="375">
        <v>0</v>
      </c>
      <c r="B110" s="375">
        <v>580</v>
      </c>
      <c r="C110" s="375">
        <v>3.57</v>
      </c>
      <c r="D110" s="375">
        <v>3</v>
      </c>
      <c r="E110" s="405">
        <f t="shared" si="5"/>
        <v>0.58756999999999993</v>
      </c>
      <c r="F110" s="405">
        <f t="shared" si="6"/>
        <v>1.7996100454224464</v>
      </c>
      <c r="G110" s="405">
        <f t="shared" si="7"/>
        <v>0.6428073968247584</v>
      </c>
      <c r="H110" s="405">
        <f t="shared" si="8"/>
        <v>-1.0294801379902785</v>
      </c>
      <c r="I110" s="375">
        <f t="shared" si="9"/>
        <v>-1.0245527493218298</v>
      </c>
    </row>
    <row r="111" spans="1:9" x14ac:dyDescent="0.25">
      <c r="A111" s="375">
        <v>0</v>
      </c>
      <c r="B111" s="375">
        <v>380</v>
      </c>
      <c r="C111" s="375">
        <v>3.33</v>
      </c>
      <c r="D111" s="375">
        <v>4</v>
      </c>
      <c r="E111" s="405">
        <f t="shared" si="5"/>
        <v>0.38833000000000001</v>
      </c>
      <c r="F111" s="405">
        <f t="shared" si="6"/>
        <v>1.4745162943867078</v>
      </c>
      <c r="G111" s="405">
        <f t="shared" si="7"/>
        <v>0.59588061623661959</v>
      </c>
      <c r="H111" s="405">
        <f t="shared" si="8"/>
        <v>-0.90604494030899929</v>
      </c>
      <c r="I111" s="375">
        <f t="shared" si="9"/>
        <v>-0.89966334479072807</v>
      </c>
    </row>
    <row r="112" spans="1:9" x14ac:dyDescent="0.25">
      <c r="A112" s="375">
        <v>0</v>
      </c>
      <c r="B112" s="375">
        <v>540</v>
      </c>
      <c r="C112" s="375">
        <v>3.94</v>
      </c>
      <c r="D112" s="375">
        <v>3</v>
      </c>
      <c r="E112" s="405">
        <f t="shared" si="5"/>
        <v>0.54794000000000009</v>
      </c>
      <c r="F112" s="405">
        <f t="shared" si="6"/>
        <v>1.7296861917428454</v>
      </c>
      <c r="G112" s="405">
        <f t="shared" si="7"/>
        <v>0.63365752333548575</v>
      </c>
      <c r="H112" s="405">
        <f t="shared" si="8"/>
        <v>-1.0041866545102875</v>
      </c>
      <c r="I112" s="375">
        <f t="shared" si="9"/>
        <v>-0.99928672682971242</v>
      </c>
    </row>
    <row r="113" spans="1:9" x14ac:dyDescent="0.25">
      <c r="A113" s="375">
        <v>1</v>
      </c>
      <c r="B113" s="375">
        <v>660</v>
      </c>
      <c r="C113" s="375">
        <v>3.95</v>
      </c>
      <c r="D113" s="375">
        <v>2</v>
      </c>
      <c r="E113" s="405">
        <f t="shared" si="5"/>
        <v>0.66695000000000004</v>
      </c>
      <c r="F113" s="405">
        <f t="shared" si="6"/>
        <v>1.9482859772202392</v>
      </c>
      <c r="G113" s="405">
        <f t="shared" si="7"/>
        <v>0.66081987713320822</v>
      </c>
      <c r="H113" s="405">
        <f t="shared" si="8"/>
        <v>-0.4142739768203777</v>
      </c>
      <c r="I113" s="375">
        <f t="shared" si="9"/>
        <v>-0.4129527854361158</v>
      </c>
    </row>
    <row r="114" spans="1:9" x14ac:dyDescent="0.25">
      <c r="A114" s="375">
        <v>1</v>
      </c>
      <c r="B114" s="375">
        <v>740</v>
      </c>
      <c r="C114" s="375">
        <v>2.97</v>
      </c>
      <c r="D114" s="375">
        <v>2</v>
      </c>
      <c r="E114" s="405">
        <f t="shared" si="5"/>
        <v>0.74597000000000002</v>
      </c>
      <c r="F114" s="405">
        <f t="shared" si="6"/>
        <v>2.1084856744685245</v>
      </c>
      <c r="G114" s="405">
        <f t="shared" si="7"/>
        <v>0.67829994900298984</v>
      </c>
      <c r="H114" s="405">
        <f t="shared" si="8"/>
        <v>-0.38816568621366809</v>
      </c>
      <c r="I114" s="375">
        <f t="shared" si="9"/>
        <v>-0.38680952283762471</v>
      </c>
    </row>
    <row r="115" spans="1:9" x14ac:dyDescent="0.25">
      <c r="A115" s="375">
        <v>1</v>
      </c>
      <c r="B115" s="375">
        <v>700</v>
      </c>
      <c r="C115" s="375">
        <v>3.56</v>
      </c>
      <c r="D115" s="375">
        <v>1</v>
      </c>
      <c r="E115" s="405">
        <f t="shared" si="5"/>
        <v>0.70556000000000008</v>
      </c>
      <c r="F115" s="405">
        <f t="shared" si="6"/>
        <v>2.0249803564643094</v>
      </c>
      <c r="G115" s="405">
        <f t="shared" si="7"/>
        <v>0.66941934090149569</v>
      </c>
      <c r="H115" s="405">
        <f t="shared" si="8"/>
        <v>-0.40134459773091352</v>
      </c>
      <c r="I115" s="375">
        <f t="shared" si="9"/>
        <v>-0.40067528905104977</v>
      </c>
    </row>
    <row r="116" spans="1:9" x14ac:dyDescent="0.25">
      <c r="A116" s="375">
        <v>0</v>
      </c>
      <c r="B116" s="375">
        <v>480</v>
      </c>
      <c r="C116" s="375">
        <v>3.13</v>
      </c>
      <c r="D116" s="375">
        <v>2</v>
      </c>
      <c r="E116" s="405">
        <f t="shared" si="5"/>
        <v>0.48613000000000001</v>
      </c>
      <c r="F116" s="405">
        <f t="shared" si="6"/>
        <v>1.6260113639494542</v>
      </c>
      <c r="G116" s="405">
        <f t="shared" si="7"/>
        <v>0.61919433642662325</v>
      </c>
      <c r="H116" s="405">
        <f t="shared" si="8"/>
        <v>-0.96546610334628058</v>
      </c>
      <c r="I116" s="375">
        <f t="shared" si="9"/>
        <v>-0.96222818633372964</v>
      </c>
    </row>
    <row r="117" spans="1:9" x14ac:dyDescent="0.25">
      <c r="A117" s="375">
        <v>0</v>
      </c>
      <c r="B117" s="375">
        <v>400</v>
      </c>
      <c r="C117" s="375">
        <v>2.93</v>
      </c>
      <c r="D117" s="375">
        <v>3</v>
      </c>
      <c r="E117" s="405">
        <f t="shared" si="5"/>
        <v>0.40693000000000001</v>
      </c>
      <c r="F117" s="405">
        <f t="shared" si="6"/>
        <v>1.5021989480551132</v>
      </c>
      <c r="G117" s="405">
        <f t="shared" si="7"/>
        <v>0.60035152249693369</v>
      </c>
      <c r="H117" s="405">
        <f t="shared" si="8"/>
        <v>-0.91716992449307844</v>
      </c>
      <c r="I117" s="375">
        <f t="shared" si="9"/>
        <v>-0.91236994982500108</v>
      </c>
    </row>
    <row r="118" spans="1:9" x14ac:dyDescent="0.25">
      <c r="A118" s="375">
        <v>0</v>
      </c>
      <c r="B118" s="375">
        <v>480</v>
      </c>
      <c r="C118" s="375">
        <v>3.45</v>
      </c>
      <c r="D118" s="375">
        <v>2</v>
      </c>
      <c r="E118" s="405">
        <f t="shared" si="5"/>
        <v>0.48644999999999999</v>
      </c>
      <c r="F118" s="405">
        <f t="shared" si="6"/>
        <v>1.626531770846581</v>
      </c>
      <c r="G118" s="405">
        <f t="shared" si="7"/>
        <v>0.61926978721537373</v>
      </c>
      <c r="H118" s="405">
        <f t="shared" si="8"/>
        <v>-0.96566425760621699</v>
      </c>
      <c r="I118" s="375">
        <f t="shared" si="9"/>
        <v>-0.96242618965614557</v>
      </c>
    </row>
    <row r="119" spans="1:9" x14ac:dyDescent="0.25">
      <c r="A119" s="375">
        <v>0</v>
      </c>
      <c r="B119" s="375">
        <v>680</v>
      </c>
      <c r="C119" s="375">
        <v>3.08</v>
      </c>
      <c r="D119" s="375">
        <v>4</v>
      </c>
      <c r="E119" s="405">
        <f t="shared" si="5"/>
        <v>0.68808000000000002</v>
      </c>
      <c r="F119" s="405">
        <f t="shared" si="6"/>
        <v>1.9898912718849724</v>
      </c>
      <c r="G119" s="405">
        <f t="shared" si="7"/>
        <v>0.66553967717710638</v>
      </c>
      <c r="H119" s="405">
        <f t="shared" si="8"/>
        <v>-1.0952370228233426</v>
      </c>
      <c r="I119" s="375">
        <f t="shared" si="9"/>
        <v>-1.0885766456728614</v>
      </c>
    </row>
    <row r="120" spans="1:9" x14ac:dyDescent="0.25">
      <c r="A120" s="375">
        <v>0</v>
      </c>
      <c r="B120" s="375">
        <v>420</v>
      </c>
      <c r="C120" s="375">
        <v>3.41</v>
      </c>
      <c r="D120" s="375">
        <v>4</v>
      </c>
      <c r="E120" s="405">
        <f t="shared" si="5"/>
        <v>0.42841000000000001</v>
      </c>
      <c r="F120" s="405">
        <f t="shared" si="6"/>
        <v>1.5348152262267412</v>
      </c>
      <c r="G120" s="405">
        <f t="shared" si="7"/>
        <v>0.60549392726799511</v>
      </c>
      <c r="H120" s="405">
        <f t="shared" si="8"/>
        <v>-0.93012074532417999</v>
      </c>
      <c r="I120" s="375">
        <f t="shared" si="9"/>
        <v>-0.92370068111984227</v>
      </c>
    </row>
    <row r="121" spans="1:9" x14ac:dyDescent="0.25">
      <c r="A121" s="375">
        <v>0</v>
      </c>
      <c r="B121" s="375">
        <v>360</v>
      </c>
      <c r="C121" s="375">
        <v>3</v>
      </c>
      <c r="D121" s="375">
        <v>3</v>
      </c>
      <c r="E121" s="405">
        <f t="shared" si="5"/>
        <v>0.36699999999999999</v>
      </c>
      <c r="F121" s="405">
        <f t="shared" si="6"/>
        <v>1.4433979191151778</v>
      </c>
      <c r="G121" s="405">
        <f t="shared" si="7"/>
        <v>0.59073387425895507</v>
      </c>
      <c r="H121" s="405">
        <f t="shared" si="8"/>
        <v>-0.89338966035251588</v>
      </c>
      <c r="I121" s="375">
        <f t="shared" si="9"/>
        <v>-0.88861854687993791</v>
      </c>
    </row>
    <row r="122" spans="1:9" x14ac:dyDescent="0.25">
      <c r="A122" s="375">
        <v>0</v>
      </c>
      <c r="B122" s="375">
        <v>600</v>
      </c>
      <c r="C122" s="375">
        <v>3.22</v>
      </c>
      <c r="D122" s="375">
        <v>1</v>
      </c>
      <c r="E122" s="405">
        <f t="shared" si="5"/>
        <v>0.60521999999999998</v>
      </c>
      <c r="F122" s="405">
        <f t="shared" si="6"/>
        <v>1.8316551286912817</v>
      </c>
      <c r="G122" s="405">
        <f t="shared" si="7"/>
        <v>0.64684964992111371</v>
      </c>
      <c r="H122" s="405">
        <f t="shared" si="8"/>
        <v>-1.0408613918240406</v>
      </c>
      <c r="I122" s="375">
        <f t="shared" si="9"/>
        <v>-1.0392146564028879</v>
      </c>
    </row>
    <row r="123" spans="1:9" x14ac:dyDescent="0.25">
      <c r="A123" s="375">
        <v>0</v>
      </c>
      <c r="B123" s="375">
        <v>720</v>
      </c>
      <c r="C123" s="375">
        <v>3.84</v>
      </c>
      <c r="D123" s="375">
        <v>3</v>
      </c>
      <c r="E123" s="405">
        <f t="shared" si="5"/>
        <v>0.72783999999999993</v>
      </c>
      <c r="F123" s="405">
        <f t="shared" si="6"/>
        <v>2.0706032708261306</v>
      </c>
      <c r="G123" s="405">
        <f t="shared" si="7"/>
        <v>0.67433109659557067</v>
      </c>
      <c r="H123" s="405">
        <f t="shared" si="8"/>
        <v>-1.1218740474495883</v>
      </c>
      <c r="I123" s="375">
        <f t="shared" si="9"/>
        <v>-1.1168520427431368</v>
      </c>
    </row>
    <row r="124" spans="1:9" x14ac:dyDescent="0.25">
      <c r="A124" s="375">
        <v>0</v>
      </c>
      <c r="B124" s="375">
        <v>620</v>
      </c>
      <c r="C124" s="375">
        <v>3.99</v>
      </c>
      <c r="D124" s="375">
        <v>3</v>
      </c>
      <c r="E124" s="405">
        <f t="shared" si="5"/>
        <v>0.62799000000000005</v>
      </c>
      <c r="F124" s="405">
        <f t="shared" si="6"/>
        <v>1.873840372327328</v>
      </c>
      <c r="G124" s="405">
        <f t="shared" si="7"/>
        <v>0.65203356121336409</v>
      </c>
      <c r="H124" s="405">
        <f t="shared" si="8"/>
        <v>-1.0556492441266121</v>
      </c>
      <c r="I124" s="375">
        <f t="shared" si="9"/>
        <v>-1.0506941647392267</v>
      </c>
    </row>
    <row r="125" spans="1:9" x14ac:dyDescent="0.25">
      <c r="A125" s="375">
        <v>1</v>
      </c>
      <c r="B125" s="375">
        <v>440</v>
      </c>
      <c r="C125" s="375">
        <v>3.45</v>
      </c>
      <c r="D125" s="375">
        <v>2</v>
      </c>
      <c r="E125" s="405">
        <f t="shared" si="5"/>
        <v>0.44645000000000001</v>
      </c>
      <c r="F125" s="405">
        <f t="shared" si="6"/>
        <v>1.5627545478751215</v>
      </c>
      <c r="G125" s="405">
        <f t="shared" si="7"/>
        <v>0.60979485888372009</v>
      </c>
      <c r="H125" s="405">
        <f t="shared" si="8"/>
        <v>-0.49463267528720201</v>
      </c>
      <c r="I125" s="375">
        <f t="shared" si="9"/>
        <v>-0.49341356152921179</v>
      </c>
    </row>
    <row r="126" spans="1:9" x14ac:dyDescent="0.25">
      <c r="A126" s="375">
        <v>0</v>
      </c>
      <c r="B126" s="375">
        <v>700</v>
      </c>
      <c r="C126" s="375">
        <v>3.72</v>
      </c>
      <c r="D126" s="375">
        <v>2</v>
      </c>
      <c r="E126" s="405">
        <f t="shared" si="5"/>
        <v>0.70672000000000001</v>
      </c>
      <c r="F126" s="405">
        <f t="shared" si="6"/>
        <v>2.0273306966115419</v>
      </c>
      <c r="G126" s="405">
        <f t="shared" si="7"/>
        <v>0.66967599505422748</v>
      </c>
      <c r="H126" s="405">
        <f t="shared" si="8"/>
        <v>-1.107681273035527</v>
      </c>
      <c r="I126" s="375">
        <f t="shared" si="9"/>
        <v>-1.1043423635655742</v>
      </c>
    </row>
    <row r="127" spans="1:9" x14ac:dyDescent="0.25">
      <c r="A127" s="375">
        <v>1</v>
      </c>
      <c r="B127" s="375">
        <v>800</v>
      </c>
      <c r="C127" s="375">
        <v>3.7</v>
      </c>
      <c r="D127" s="375">
        <v>1</v>
      </c>
      <c r="E127" s="405">
        <f t="shared" si="5"/>
        <v>0.80570000000000008</v>
      </c>
      <c r="F127" s="405">
        <f t="shared" si="6"/>
        <v>2.23826273448769</v>
      </c>
      <c r="G127" s="405">
        <f t="shared" si="7"/>
        <v>0.69119244422327419</v>
      </c>
      <c r="H127" s="405">
        <f t="shared" si="8"/>
        <v>-0.36933699294197825</v>
      </c>
      <c r="I127" s="375">
        <f t="shared" si="9"/>
        <v>-0.36864590723408019</v>
      </c>
    </row>
    <row r="128" spans="1:9" x14ac:dyDescent="0.25">
      <c r="A128" s="375">
        <v>0</v>
      </c>
      <c r="B128" s="375">
        <v>340</v>
      </c>
      <c r="C128" s="375">
        <v>2.92</v>
      </c>
      <c r="D128" s="375">
        <v>3</v>
      </c>
      <c r="E128" s="405">
        <f t="shared" si="5"/>
        <v>0.34692000000000001</v>
      </c>
      <c r="F128" s="405">
        <f t="shared" si="6"/>
        <v>1.4147035445596918</v>
      </c>
      <c r="G128" s="405">
        <f t="shared" si="7"/>
        <v>0.58587048822080368</v>
      </c>
      <c r="H128" s="405">
        <f t="shared" si="8"/>
        <v>-0.8815765236935128</v>
      </c>
      <c r="I128" s="375">
        <f t="shared" si="9"/>
        <v>-0.87682000423415363</v>
      </c>
    </row>
    <row r="129" spans="1:9" x14ac:dyDescent="0.25">
      <c r="A129" s="375">
        <v>1</v>
      </c>
      <c r="B129" s="375">
        <v>520</v>
      </c>
      <c r="C129" s="375">
        <v>3.74</v>
      </c>
      <c r="D129" s="375">
        <v>2</v>
      </c>
      <c r="E129" s="405">
        <f t="shared" si="5"/>
        <v>0.52673999999999999</v>
      </c>
      <c r="F129" s="405">
        <f t="shared" si="6"/>
        <v>1.6934028072767511</v>
      </c>
      <c r="G129" s="405">
        <f t="shared" si="7"/>
        <v>0.62872244831025437</v>
      </c>
      <c r="H129" s="405">
        <f t="shared" si="8"/>
        <v>-0.46406537831318662</v>
      </c>
      <c r="I129" s="375">
        <f t="shared" si="9"/>
        <v>-0.46280840035769366</v>
      </c>
    </row>
    <row r="130" spans="1:9" x14ac:dyDescent="0.25">
      <c r="A130" s="375">
        <v>1</v>
      </c>
      <c r="B130" s="375">
        <v>480</v>
      </c>
      <c r="C130" s="375">
        <v>2.67</v>
      </c>
      <c r="D130" s="375">
        <v>2</v>
      </c>
      <c r="E130" s="405">
        <f t="shared" si="5"/>
        <v>0.48566999999999999</v>
      </c>
      <c r="F130" s="405">
        <f t="shared" si="6"/>
        <v>1.6252635707276646</v>
      </c>
      <c r="G130" s="405">
        <f t="shared" si="7"/>
        <v>0.61908586583448366</v>
      </c>
      <c r="H130" s="405">
        <f t="shared" si="8"/>
        <v>-0.47951129889930494</v>
      </c>
      <c r="I130" s="375">
        <f t="shared" si="9"/>
        <v>-0.47827359887957094</v>
      </c>
    </row>
    <row r="131" spans="1:9" x14ac:dyDescent="0.25">
      <c r="A131" s="375">
        <v>0</v>
      </c>
      <c r="B131" s="375">
        <v>520</v>
      </c>
      <c r="C131" s="375">
        <v>2.85</v>
      </c>
      <c r="D131" s="375">
        <v>3</v>
      </c>
      <c r="E131" s="405">
        <f t="shared" si="5"/>
        <v>0.52685000000000004</v>
      </c>
      <c r="F131" s="405">
        <f t="shared" si="6"/>
        <v>1.6935890918310144</v>
      </c>
      <c r="G131" s="405">
        <f t="shared" si="7"/>
        <v>0.62874812530509905</v>
      </c>
      <c r="H131" s="405">
        <f t="shared" si="8"/>
        <v>-0.99087453919474244</v>
      </c>
      <c r="I131" s="375">
        <f t="shared" si="9"/>
        <v>-0.98598934549662809</v>
      </c>
    </row>
    <row r="132" spans="1:9" x14ac:dyDescent="0.25">
      <c r="A132" s="375">
        <v>0</v>
      </c>
      <c r="B132" s="375">
        <v>500</v>
      </c>
      <c r="C132" s="375">
        <v>2.98</v>
      </c>
      <c r="D132" s="375">
        <v>3</v>
      </c>
      <c r="E132" s="405">
        <f t="shared" si="5"/>
        <v>0.50697999999999999</v>
      </c>
      <c r="F132" s="405">
        <f t="shared" si="6"/>
        <v>1.6602696019591372</v>
      </c>
      <c r="G132" s="405">
        <f t="shared" si="7"/>
        <v>0.62409824956705262</v>
      </c>
      <c r="H132" s="405">
        <f t="shared" si="8"/>
        <v>-0.97842747177760248</v>
      </c>
      <c r="I132" s="375">
        <f t="shared" si="9"/>
        <v>-0.97355623298890881</v>
      </c>
    </row>
    <row r="133" spans="1:9" x14ac:dyDescent="0.25">
      <c r="A133" s="375">
        <v>0</v>
      </c>
      <c r="B133" s="375">
        <v>720</v>
      </c>
      <c r="C133" s="375">
        <v>3.88</v>
      </c>
      <c r="D133" s="375">
        <v>3</v>
      </c>
      <c r="E133" s="405">
        <f t="shared" si="5"/>
        <v>0.72787999999999997</v>
      </c>
      <c r="F133" s="405">
        <f t="shared" si="6"/>
        <v>2.0706860966134686</v>
      </c>
      <c r="G133" s="405">
        <f t="shared" si="7"/>
        <v>0.67433988088106489</v>
      </c>
      <c r="H133" s="405">
        <f t="shared" si="8"/>
        <v>-1.121901020869138</v>
      </c>
      <c r="I133" s="375">
        <f t="shared" si="9"/>
        <v>-1.1168789897960603</v>
      </c>
    </row>
    <row r="134" spans="1:9" x14ac:dyDescent="0.25">
      <c r="A134" s="375">
        <v>0</v>
      </c>
      <c r="B134" s="375">
        <v>540</v>
      </c>
      <c r="C134" s="375">
        <v>3.38</v>
      </c>
      <c r="D134" s="375">
        <v>4</v>
      </c>
      <c r="E134" s="405">
        <f t="shared" si="5"/>
        <v>0.54838000000000009</v>
      </c>
      <c r="F134" s="405">
        <f t="shared" si="6"/>
        <v>1.7304474211253953</v>
      </c>
      <c r="G134" s="405">
        <f t="shared" si="7"/>
        <v>0.63375965702066706</v>
      </c>
      <c r="H134" s="405">
        <f t="shared" si="8"/>
        <v>-1.0044654862904068</v>
      </c>
      <c r="I134" s="375">
        <f t="shared" si="9"/>
        <v>-0.99793230519051446</v>
      </c>
    </row>
    <row r="135" spans="1:9" x14ac:dyDescent="0.25">
      <c r="A135" s="375">
        <v>1</v>
      </c>
      <c r="B135" s="375">
        <v>600</v>
      </c>
      <c r="C135" s="375">
        <v>3.54</v>
      </c>
      <c r="D135" s="375">
        <v>1</v>
      </c>
      <c r="E135" s="405">
        <f t="shared" si="5"/>
        <v>0.60553999999999997</v>
      </c>
      <c r="F135" s="405">
        <f t="shared" si="6"/>
        <v>1.8322413521232095</v>
      </c>
      <c r="G135" s="405">
        <f t="shared" si="7"/>
        <v>0.64692274574328101</v>
      </c>
      <c r="H135" s="405">
        <f t="shared" si="8"/>
        <v>-0.43552839540753008</v>
      </c>
      <c r="I135" s="375">
        <f t="shared" si="9"/>
        <v>-0.43488158687982303</v>
      </c>
    </row>
    <row r="136" spans="1:9" x14ac:dyDescent="0.25">
      <c r="A136" s="375">
        <v>0</v>
      </c>
      <c r="B136" s="375">
        <v>740</v>
      </c>
      <c r="C136" s="375">
        <v>3.74</v>
      </c>
      <c r="D136" s="375">
        <v>4</v>
      </c>
      <c r="E136" s="405">
        <f t="shared" si="5"/>
        <v>0.74873999999999996</v>
      </c>
      <c r="F136" s="405">
        <f t="shared" si="6"/>
        <v>2.1143342763607786</v>
      </c>
      <c r="G136" s="405">
        <f t="shared" si="7"/>
        <v>0.67890408952229142</v>
      </c>
      <c r="H136" s="405">
        <f t="shared" si="8"/>
        <v>-1.1360154139450109</v>
      </c>
      <c r="I136" s="375">
        <f t="shared" si="9"/>
        <v>-1.1293015423648165</v>
      </c>
    </row>
    <row r="137" spans="1:9" x14ac:dyDescent="0.25">
      <c r="A137" s="375">
        <v>0</v>
      </c>
      <c r="B137" s="375">
        <v>540</v>
      </c>
      <c r="C137" s="375">
        <v>3.19</v>
      </c>
      <c r="D137" s="375">
        <v>2</v>
      </c>
      <c r="E137" s="405">
        <f t="shared" si="5"/>
        <v>0.54619000000000006</v>
      </c>
      <c r="F137" s="405">
        <f t="shared" si="6"/>
        <v>1.726661887944946</v>
      </c>
      <c r="G137" s="405">
        <f t="shared" si="7"/>
        <v>0.63325119098147931</v>
      </c>
      <c r="H137" s="405">
        <f t="shared" si="8"/>
        <v>-1.003078109357582</v>
      </c>
      <c r="I137" s="375">
        <f t="shared" si="9"/>
        <v>-0.99981207154632323</v>
      </c>
    </row>
    <row r="138" spans="1:9" x14ac:dyDescent="0.25">
      <c r="A138" s="375">
        <v>0</v>
      </c>
      <c r="B138" s="375">
        <v>460</v>
      </c>
      <c r="C138" s="375">
        <v>3.15</v>
      </c>
      <c r="D138" s="375">
        <v>4</v>
      </c>
      <c r="E138" s="405">
        <f t="shared" ref="E138:E201" si="10">$B$3+$B$4*B138+$B$5*C138+$B$6*D138</f>
        <v>0.46815000000000001</v>
      </c>
      <c r="F138" s="405">
        <f t="shared" ref="F138:F201" si="11">EXP(E138)</f>
        <v>1.5970369402623248</v>
      </c>
      <c r="G138" s="405">
        <f t="shared" ref="G138:G201" si="12">F138/(1+F138)</f>
        <v>0.61494579283920736</v>
      </c>
      <c r="H138" s="405">
        <f t="shared" ref="H138:H201" si="13">A138*LN(G138)+(1-A138)*LN(1-G138)</f>
        <v>-0.95437115678519502</v>
      </c>
      <c r="I138" s="375">
        <f t="shared" ref="I138:I201" si="14">A138*($B$3+B138*$B$4+C138*$B$5)+D138*$B$6-LN(1+EXP($B$3+B138*$B$4+C138*$B$5))</f>
        <v>-0.94791326849313728</v>
      </c>
    </row>
    <row r="139" spans="1:9" x14ac:dyDescent="0.25">
      <c r="A139" s="375">
        <v>1</v>
      </c>
      <c r="B139" s="375">
        <v>620</v>
      </c>
      <c r="C139" s="375">
        <v>3.17</v>
      </c>
      <c r="D139" s="375">
        <v>2</v>
      </c>
      <c r="E139" s="405">
        <f t="shared" si="10"/>
        <v>0.62617</v>
      </c>
      <c r="F139" s="405">
        <f t="shared" si="11"/>
        <v>1.8704330844222108</v>
      </c>
      <c r="G139" s="405">
        <f t="shared" si="12"/>
        <v>0.65162051488781181</v>
      </c>
      <c r="H139" s="405">
        <f t="shared" si="13"/>
        <v>-0.42829291888273902</v>
      </c>
      <c r="I139" s="375">
        <f t="shared" si="14"/>
        <v>-0.42699013196713309</v>
      </c>
    </row>
    <row r="140" spans="1:9" x14ac:dyDescent="0.25">
      <c r="A140" s="375">
        <v>0</v>
      </c>
      <c r="B140" s="375">
        <v>640</v>
      </c>
      <c r="C140" s="375">
        <v>2.79</v>
      </c>
      <c r="D140" s="375">
        <v>2</v>
      </c>
      <c r="E140" s="405">
        <f t="shared" si="10"/>
        <v>0.64578999999999998</v>
      </c>
      <c r="F140" s="405">
        <f t="shared" si="11"/>
        <v>1.9074933539449519</v>
      </c>
      <c r="G140" s="405">
        <f t="shared" si="12"/>
        <v>0.65606112267009042</v>
      </c>
      <c r="H140" s="405">
        <f t="shared" si="13"/>
        <v>-1.067291319576583</v>
      </c>
      <c r="I140" s="375">
        <f t="shared" si="14"/>
        <v>-1.0639796487149467</v>
      </c>
    </row>
    <row r="141" spans="1:9" x14ac:dyDescent="0.25">
      <c r="A141" s="375">
        <v>0</v>
      </c>
      <c r="B141" s="375">
        <v>580</v>
      </c>
      <c r="C141" s="375">
        <v>3.4</v>
      </c>
      <c r="D141" s="375">
        <v>2</v>
      </c>
      <c r="E141" s="405">
        <f t="shared" si="10"/>
        <v>0.58639999999999992</v>
      </c>
      <c r="F141" s="405">
        <f t="shared" si="11"/>
        <v>1.7975057329321584</v>
      </c>
      <c r="G141" s="405">
        <f t="shared" si="12"/>
        <v>0.6425387128869734</v>
      </c>
      <c r="H141" s="405">
        <f t="shared" si="13"/>
        <v>-1.0287282105073512</v>
      </c>
      <c r="I141" s="375">
        <f t="shared" si="14"/>
        <v>-1.0254435925342533</v>
      </c>
    </row>
    <row r="142" spans="1:9" x14ac:dyDescent="0.25">
      <c r="A142" s="375">
        <v>0</v>
      </c>
      <c r="B142" s="375">
        <v>500</v>
      </c>
      <c r="C142" s="375">
        <v>3.08</v>
      </c>
      <c r="D142" s="375">
        <v>3</v>
      </c>
      <c r="E142" s="405">
        <f t="shared" si="10"/>
        <v>0.50707999999999998</v>
      </c>
      <c r="F142" s="405">
        <f t="shared" si="11"/>
        <v>1.6604356372209579</v>
      </c>
      <c r="G142" s="405">
        <f t="shared" si="12"/>
        <v>0.62412170923834809</v>
      </c>
      <c r="H142" s="405">
        <f t="shared" si="13"/>
        <v>-0.9784898827755476</v>
      </c>
      <c r="I142" s="375">
        <f t="shared" si="14"/>
        <v>-0.97361857358167891</v>
      </c>
    </row>
    <row r="143" spans="1:9" x14ac:dyDescent="0.25">
      <c r="A143" s="375">
        <v>0</v>
      </c>
      <c r="B143" s="375">
        <v>560</v>
      </c>
      <c r="C143" s="375">
        <v>2.95</v>
      </c>
      <c r="D143" s="375">
        <v>2</v>
      </c>
      <c r="E143" s="405">
        <f t="shared" si="10"/>
        <v>0.56595000000000006</v>
      </c>
      <c r="F143" s="405">
        <f t="shared" si="11"/>
        <v>1.7611200523176904</v>
      </c>
      <c r="G143" s="405">
        <f t="shared" si="12"/>
        <v>0.63782813457872001</v>
      </c>
      <c r="H143" s="405">
        <f t="shared" si="13"/>
        <v>-1.0156364134651272</v>
      </c>
      <c r="I143" s="375">
        <f t="shared" si="14"/>
        <v>-1.0123612192876246</v>
      </c>
    </row>
    <row r="144" spans="1:9" x14ac:dyDescent="0.25">
      <c r="A144" s="375">
        <v>0</v>
      </c>
      <c r="B144" s="375">
        <v>500</v>
      </c>
      <c r="C144" s="375">
        <v>3.57</v>
      </c>
      <c r="D144" s="375">
        <v>3</v>
      </c>
      <c r="E144" s="405">
        <f t="shared" si="10"/>
        <v>0.50756999999999997</v>
      </c>
      <c r="F144" s="405">
        <f t="shared" si="11"/>
        <v>1.6612494500510564</v>
      </c>
      <c r="G144" s="405">
        <f t="shared" si="12"/>
        <v>0.6242366532078325</v>
      </c>
      <c r="H144" s="405">
        <f t="shared" si="13"/>
        <v>-0.97879573057491776</v>
      </c>
      <c r="I144" s="375">
        <f t="shared" si="14"/>
        <v>-0.97392407642088907</v>
      </c>
    </row>
    <row r="145" spans="1:9" x14ac:dyDescent="0.25">
      <c r="A145" s="375">
        <v>0</v>
      </c>
      <c r="B145" s="375">
        <v>560</v>
      </c>
      <c r="C145" s="375">
        <v>3.33</v>
      </c>
      <c r="D145" s="375">
        <v>4</v>
      </c>
      <c r="E145" s="405">
        <f t="shared" si="10"/>
        <v>0.56833000000000011</v>
      </c>
      <c r="F145" s="405">
        <f t="shared" si="11"/>
        <v>1.7653165098457975</v>
      </c>
      <c r="G145" s="405">
        <f t="shared" si="12"/>
        <v>0.63837774213565046</v>
      </c>
      <c r="H145" s="405">
        <f t="shared" si="13"/>
        <v>-1.0171550985300746</v>
      </c>
      <c r="I145" s="375">
        <f t="shared" si="14"/>
        <v>-1.0106034350548738</v>
      </c>
    </row>
    <row r="146" spans="1:9" x14ac:dyDescent="0.25">
      <c r="A146" s="375">
        <v>0</v>
      </c>
      <c r="B146" s="375">
        <v>700</v>
      </c>
      <c r="C146" s="375">
        <v>4</v>
      </c>
      <c r="D146" s="375">
        <v>3</v>
      </c>
      <c r="E146" s="405">
        <f t="shared" si="10"/>
        <v>0.70800000000000007</v>
      </c>
      <c r="F146" s="405">
        <f t="shared" si="11"/>
        <v>2.0299273414013417</v>
      </c>
      <c r="G146" s="405">
        <f t="shared" si="12"/>
        <v>0.66995908240575175</v>
      </c>
      <c r="H146" s="405">
        <f t="shared" si="13"/>
        <v>-1.1085386394982286</v>
      </c>
      <c r="I146" s="375">
        <f t="shared" si="14"/>
        <v>-1.1035297576015866</v>
      </c>
    </row>
    <row r="147" spans="1:9" x14ac:dyDescent="0.25">
      <c r="A147" s="375">
        <v>0</v>
      </c>
      <c r="B147" s="375">
        <v>620</v>
      </c>
      <c r="C147" s="375">
        <v>3.4</v>
      </c>
      <c r="D147" s="375">
        <v>2</v>
      </c>
      <c r="E147" s="405">
        <f t="shared" si="10"/>
        <v>0.62639999999999996</v>
      </c>
      <c r="F147" s="405">
        <f t="shared" si="11"/>
        <v>1.870863333508376</v>
      </c>
      <c r="G147" s="405">
        <f t="shared" si="12"/>
        <v>0.65167272564732748</v>
      </c>
      <c r="H147" s="405">
        <f t="shared" si="13"/>
        <v>-1.0546127976054702</v>
      </c>
      <c r="I147" s="375">
        <f t="shared" si="14"/>
        <v>-1.0513099062367002</v>
      </c>
    </row>
    <row r="148" spans="1:9" x14ac:dyDescent="0.25">
      <c r="A148" s="375">
        <v>1</v>
      </c>
      <c r="B148" s="375">
        <v>600</v>
      </c>
      <c r="C148" s="375">
        <v>3.58</v>
      </c>
      <c r="D148" s="375">
        <v>1</v>
      </c>
      <c r="E148" s="405">
        <f t="shared" si="10"/>
        <v>0.60558000000000001</v>
      </c>
      <c r="F148" s="405">
        <f t="shared" si="11"/>
        <v>1.832314643243107</v>
      </c>
      <c r="G148" s="405">
        <f t="shared" si="12"/>
        <v>0.6469318822378568</v>
      </c>
      <c r="H148" s="405">
        <f t="shared" si="13"/>
        <v>-0.43551427250009001</v>
      </c>
      <c r="I148" s="375">
        <f t="shared" si="14"/>
        <v>-0.43486745483454659</v>
      </c>
    </row>
    <row r="149" spans="1:9" x14ac:dyDescent="0.25">
      <c r="A149" s="375">
        <v>0</v>
      </c>
      <c r="B149" s="375">
        <v>640</v>
      </c>
      <c r="C149" s="375">
        <v>3.93</v>
      </c>
      <c r="D149" s="375">
        <v>2</v>
      </c>
      <c r="E149" s="405">
        <f t="shared" si="10"/>
        <v>0.64693000000000001</v>
      </c>
      <c r="F149" s="405">
        <f t="shared" si="11"/>
        <v>1.9096691363287708</v>
      </c>
      <c r="G149" s="405">
        <f t="shared" si="12"/>
        <v>0.65631831210137725</v>
      </c>
      <c r="H149" s="405">
        <f t="shared" si="13"/>
        <v>-1.0680393758631039</v>
      </c>
      <c r="I149" s="375">
        <f t="shared" si="14"/>
        <v>-1.0647271904620448</v>
      </c>
    </row>
    <row r="150" spans="1:9" x14ac:dyDescent="0.25">
      <c r="A150" s="375">
        <v>1</v>
      </c>
      <c r="B150" s="375">
        <v>700</v>
      </c>
      <c r="C150" s="375">
        <v>3.52</v>
      </c>
      <c r="D150" s="375">
        <v>4</v>
      </c>
      <c r="E150" s="405">
        <f t="shared" si="10"/>
        <v>0.70852000000000004</v>
      </c>
      <c r="F150" s="405">
        <f t="shared" si="11"/>
        <v>2.0309831781126237</v>
      </c>
      <c r="G150" s="405">
        <f t="shared" si="12"/>
        <v>0.67007405147570154</v>
      </c>
      <c r="H150" s="405">
        <f t="shared" si="13"/>
        <v>-0.40036704811391854</v>
      </c>
      <c r="I150" s="375">
        <f t="shared" si="14"/>
        <v>-0.39768852130789489</v>
      </c>
    </row>
    <row r="151" spans="1:9" x14ac:dyDescent="0.25">
      <c r="A151" s="375">
        <v>0</v>
      </c>
      <c r="B151" s="375">
        <v>620</v>
      </c>
      <c r="C151" s="375">
        <v>3.94</v>
      </c>
      <c r="D151" s="375">
        <v>4</v>
      </c>
      <c r="E151" s="405">
        <f t="shared" si="10"/>
        <v>0.62894000000000005</v>
      </c>
      <c r="F151" s="405">
        <f t="shared" si="11"/>
        <v>1.8756213665193344</v>
      </c>
      <c r="G151" s="405">
        <f t="shared" si="12"/>
        <v>0.65224907157703982</v>
      </c>
      <c r="H151" s="405">
        <f t="shared" si="13"/>
        <v>-1.0562687783821194</v>
      </c>
      <c r="I151" s="375">
        <f t="shared" si="14"/>
        <v>-1.0496615973934063</v>
      </c>
    </row>
    <row r="152" spans="1:9" x14ac:dyDescent="0.25">
      <c r="A152" s="375">
        <v>0</v>
      </c>
      <c r="B152" s="375">
        <v>580</v>
      </c>
      <c r="C152" s="375">
        <v>3.4</v>
      </c>
      <c r="D152" s="375">
        <v>3</v>
      </c>
      <c r="E152" s="405">
        <f t="shared" si="10"/>
        <v>0.58739999999999992</v>
      </c>
      <c r="F152" s="405">
        <f t="shared" si="11"/>
        <v>1.7993041377176162</v>
      </c>
      <c r="G152" s="405">
        <f t="shared" si="12"/>
        <v>0.64276836284915451</v>
      </c>
      <c r="H152" s="405">
        <f t="shared" si="13"/>
        <v>-1.0293708640506796</v>
      </c>
      <c r="I152" s="375">
        <f t="shared" si="14"/>
        <v>-1.0244435925342534</v>
      </c>
    </row>
    <row r="153" spans="1:9" x14ac:dyDescent="0.25">
      <c r="A153" s="375">
        <v>0</v>
      </c>
      <c r="B153" s="375">
        <v>580</v>
      </c>
      <c r="C153" s="375">
        <v>3.4</v>
      </c>
      <c r="D153" s="375">
        <v>4</v>
      </c>
      <c r="E153" s="405">
        <f t="shared" si="10"/>
        <v>0.58839999999999992</v>
      </c>
      <c r="F153" s="405">
        <f t="shared" si="11"/>
        <v>1.8011043418073616</v>
      </c>
      <c r="G153" s="405">
        <f t="shared" si="12"/>
        <v>0.64299794724720316</v>
      </c>
      <c r="H153" s="405">
        <f t="shared" si="13"/>
        <v>-1.030013747211195</v>
      </c>
      <c r="I153" s="375">
        <f t="shared" si="14"/>
        <v>-1.0234435925342533</v>
      </c>
    </row>
    <row r="154" spans="1:9" x14ac:dyDescent="0.25">
      <c r="A154" s="375">
        <v>0</v>
      </c>
      <c r="B154" s="375">
        <v>380</v>
      </c>
      <c r="C154" s="375">
        <v>3.43</v>
      </c>
      <c r="D154" s="375">
        <v>3</v>
      </c>
      <c r="E154" s="405">
        <f t="shared" si="10"/>
        <v>0.38743</v>
      </c>
      <c r="F154" s="405">
        <f t="shared" si="11"/>
        <v>1.4731898267217456</v>
      </c>
      <c r="G154" s="405">
        <f t="shared" si="12"/>
        <v>0.59566387133109111</v>
      </c>
      <c r="H154" s="405">
        <f t="shared" si="13"/>
        <v>-0.90550874528679126</v>
      </c>
      <c r="I154" s="375">
        <f t="shared" si="14"/>
        <v>-0.90072283769770733</v>
      </c>
    </row>
    <row r="155" spans="1:9" x14ac:dyDescent="0.25">
      <c r="A155" s="375">
        <v>0</v>
      </c>
      <c r="B155" s="375">
        <v>480</v>
      </c>
      <c r="C155" s="375">
        <v>3.4</v>
      </c>
      <c r="D155" s="375">
        <v>2</v>
      </c>
      <c r="E155" s="405">
        <f t="shared" si="10"/>
        <v>0.4864</v>
      </c>
      <c r="F155" s="405">
        <f t="shared" si="11"/>
        <v>1.6264504462911693</v>
      </c>
      <c r="G155" s="405">
        <f t="shared" si="12"/>
        <v>0.61925799840918083</v>
      </c>
      <c r="H155" s="405">
        <f t="shared" si="13"/>
        <v>-0.96563329441157564</v>
      </c>
      <c r="I155" s="375">
        <f t="shared" si="14"/>
        <v>-0.96239525004473403</v>
      </c>
    </row>
    <row r="156" spans="1:9" x14ac:dyDescent="0.25">
      <c r="A156" s="375">
        <v>0</v>
      </c>
      <c r="B156" s="375">
        <v>560</v>
      </c>
      <c r="C156" s="375">
        <v>2.71</v>
      </c>
      <c r="D156" s="375">
        <v>3</v>
      </c>
      <c r="E156" s="405">
        <f t="shared" si="10"/>
        <v>0.56671000000000005</v>
      </c>
      <c r="F156" s="405">
        <f t="shared" si="11"/>
        <v>1.7624590122977957</v>
      </c>
      <c r="G156" s="405">
        <f t="shared" si="12"/>
        <v>0.63800367877016706</v>
      </c>
      <c r="H156" s="405">
        <f t="shared" si="13"/>
        <v>-1.0161212295565307</v>
      </c>
      <c r="I156" s="375">
        <f t="shared" si="14"/>
        <v>-1.0112082581042039</v>
      </c>
    </row>
    <row r="157" spans="1:9" x14ac:dyDescent="0.25">
      <c r="A157" s="375">
        <v>1</v>
      </c>
      <c r="B157" s="375">
        <v>480</v>
      </c>
      <c r="C157" s="375">
        <v>2.91</v>
      </c>
      <c r="D157" s="375">
        <v>1</v>
      </c>
      <c r="E157" s="405">
        <f t="shared" si="10"/>
        <v>0.48491000000000001</v>
      </c>
      <c r="F157" s="405">
        <f t="shared" si="11"/>
        <v>1.6240288396711449</v>
      </c>
      <c r="G157" s="405">
        <f t="shared" si="12"/>
        <v>0.61890662751811654</v>
      </c>
      <c r="H157" s="405">
        <f t="shared" si="13"/>
        <v>-0.47980086174977765</v>
      </c>
      <c r="I157" s="375">
        <f t="shared" si="14"/>
        <v>-0.47918207306221089</v>
      </c>
    </row>
    <row r="158" spans="1:9" x14ac:dyDescent="0.25">
      <c r="A158" s="375">
        <v>0</v>
      </c>
      <c r="B158" s="375">
        <v>740</v>
      </c>
      <c r="C158" s="375">
        <v>3.31</v>
      </c>
      <c r="D158" s="375">
        <v>1</v>
      </c>
      <c r="E158" s="405">
        <f t="shared" si="10"/>
        <v>0.74531000000000003</v>
      </c>
      <c r="F158" s="405">
        <f t="shared" si="11"/>
        <v>2.107094533050542</v>
      </c>
      <c r="G158" s="405">
        <f t="shared" si="12"/>
        <v>0.67815591403387354</v>
      </c>
      <c r="H158" s="405">
        <f t="shared" si="13"/>
        <v>-1.1336880557770022</v>
      </c>
      <c r="I158" s="375">
        <f t="shared" si="14"/>
        <v>-1.1320100090061624</v>
      </c>
    </row>
    <row r="159" spans="1:9" x14ac:dyDescent="0.25">
      <c r="A159" s="375">
        <v>1</v>
      </c>
      <c r="B159" s="375">
        <v>800</v>
      </c>
      <c r="C159" s="375">
        <v>3.74</v>
      </c>
      <c r="D159" s="375">
        <v>1</v>
      </c>
      <c r="E159" s="405">
        <f t="shared" si="10"/>
        <v>0.80574000000000001</v>
      </c>
      <c r="F159" s="405">
        <f t="shared" si="11"/>
        <v>2.2383522667877034</v>
      </c>
      <c r="G159" s="405">
        <f t="shared" si="12"/>
        <v>0.6912009819759497</v>
      </c>
      <c r="H159" s="405">
        <f t="shared" si="13"/>
        <v>-0.36932464081050276</v>
      </c>
      <c r="I159" s="375">
        <f t="shared" si="14"/>
        <v>-0.36863354656321989</v>
      </c>
    </row>
    <row r="160" spans="1:9" x14ac:dyDescent="0.25">
      <c r="A160" s="375">
        <v>0</v>
      </c>
      <c r="B160" s="375">
        <v>400</v>
      </c>
      <c r="C160" s="375">
        <v>3.38</v>
      </c>
      <c r="D160" s="375">
        <v>2</v>
      </c>
      <c r="E160" s="405">
        <f t="shared" si="10"/>
        <v>0.40638000000000002</v>
      </c>
      <c r="F160" s="405">
        <f t="shared" si="11"/>
        <v>1.5013729657996249</v>
      </c>
      <c r="G160" s="405">
        <f t="shared" si="12"/>
        <v>0.60021955395191307</v>
      </c>
      <c r="H160" s="405">
        <f t="shared" si="13"/>
        <v>-0.91683976744638773</v>
      </c>
      <c r="I160" s="375">
        <f t="shared" si="14"/>
        <v>-0.91363980831462432</v>
      </c>
    </row>
    <row r="161" spans="1:9" x14ac:dyDescent="0.25">
      <c r="A161" s="375">
        <v>1</v>
      </c>
      <c r="B161" s="375">
        <v>640</v>
      </c>
      <c r="C161" s="375">
        <v>3.94</v>
      </c>
      <c r="D161" s="375">
        <v>2</v>
      </c>
      <c r="E161" s="405">
        <f t="shared" si="10"/>
        <v>0.64694000000000007</v>
      </c>
      <c r="F161" s="405">
        <f t="shared" si="11"/>
        <v>1.909688233115618</v>
      </c>
      <c r="G161" s="405">
        <f t="shared" si="12"/>
        <v>0.65632056774370418</v>
      </c>
      <c r="H161" s="405">
        <f t="shared" si="13"/>
        <v>-0.42110593905750293</v>
      </c>
      <c r="I161" s="375">
        <f t="shared" si="14"/>
        <v>-0.41979374914375001</v>
      </c>
    </row>
    <row r="162" spans="1:9" x14ac:dyDescent="0.25">
      <c r="A162" s="375">
        <v>0</v>
      </c>
      <c r="B162" s="375">
        <v>580</v>
      </c>
      <c r="C162" s="375">
        <v>3.46</v>
      </c>
      <c r="D162" s="375">
        <v>3</v>
      </c>
      <c r="E162" s="405">
        <f t="shared" si="10"/>
        <v>0.58745999999999998</v>
      </c>
      <c r="F162" s="405">
        <f t="shared" si="11"/>
        <v>1.7994120992046916</v>
      </c>
      <c r="G162" s="405">
        <f t="shared" si="12"/>
        <v>0.64278213976281007</v>
      </c>
      <c r="H162" s="405">
        <f t="shared" si="13"/>
        <v>-1.0294094305657591</v>
      </c>
      <c r="I162" s="375">
        <f t="shared" si="14"/>
        <v>-1.0244821177009122</v>
      </c>
    </row>
    <row r="163" spans="1:9" x14ac:dyDescent="0.25">
      <c r="A163" s="375">
        <v>0</v>
      </c>
      <c r="B163" s="375">
        <v>620</v>
      </c>
      <c r="C163" s="375">
        <v>3.69</v>
      </c>
      <c r="D163" s="375">
        <v>3</v>
      </c>
      <c r="E163" s="405">
        <f t="shared" si="10"/>
        <v>0.62768999999999997</v>
      </c>
      <c r="F163" s="405">
        <f t="shared" si="11"/>
        <v>1.8732783045300148</v>
      </c>
      <c r="G163" s="405">
        <f t="shared" si="12"/>
        <v>0.65196549237037071</v>
      </c>
      <c r="H163" s="405">
        <f t="shared" si="13"/>
        <v>-1.0554536442684197</v>
      </c>
      <c r="I163" s="375">
        <f t="shared" si="14"/>
        <v>-1.0504987691805698</v>
      </c>
    </row>
    <row r="164" spans="1:9" x14ac:dyDescent="0.25">
      <c r="A164" s="375">
        <v>1</v>
      </c>
      <c r="B164" s="375">
        <v>580</v>
      </c>
      <c r="C164" s="375">
        <v>2.86</v>
      </c>
      <c r="D164" s="375">
        <v>4</v>
      </c>
      <c r="E164" s="405">
        <f t="shared" si="10"/>
        <v>0.58785999999999994</v>
      </c>
      <c r="F164" s="405">
        <f t="shared" si="11"/>
        <v>1.8001320080165368</v>
      </c>
      <c r="G164" s="405">
        <f t="shared" si="12"/>
        <v>0.64287397982056338</v>
      </c>
      <c r="H164" s="405">
        <f t="shared" si="13"/>
        <v>-0.44180656179002559</v>
      </c>
      <c r="I164" s="375">
        <f t="shared" si="14"/>
        <v>-0.43923690326580134</v>
      </c>
    </row>
    <row r="165" spans="1:9" x14ac:dyDescent="0.25">
      <c r="A165" s="375">
        <v>0</v>
      </c>
      <c r="B165" s="375">
        <v>560</v>
      </c>
      <c r="C165" s="375">
        <v>2.52</v>
      </c>
      <c r="D165" s="375">
        <v>2</v>
      </c>
      <c r="E165" s="405">
        <f t="shared" si="10"/>
        <v>0.56552000000000002</v>
      </c>
      <c r="F165" s="405">
        <f t="shared" si="11"/>
        <v>1.7603629334874082</v>
      </c>
      <c r="G165" s="405">
        <f t="shared" si="12"/>
        <v>0.63772879722862663</v>
      </c>
      <c r="H165" s="405">
        <f t="shared" si="13"/>
        <v>-1.0153621687243672</v>
      </c>
      <c r="I165" s="375">
        <f t="shared" si="14"/>
        <v>-1.0120871732762593</v>
      </c>
    </row>
    <row r="166" spans="1:9" x14ac:dyDescent="0.25">
      <c r="A166" s="375">
        <v>1</v>
      </c>
      <c r="B166" s="375">
        <v>480</v>
      </c>
      <c r="C166" s="375">
        <v>3.58</v>
      </c>
      <c r="D166" s="375">
        <v>1</v>
      </c>
      <c r="E166" s="405">
        <f t="shared" si="10"/>
        <v>0.48558000000000001</v>
      </c>
      <c r="F166" s="405">
        <f t="shared" si="11"/>
        <v>1.6251173035884192</v>
      </c>
      <c r="G166" s="405">
        <f t="shared" si="12"/>
        <v>0.61906464193693578</v>
      </c>
      <c r="H166" s="405">
        <f t="shared" si="13"/>
        <v>-0.47954558212645182</v>
      </c>
      <c r="I166" s="375">
        <f t="shared" si="14"/>
        <v>-0.47892663540567559</v>
      </c>
    </row>
    <row r="167" spans="1:9" x14ac:dyDescent="0.25">
      <c r="A167" s="375">
        <v>0</v>
      </c>
      <c r="B167" s="375">
        <v>660</v>
      </c>
      <c r="C167" s="375">
        <v>3.49</v>
      </c>
      <c r="D167" s="375">
        <v>2</v>
      </c>
      <c r="E167" s="405">
        <f t="shared" si="10"/>
        <v>0.66649000000000003</v>
      </c>
      <c r="F167" s="405">
        <f t="shared" si="11"/>
        <v>1.9473899717677714</v>
      </c>
      <c r="G167" s="405">
        <f t="shared" si="12"/>
        <v>0.66071676650232181</v>
      </c>
      <c r="H167" s="405">
        <f t="shared" si="13"/>
        <v>-1.0809200233917571</v>
      </c>
      <c r="I167" s="375">
        <f t="shared" si="14"/>
        <v>-1.0775990382950169</v>
      </c>
    </row>
    <row r="168" spans="1:9" x14ac:dyDescent="0.25">
      <c r="A168" s="375">
        <v>0</v>
      </c>
      <c r="B168" s="375">
        <v>700</v>
      </c>
      <c r="C168" s="375">
        <v>3.82</v>
      </c>
      <c r="D168" s="375">
        <v>3</v>
      </c>
      <c r="E168" s="405">
        <f t="shared" si="10"/>
        <v>0.70782000000000012</v>
      </c>
      <c r="F168" s="405">
        <f t="shared" si="11"/>
        <v>2.0295619873627393</v>
      </c>
      <c r="G168" s="405">
        <f t="shared" si="12"/>
        <v>0.66991928068436424</v>
      </c>
      <c r="H168" s="405">
        <f t="shared" si="13"/>
        <v>-1.1084180504455139</v>
      </c>
      <c r="I168" s="375">
        <f t="shared" si="14"/>
        <v>-1.1034092880148525</v>
      </c>
    </row>
    <row r="169" spans="1:9" x14ac:dyDescent="0.25">
      <c r="A169" s="375">
        <v>0</v>
      </c>
      <c r="B169" s="375">
        <v>600</v>
      </c>
      <c r="C169" s="375">
        <v>3.13</v>
      </c>
      <c r="D169" s="375">
        <v>2</v>
      </c>
      <c r="E169" s="405">
        <f t="shared" si="10"/>
        <v>0.60612999999999995</v>
      </c>
      <c r="F169" s="405">
        <f t="shared" si="11"/>
        <v>1.833322693485296</v>
      </c>
      <c r="G169" s="405">
        <f t="shared" si="12"/>
        <v>0.64705749814544045</v>
      </c>
      <c r="H169" s="405">
        <f t="shared" si="13"/>
        <v>-1.0414501195806267</v>
      </c>
      <c r="I169" s="375">
        <f t="shared" si="14"/>
        <v>-1.0381564614220213</v>
      </c>
    </row>
    <row r="170" spans="1:9" x14ac:dyDescent="0.25">
      <c r="A170" s="375">
        <v>0</v>
      </c>
      <c r="B170" s="375">
        <v>640</v>
      </c>
      <c r="C170" s="375">
        <v>3.5</v>
      </c>
      <c r="D170" s="375">
        <v>2</v>
      </c>
      <c r="E170" s="405">
        <f t="shared" si="10"/>
        <v>0.64649999999999996</v>
      </c>
      <c r="F170" s="405">
        <f t="shared" si="11"/>
        <v>1.9088481551237584</v>
      </c>
      <c r="G170" s="405">
        <f t="shared" si="12"/>
        <v>0.65622131281120299</v>
      </c>
      <c r="H170" s="405">
        <f t="shared" si="13"/>
        <v>-1.0677571798432806</v>
      </c>
      <c r="I170" s="375">
        <f t="shared" si="14"/>
        <v>-1.0644451885013884</v>
      </c>
    </row>
    <row r="171" spans="1:9" x14ac:dyDescent="0.25">
      <c r="A171" s="375">
        <v>1</v>
      </c>
      <c r="B171" s="375">
        <v>700</v>
      </c>
      <c r="C171" s="375">
        <v>3.56</v>
      </c>
      <c r="D171" s="375">
        <v>2</v>
      </c>
      <c r="E171" s="405">
        <f t="shared" si="10"/>
        <v>0.70656000000000008</v>
      </c>
      <c r="F171" s="405">
        <f t="shared" si="11"/>
        <v>2.0270063496485333</v>
      </c>
      <c r="G171" s="405">
        <f t="shared" si="12"/>
        <v>0.66964060048433316</v>
      </c>
      <c r="H171" s="405">
        <f t="shared" si="13"/>
        <v>-0.40101412770785821</v>
      </c>
      <c r="I171" s="375">
        <f t="shared" si="14"/>
        <v>-0.39967528905104976</v>
      </c>
    </row>
    <row r="172" spans="1:9" x14ac:dyDescent="0.25">
      <c r="A172" s="375">
        <v>0</v>
      </c>
      <c r="B172" s="375">
        <v>520</v>
      </c>
      <c r="C172" s="375">
        <v>2.73</v>
      </c>
      <c r="D172" s="375">
        <v>2</v>
      </c>
      <c r="E172" s="405">
        <f t="shared" si="10"/>
        <v>0.52573000000000003</v>
      </c>
      <c r="F172" s="405">
        <f t="shared" si="11"/>
        <v>1.6916933338707911</v>
      </c>
      <c r="G172" s="405">
        <f t="shared" si="12"/>
        <v>0.62848665283799265</v>
      </c>
      <c r="H172" s="405">
        <f t="shared" si="13"/>
        <v>-0.99017048771195093</v>
      </c>
      <c r="I172" s="375">
        <f t="shared" si="14"/>
        <v>-0.98691398146857412</v>
      </c>
    </row>
    <row r="173" spans="1:9" x14ac:dyDescent="0.25">
      <c r="A173" s="375">
        <v>0</v>
      </c>
      <c r="B173" s="375">
        <v>580</v>
      </c>
      <c r="C173" s="375">
        <v>3.3</v>
      </c>
      <c r="D173" s="375">
        <v>2</v>
      </c>
      <c r="E173" s="405">
        <f t="shared" si="10"/>
        <v>0.58629999999999993</v>
      </c>
      <c r="F173" s="405">
        <f t="shared" si="11"/>
        <v>1.7973259913460942</v>
      </c>
      <c r="G173" s="405">
        <f t="shared" si="12"/>
        <v>0.64251574428806835</v>
      </c>
      <c r="H173" s="405">
        <f t="shared" si="13"/>
        <v>-1.0286639577844872</v>
      </c>
      <c r="I173" s="375">
        <f t="shared" si="14"/>
        <v>-1.02537938576167</v>
      </c>
    </row>
    <row r="174" spans="1:9" x14ac:dyDescent="0.25">
      <c r="A174" s="375">
        <v>0</v>
      </c>
      <c r="B174" s="375">
        <v>700</v>
      </c>
      <c r="C174" s="375">
        <v>4</v>
      </c>
      <c r="D174" s="375">
        <v>1</v>
      </c>
      <c r="E174" s="405">
        <f t="shared" si="10"/>
        <v>0.70600000000000007</v>
      </c>
      <c r="F174" s="405">
        <f t="shared" si="11"/>
        <v>2.0258715438680048</v>
      </c>
      <c r="G174" s="405">
        <f t="shared" si="12"/>
        <v>0.66951670436026212</v>
      </c>
      <c r="H174" s="405">
        <f t="shared" si="13"/>
        <v>-1.1071991636614038</v>
      </c>
      <c r="I174" s="375">
        <f t="shared" si="14"/>
        <v>-1.1055297576015866</v>
      </c>
    </row>
    <row r="175" spans="1:9" x14ac:dyDescent="0.25">
      <c r="A175" s="375">
        <v>0</v>
      </c>
      <c r="B175" s="375">
        <v>440</v>
      </c>
      <c r="C175" s="375">
        <v>3.24</v>
      </c>
      <c r="D175" s="375">
        <v>4</v>
      </c>
      <c r="E175" s="405">
        <f t="shared" si="10"/>
        <v>0.44824000000000003</v>
      </c>
      <c r="F175" s="405">
        <f t="shared" si="11"/>
        <v>1.5655543836212313</v>
      </c>
      <c r="G175" s="405">
        <f t="shared" si="12"/>
        <v>0.61022069678814639</v>
      </c>
      <c r="H175" s="405">
        <f t="shared" si="13"/>
        <v>-0.94217458923454456</v>
      </c>
      <c r="I175" s="375">
        <f t="shared" si="14"/>
        <v>-0.9357356098167694</v>
      </c>
    </row>
    <row r="176" spans="1:9" x14ac:dyDescent="0.25">
      <c r="A176" s="375">
        <v>0</v>
      </c>
      <c r="B176" s="375">
        <v>720</v>
      </c>
      <c r="C176" s="375">
        <v>3.77</v>
      </c>
      <c r="D176" s="375">
        <v>3</v>
      </c>
      <c r="E176" s="405">
        <f t="shared" si="10"/>
        <v>0.72777000000000003</v>
      </c>
      <c r="F176" s="405">
        <f t="shared" si="11"/>
        <v>2.0704583336700328</v>
      </c>
      <c r="G176" s="405">
        <f t="shared" si="12"/>
        <v>0.67431572380116689</v>
      </c>
      <c r="H176" s="405">
        <f t="shared" si="13"/>
        <v>-1.1218268448108724</v>
      </c>
      <c r="I176" s="375">
        <f t="shared" si="14"/>
        <v>-1.1168048862469007</v>
      </c>
    </row>
    <row r="177" spans="1:9" x14ac:dyDescent="0.25">
      <c r="A177" s="375">
        <v>0</v>
      </c>
      <c r="B177" s="375">
        <v>500</v>
      </c>
      <c r="C177" s="375">
        <v>4</v>
      </c>
      <c r="D177" s="375">
        <v>3</v>
      </c>
      <c r="E177" s="405">
        <f t="shared" si="10"/>
        <v>0.50800000000000001</v>
      </c>
      <c r="F177" s="405">
        <f t="shared" si="11"/>
        <v>1.6619639409191058</v>
      </c>
      <c r="G177" s="405">
        <f t="shared" si="12"/>
        <v>0.62433751087750411</v>
      </c>
      <c r="H177" s="405">
        <f t="shared" si="13"/>
        <v>-0.97906417402058266</v>
      </c>
      <c r="I177" s="375">
        <f t="shared" si="14"/>
        <v>-0.97419221718091209</v>
      </c>
    </row>
    <row r="178" spans="1:9" x14ac:dyDescent="0.25">
      <c r="A178" s="375">
        <v>0</v>
      </c>
      <c r="B178" s="375">
        <v>600</v>
      </c>
      <c r="C178" s="375">
        <v>3.62</v>
      </c>
      <c r="D178" s="375">
        <v>3</v>
      </c>
      <c r="E178" s="405">
        <f t="shared" si="10"/>
        <v>0.60761999999999994</v>
      </c>
      <c r="F178" s="405">
        <f t="shared" si="11"/>
        <v>1.836056380389578</v>
      </c>
      <c r="G178" s="405">
        <f t="shared" si="12"/>
        <v>0.64739770093617333</v>
      </c>
      <c r="H178" s="405">
        <f t="shared" si="13"/>
        <v>-1.0424144887224756</v>
      </c>
      <c r="I178" s="375">
        <f t="shared" si="14"/>
        <v>-1.0374733231548352</v>
      </c>
    </row>
    <row r="179" spans="1:9" x14ac:dyDescent="0.25">
      <c r="A179" s="375">
        <v>0</v>
      </c>
      <c r="B179" s="375">
        <v>400</v>
      </c>
      <c r="C179" s="375">
        <v>3.51</v>
      </c>
      <c r="D179" s="375">
        <v>3</v>
      </c>
      <c r="E179" s="405">
        <f t="shared" si="10"/>
        <v>0.40751000000000004</v>
      </c>
      <c r="F179" s="405">
        <f t="shared" si="11"/>
        <v>1.503070476163705</v>
      </c>
      <c r="G179" s="405">
        <f t="shared" si="12"/>
        <v>0.60049067354562236</v>
      </c>
      <c r="H179" s="405">
        <f t="shared" si="13"/>
        <v>-0.91751816873071423</v>
      </c>
      <c r="I179" s="375">
        <f t="shared" si="14"/>
        <v>-0.91271777648400287</v>
      </c>
    </row>
    <row r="180" spans="1:9" x14ac:dyDescent="0.25">
      <c r="A180" s="375">
        <v>0</v>
      </c>
      <c r="B180" s="375">
        <v>540</v>
      </c>
      <c r="C180" s="375">
        <v>2.81</v>
      </c>
      <c r="D180" s="375">
        <v>3</v>
      </c>
      <c r="E180" s="405">
        <f t="shared" si="10"/>
        <v>0.54681000000000002</v>
      </c>
      <c r="F180" s="405">
        <f t="shared" si="11"/>
        <v>1.7277327502484825</v>
      </c>
      <c r="G180" s="405">
        <f t="shared" si="12"/>
        <v>0.6333951704363614</v>
      </c>
      <c r="H180" s="405">
        <f t="shared" si="13"/>
        <v>-1.0034707697308514</v>
      </c>
      <c r="I180" s="375">
        <f t="shared" si="14"/>
        <v>-0.99857162942378819</v>
      </c>
    </row>
    <row r="181" spans="1:9" x14ac:dyDescent="0.25">
      <c r="A181" s="375">
        <v>0</v>
      </c>
      <c r="B181" s="375">
        <v>680</v>
      </c>
      <c r="C181" s="375">
        <v>3.48</v>
      </c>
      <c r="D181" s="375">
        <v>3</v>
      </c>
      <c r="E181" s="405">
        <f t="shared" si="10"/>
        <v>0.68748000000000009</v>
      </c>
      <c r="F181" s="405">
        <f t="shared" si="11"/>
        <v>1.9886976952306452</v>
      </c>
      <c r="G181" s="405">
        <f t="shared" si="12"/>
        <v>0.66540610594514227</v>
      </c>
      <c r="H181" s="405">
        <f t="shared" si="13"/>
        <v>-1.0948377390870796</v>
      </c>
      <c r="I181" s="375">
        <f t="shared" si="14"/>
        <v>-1.0898425229841175</v>
      </c>
    </row>
    <row r="182" spans="1:9" x14ac:dyDescent="0.25">
      <c r="A182" s="375">
        <v>1</v>
      </c>
      <c r="B182" s="375">
        <v>800</v>
      </c>
      <c r="C182" s="375">
        <v>3.43</v>
      </c>
      <c r="D182" s="375">
        <v>2</v>
      </c>
      <c r="E182" s="405">
        <f t="shared" si="10"/>
        <v>0.80643000000000009</v>
      </c>
      <c r="F182" s="405">
        <f t="shared" si="11"/>
        <v>2.2398972628141185</v>
      </c>
      <c r="G182" s="405">
        <f t="shared" si="12"/>
        <v>0.69134823765016018</v>
      </c>
      <c r="H182" s="405">
        <f t="shared" si="13"/>
        <v>-0.36911162029350858</v>
      </c>
      <c r="I182" s="375">
        <f t="shared" si="14"/>
        <v>-0.36772935069875501</v>
      </c>
    </row>
    <row r="183" spans="1:9" x14ac:dyDescent="0.25">
      <c r="A183" s="375">
        <v>0</v>
      </c>
      <c r="B183" s="375">
        <v>500</v>
      </c>
      <c r="C183" s="375">
        <v>3.53</v>
      </c>
      <c r="D183" s="375">
        <v>4</v>
      </c>
      <c r="E183" s="405">
        <f t="shared" si="10"/>
        <v>0.50853000000000004</v>
      </c>
      <c r="F183" s="405">
        <f t="shared" si="11"/>
        <v>1.6628450152718721</v>
      </c>
      <c r="G183" s="405">
        <f t="shared" si="12"/>
        <v>0.62446180898068471</v>
      </c>
      <c r="H183" s="405">
        <f t="shared" si="13"/>
        <v>-0.97939510584106904</v>
      </c>
      <c r="I183" s="375">
        <f t="shared" si="14"/>
        <v>-0.97289913530085748</v>
      </c>
    </row>
    <row r="184" spans="1:9" x14ac:dyDescent="0.25">
      <c r="A184" s="375">
        <v>1</v>
      </c>
      <c r="B184" s="375">
        <v>620</v>
      </c>
      <c r="C184" s="375">
        <v>3.37</v>
      </c>
      <c r="D184" s="375">
        <v>2</v>
      </c>
      <c r="E184" s="405">
        <f t="shared" si="10"/>
        <v>0.62636999999999998</v>
      </c>
      <c r="F184" s="405">
        <f t="shared" si="11"/>
        <v>1.8708072084502509</v>
      </c>
      <c r="G184" s="405">
        <f t="shared" si="12"/>
        <v>0.65166591575481292</v>
      </c>
      <c r="H184" s="405">
        <f t="shared" si="13"/>
        <v>-0.42822324752584923</v>
      </c>
      <c r="I184" s="375">
        <f t="shared" si="14"/>
        <v>-0.42692036978099213</v>
      </c>
    </row>
    <row r="185" spans="1:9" x14ac:dyDescent="0.25">
      <c r="A185" s="375">
        <v>0</v>
      </c>
      <c r="B185" s="375">
        <v>520</v>
      </c>
      <c r="C185" s="375">
        <v>2.62</v>
      </c>
      <c r="D185" s="375">
        <v>2</v>
      </c>
      <c r="E185" s="405">
        <f t="shared" si="10"/>
        <v>0.52561999999999998</v>
      </c>
      <c r="F185" s="405">
        <f t="shared" si="11"/>
        <v>1.6915072578384347</v>
      </c>
      <c r="G185" s="405">
        <f t="shared" si="12"/>
        <v>0.62846096844520272</v>
      </c>
      <c r="H185" s="405">
        <f t="shared" si="13"/>
        <v>-0.99010135559277379</v>
      </c>
      <c r="I185" s="375">
        <f t="shared" si="14"/>
        <v>-0.98684490073136788</v>
      </c>
    </row>
    <row r="186" spans="1:9" x14ac:dyDescent="0.25">
      <c r="A186" s="375">
        <v>1</v>
      </c>
      <c r="B186" s="375">
        <v>620</v>
      </c>
      <c r="C186" s="375">
        <v>3.23</v>
      </c>
      <c r="D186" s="375">
        <v>3</v>
      </c>
      <c r="E186" s="405">
        <f t="shared" si="10"/>
        <v>0.62722999999999995</v>
      </c>
      <c r="F186" s="405">
        <f t="shared" si="11"/>
        <v>1.8724167946723893</v>
      </c>
      <c r="G186" s="405">
        <f t="shared" si="12"/>
        <v>0.65186110809032005</v>
      </c>
      <c r="H186" s="405">
        <f t="shared" si="13"/>
        <v>-0.4279237641497543</v>
      </c>
      <c r="I186" s="375">
        <f t="shared" si="14"/>
        <v>-0.42596920235729097</v>
      </c>
    </row>
    <row r="187" spans="1:9" x14ac:dyDescent="0.25">
      <c r="A187" s="375">
        <v>0</v>
      </c>
      <c r="B187" s="375">
        <v>620</v>
      </c>
      <c r="C187" s="375">
        <v>3.33</v>
      </c>
      <c r="D187" s="375">
        <v>3</v>
      </c>
      <c r="E187" s="405">
        <f t="shared" si="10"/>
        <v>0.62733000000000005</v>
      </c>
      <c r="F187" s="405">
        <f t="shared" si="11"/>
        <v>1.8726040457142528</v>
      </c>
      <c r="G187" s="405">
        <f t="shared" si="12"/>
        <v>0.65188380156606063</v>
      </c>
      <c r="H187" s="405">
        <f t="shared" si="13"/>
        <v>-1.0552189513952428</v>
      </c>
      <c r="I187" s="375">
        <f t="shared" si="14"/>
        <v>-1.0502643214913709</v>
      </c>
    </row>
    <row r="188" spans="1:9" x14ac:dyDescent="0.25">
      <c r="A188" s="375">
        <v>0</v>
      </c>
      <c r="B188" s="375">
        <v>300</v>
      </c>
      <c r="C188" s="375">
        <v>3.01</v>
      </c>
      <c r="D188" s="375">
        <v>3</v>
      </c>
      <c r="E188" s="405">
        <f t="shared" si="10"/>
        <v>0.30701000000000001</v>
      </c>
      <c r="F188" s="405">
        <f t="shared" si="11"/>
        <v>1.3593545615496287</v>
      </c>
      <c r="G188" s="405">
        <f t="shared" si="12"/>
        <v>0.57615526877689882</v>
      </c>
      <c r="H188" s="405">
        <f t="shared" si="13"/>
        <v>-0.85838809076326938</v>
      </c>
      <c r="I188" s="375">
        <f t="shared" si="14"/>
        <v>-0.85366072402561721</v>
      </c>
    </row>
    <row r="189" spans="1:9" x14ac:dyDescent="0.25">
      <c r="A189" s="375">
        <v>0</v>
      </c>
      <c r="B189" s="375">
        <v>620</v>
      </c>
      <c r="C189" s="375">
        <v>3.78</v>
      </c>
      <c r="D189" s="375">
        <v>3</v>
      </c>
      <c r="E189" s="405">
        <f t="shared" si="10"/>
        <v>0.62778</v>
      </c>
      <c r="F189" s="405">
        <f t="shared" si="11"/>
        <v>1.8734469071644273</v>
      </c>
      <c r="G189" s="405">
        <f t="shared" si="12"/>
        <v>0.6519859136750783</v>
      </c>
      <c r="H189" s="405">
        <f t="shared" si="13"/>
        <v>-1.0555123220816953</v>
      </c>
      <c r="I189" s="375">
        <f t="shared" si="14"/>
        <v>-1.0505573857020336</v>
      </c>
    </row>
    <row r="190" spans="1:9" x14ac:dyDescent="0.25">
      <c r="A190" s="375">
        <v>0</v>
      </c>
      <c r="B190" s="375">
        <v>500</v>
      </c>
      <c r="C190" s="375">
        <v>3.88</v>
      </c>
      <c r="D190" s="375">
        <v>4</v>
      </c>
      <c r="E190" s="405">
        <f t="shared" si="10"/>
        <v>0.50888</v>
      </c>
      <c r="F190" s="405">
        <f t="shared" si="11"/>
        <v>1.6634271128883578</v>
      </c>
      <c r="G190" s="405">
        <f t="shared" si="12"/>
        <v>0.62454388364487723</v>
      </c>
      <c r="H190" s="405">
        <f t="shared" si="13"/>
        <v>-0.97961368183748698</v>
      </c>
      <c r="I190" s="375">
        <f t="shared" si="14"/>
        <v>-0.97311738283547888</v>
      </c>
    </row>
    <row r="191" spans="1:9" x14ac:dyDescent="0.25">
      <c r="A191" s="375">
        <v>0</v>
      </c>
      <c r="B191" s="375">
        <v>700</v>
      </c>
      <c r="C191" s="375">
        <v>4</v>
      </c>
      <c r="D191" s="375">
        <v>2</v>
      </c>
      <c r="E191" s="405">
        <f t="shared" si="10"/>
        <v>0.70700000000000007</v>
      </c>
      <c r="F191" s="405">
        <f t="shared" si="11"/>
        <v>2.0278984286853743</v>
      </c>
      <c r="G191" s="405">
        <f t="shared" si="12"/>
        <v>0.66973793092717082</v>
      </c>
      <c r="H191" s="405">
        <f t="shared" si="13"/>
        <v>-1.1078687909853016</v>
      </c>
      <c r="I191" s="375">
        <f t="shared" si="14"/>
        <v>-1.1045297576015864</v>
      </c>
    </row>
    <row r="192" spans="1:9" x14ac:dyDescent="0.25">
      <c r="A192" s="375">
        <v>1</v>
      </c>
      <c r="B192" s="375">
        <v>540</v>
      </c>
      <c r="C192" s="375">
        <v>3.84</v>
      </c>
      <c r="D192" s="375">
        <v>2</v>
      </c>
      <c r="E192" s="405">
        <f t="shared" si="10"/>
        <v>0.54683999999999999</v>
      </c>
      <c r="F192" s="405">
        <f t="shared" si="11"/>
        <v>1.7277845830084775</v>
      </c>
      <c r="G192" s="405">
        <f t="shared" si="12"/>
        <v>0.6334021365803385</v>
      </c>
      <c r="H192" s="405">
        <f t="shared" si="13"/>
        <v>-0.45664977169045684</v>
      </c>
      <c r="I192" s="375">
        <f t="shared" si="14"/>
        <v>-0.45538343190757913</v>
      </c>
    </row>
    <row r="193" spans="1:9" x14ac:dyDescent="0.25">
      <c r="A193" s="375">
        <v>0</v>
      </c>
      <c r="B193" s="375">
        <v>500</v>
      </c>
      <c r="C193" s="375">
        <v>2.79</v>
      </c>
      <c r="D193" s="375">
        <v>4</v>
      </c>
      <c r="E193" s="405">
        <f t="shared" si="10"/>
        <v>0.50778999999999996</v>
      </c>
      <c r="F193" s="405">
        <f t="shared" si="11"/>
        <v>1.6616149651352525</v>
      </c>
      <c r="G193" s="405">
        <f t="shared" si="12"/>
        <v>0.62428825615308936</v>
      </c>
      <c r="H193" s="405">
        <f t="shared" si="13"/>
        <v>-0.97893306831499927</v>
      </c>
      <c r="I193" s="375">
        <f t="shared" si="14"/>
        <v>-0.97243779233071381</v>
      </c>
    </row>
    <row r="194" spans="1:9" x14ac:dyDescent="0.25">
      <c r="A194" s="375">
        <v>0</v>
      </c>
      <c r="B194" s="375">
        <v>800</v>
      </c>
      <c r="C194" s="375">
        <v>3.6</v>
      </c>
      <c r="D194" s="375">
        <v>2</v>
      </c>
      <c r="E194" s="405">
        <f t="shared" si="10"/>
        <v>0.80660000000000009</v>
      </c>
      <c r="F194" s="405">
        <f t="shared" si="11"/>
        <v>2.2402780777171465</v>
      </c>
      <c r="G194" s="405">
        <f t="shared" si="12"/>
        <v>0.69138451206492624</v>
      </c>
      <c r="H194" s="405">
        <f t="shared" si="13"/>
        <v>-1.1756591525772679</v>
      </c>
      <c r="I194" s="375">
        <f t="shared" si="14"/>
        <v>-1.1722768104059316</v>
      </c>
    </row>
    <row r="195" spans="1:9" x14ac:dyDescent="0.25">
      <c r="A195" s="375">
        <v>0</v>
      </c>
      <c r="B195" s="375">
        <v>560</v>
      </c>
      <c r="C195" s="375">
        <v>3.61</v>
      </c>
      <c r="D195" s="375">
        <v>3</v>
      </c>
      <c r="E195" s="405">
        <f t="shared" si="10"/>
        <v>0.56761000000000006</v>
      </c>
      <c r="F195" s="405">
        <f t="shared" si="11"/>
        <v>1.7640459394189505</v>
      </c>
      <c r="G195" s="405">
        <f t="shared" si="12"/>
        <v>0.63821151242869101</v>
      </c>
      <c r="H195" s="405">
        <f t="shared" si="13"/>
        <v>-1.016695526396445</v>
      </c>
      <c r="I195" s="375">
        <f t="shared" si="14"/>
        <v>-1.0117819311851732</v>
      </c>
    </row>
    <row r="196" spans="1:9" x14ac:dyDescent="0.25">
      <c r="A196" s="375">
        <v>0</v>
      </c>
      <c r="B196" s="375">
        <v>580</v>
      </c>
      <c r="C196" s="375">
        <v>2.88</v>
      </c>
      <c r="D196" s="375">
        <v>2</v>
      </c>
      <c r="E196" s="405">
        <f t="shared" si="10"/>
        <v>0.58587999999999996</v>
      </c>
      <c r="F196" s="405">
        <f t="shared" si="11"/>
        <v>1.7965712729316903</v>
      </c>
      <c r="G196" s="405">
        <f t="shared" si="12"/>
        <v>0.64241926902449942</v>
      </c>
      <c r="H196" s="405">
        <f t="shared" si="13"/>
        <v>-1.0283941214312875</v>
      </c>
      <c r="I196" s="375">
        <f t="shared" si="14"/>
        <v>-1.025109742413927</v>
      </c>
    </row>
    <row r="197" spans="1:9" x14ac:dyDescent="0.25">
      <c r="A197" s="375">
        <v>0</v>
      </c>
      <c r="B197" s="375">
        <v>560</v>
      </c>
      <c r="C197" s="375">
        <v>3.07</v>
      </c>
      <c r="D197" s="375">
        <v>2</v>
      </c>
      <c r="E197" s="405">
        <f t="shared" si="10"/>
        <v>0.56607000000000007</v>
      </c>
      <c r="F197" s="405">
        <f t="shared" si="11"/>
        <v>1.7613313994045401</v>
      </c>
      <c r="G197" s="405">
        <f t="shared" si="12"/>
        <v>0.6378558545288544</v>
      </c>
      <c r="H197" s="405">
        <f t="shared" si="13"/>
        <v>-1.0157129545044832</v>
      </c>
      <c r="I197" s="375">
        <f t="shared" si="14"/>
        <v>-1.0124377048718103</v>
      </c>
    </row>
    <row r="198" spans="1:9" x14ac:dyDescent="0.25">
      <c r="A198" s="375">
        <v>0</v>
      </c>
      <c r="B198" s="375">
        <v>500</v>
      </c>
      <c r="C198" s="375">
        <v>3.35</v>
      </c>
      <c r="D198" s="375">
        <v>2</v>
      </c>
      <c r="E198" s="405">
        <f t="shared" si="10"/>
        <v>0.50634999999999997</v>
      </c>
      <c r="F198" s="405">
        <f t="shared" si="11"/>
        <v>1.6592239615212254</v>
      </c>
      <c r="G198" s="405">
        <f t="shared" si="12"/>
        <v>0.62395044025252255</v>
      </c>
      <c r="H198" s="405">
        <f t="shared" si="13"/>
        <v>-0.97803433643909676</v>
      </c>
      <c r="I198" s="375">
        <f t="shared" si="14"/>
        <v>-0.97478690490865971</v>
      </c>
    </row>
    <row r="199" spans="1:9" x14ac:dyDescent="0.25">
      <c r="A199" s="375">
        <v>1</v>
      </c>
      <c r="B199" s="375">
        <v>640</v>
      </c>
      <c r="C199" s="375">
        <v>2.94</v>
      </c>
      <c r="D199" s="375">
        <v>2</v>
      </c>
      <c r="E199" s="405">
        <f t="shared" si="10"/>
        <v>0.64594000000000007</v>
      </c>
      <c r="F199" s="405">
        <f t="shared" si="11"/>
        <v>1.907779499408417</v>
      </c>
      <c r="G199" s="405">
        <f t="shared" si="12"/>
        <v>0.6560949686166202</v>
      </c>
      <c r="H199" s="405">
        <f t="shared" si="13"/>
        <v>-0.42144973128344937</v>
      </c>
      <c r="I199" s="375">
        <f t="shared" si="14"/>
        <v>-0.42013799270880547</v>
      </c>
    </row>
    <row r="200" spans="1:9" x14ac:dyDescent="0.25">
      <c r="A200" s="375">
        <v>0</v>
      </c>
      <c r="B200" s="375">
        <v>800</v>
      </c>
      <c r="C200" s="375">
        <v>3.54</v>
      </c>
      <c r="D200" s="375">
        <v>3</v>
      </c>
      <c r="E200" s="405">
        <f t="shared" si="10"/>
        <v>0.80754000000000004</v>
      </c>
      <c r="F200" s="405">
        <f t="shared" si="11"/>
        <v>2.2423849291752513</v>
      </c>
      <c r="G200" s="405">
        <f t="shared" si="12"/>
        <v>0.69158504562431311</v>
      </c>
      <c r="H200" s="405">
        <f t="shared" si="13"/>
        <v>-1.1763091482750367</v>
      </c>
      <c r="I200" s="375">
        <f t="shared" si="14"/>
        <v>-1.1712353533340061</v>
      </c>
    </row>
    <row r="201" spans="1:9" x14ac:dyDescent="0.25">
      <c r="A201" s="375">
        <v>0</v>
      </c>
      <c r="B201" s="375">
        <v>640</v>
      </c>
      <c r="C201" s="375">
        <v>3.76</v>
      </c>
      <c r="D201" s="375">
        <v>3</v>
      </c>
      <c r="E201" s="405">
        <f t="shared" si="10"/>
        <v>0.64776</v>
      </c>
      <c r="F201" s="405">
        <f t="shared" si="11"/>
        <v>1.9112548196794827</v>
      </c>
      <c r="G201" s="405">
        <f t="shared" si="12"/>
        <v>0.65650550640905558</v>
      </c>
      <c r="H201" s="405">
        <f t="shared" si="13"/>
        <v>-1.0685841977511472</v>
      </c>
      <c r="I201" s="375">
        <f t="shared" si="14"/>
        <v>-1.0636156963264067</v>
      </c>
    </row>
    <row r="202" spans="1:9" x14ac:dyDescent="0.25">
      <c r="A202" s="375">
        <v>0</v>
      </c>
      <c r="B202" s="375">
        <v>380</v>
      </c>
      <c r="C202" s="375">
        <v>3.59</v>
      </c>
      <c r="D202" s="375">
        <v>4</v>
      </c>
      <c r="E202" s="405">
        <f t="shared" ref="E202:E265" si="15">$B$3+$B$4*B202+$B$5*C202+$B$6*D202</f>
        <v>0.38858999999999999</v>
      </c>
      <c r="F202" s="405">
        <f t="shared" ref="F202:F265" si="16">EXP(E202)</f>
        <v>1.4748997184662187</v>
      </c>
      <c r="G202" s="405">
        <f t="shared" ref="G202:G265" si="17">F202/(1+F202)</f>
        <v>0.59594322447144055</v>
      </c>
      <c r="H202" s="405">
        <f t="shared" ref="H202:H265" si="18">A202*LN(G202)+(1-A202)*LN(1-G202)</f>
        <v>-0.90619987740835906</v>
      </c>
      <c r="I202" s="375">
        <f t="shared" ref="I202:I265" si="19">A202*($B$3+B202*$B$4+C202*$B$5)+D202*$B$6-LN(1+EXP($B$3+B202*$B$4+C202*$B$5))</f>
        <v>-0.89981803136136773</v>
      </c>
    </row>
    <row r="203" spans="1:9" x14ac:dyDescent="0.25">
      <c r="A203" s="375">
        <v>1</v>
      </c>
      <c r="B203" s="375">
        <v>600</v>
      </c>
      <c r="C203" s="375">
        <v>3.47</v>
      </c>
      <c r="D203" s="375">
        <v>2</v>
      </c>
      <c r="E203" s="405">
        <f t="shared" si="15"/>
        <v>0.60646999999999995</v>
      </c>
      <c r="F203" s="405">
        <f t="shared" si="16"/>
        <v>1.8339461291791432</v>
      </c>
      <c r="G203" s="405">
        <f t="shared" si="17"/>
        <v>0.64713514145392337</v>
      </c>
      <c r="H203" s="405">
        <f t="shared" si="18"/>
        <v>-0.43520013232957827</v>
      </c>
      <c r="I203" s="375">
        <f t="shared" si="19"/>
        <v>-0.43390631883871034</v>
      </c>
    </row>
    <row r="204" spans="1:9" x14ac:dyDescent="0.25">
      <c r="A204" s="375">
        <v>0</v>
      </c>
      <c r="B204" s="375">
        <v>560</v>
      </c>
      <c r="C204" s="375">
        <v>3.59</v>
      </c>
      <c r="D204" s="375">
        <v>2</v>
      </c>
      <c r="E204" s="405">
        <f t="shared" si="15"/>
        <v>0.56659000000000004</v>
      </c>
      <c r="F204" s="405">
        <f t="shared" si="16"/>
        <v>1.7622475299055171</v>
      </c>
      <c r="G204" s="405">
        <f t="shared" si="17"/>
        <v>0.63797596371306919</v>
      </c>
      <c r="H204" s="405">
        <f t="shared" si="18"/>
        <v>-1.0160446707779724</v>
      </c>
      <c r="I204" s="375">
        <f t="shared" si="19"/>
        <v>-1.0127691808607333</v>
      </c>
    </row>
    <row r="205" spans="1:9" x14ac:dyDescent="0.25">
      <c r="A205" s="375">
        <v>0</v>
      </c>
      <c r="B205" s="375">
        <v>660</v>
      </c>
      <c r="C205" s="375">
        <v>3.07</v>
      </c>
      <c r="D205" s="375">
        <v>3</v>
      </c>
      <c r="E205" s="405">
        <f t="shared" si="15"/>
        <v>0.66707000000000005</v>
      </c>
      <c r="F205" s="405">
        <f t="shared" si="16"/>
        <v>1.9485197855657259</v>
      </c>
      <c r="G205" s="405">
        <f t="shared" si="17"/>
        <v>0.66084677305018247</v>
      </c>
      <c r="H205" s="405">
        <f t="shared" si="18"/>
        <v>-1.0813032768193993</v>
      </c>
      <c r="I205" s="375">
        <f t="shared" si="19"/>
        <v>-1.0763217454018608</v>
      </c>
    </row>
    <row r="206" spans="1:9" x14ac:dyDescent="0.25">
      <c r="A206" s="375">
        <v>1</v>
      </c>
      <c r="B206" s="375">
        <v>400</v>
      </c>
      <c r="C206" s="375">
        <v>3.23</v>
      </c>
      <c r="D206" s="375">
        <v>4</v>
      </c>
      <c r="E206" s="405">
        <f t="shared" si="15"/>
        <v>0.40823000000000004</v>
      </c>
      <c r="F206" s="405">
        <f t="shared" si="16"/>
        <v>1.5041530765959301</v>
      </c>
      <c r="G206" s="405">
        <f t="shared" si="17"/>
        <v>0.60066339021120474</v>
      </c>
      <c r="H206" s="405">
        <f t="shared" si="18"/>
        <v>-0.50972058419516775</v>
      </c>
      <c r="I206" s="375">
        <f t="shared" si="19"/>
        <v>-0.507319850083364</v>
      </c>
    </row>
    <row r="207" spans="1:9" x14ac:dyDescent="0.25">
      <c r="A207" s="375">
        <v>0</v>
      </c>
      <c r="B207" s="375">
        <v>600</v>
      </c>
      <c r="C207" s="375">
        <v>3.63</v>
      </c>
      <c r="D207" s="375">
        <v>3</v>
      </c>
      <c r="E207" s="405">
        <f t="shared" si="15"/>
        <v>0.60763</v>
      </c>
      <c r="F207" s="405">
        <f t="shared" si="16"/>
        <v>1.836074741045185</v>
      </c>
      <c r="G207" s="405">
        <f t="shared" si="17"/>
        <v>0.64739998367198603</v>
      </c>
      <c r="H207" s="405">
        <f t="shared" si="18"/>
        <v>-1.0424209627108982</v>
      </c>
      <c r="I207" s="375">
        <f t="shared" si="19"/>
        <v>-1.0374797902920265</v>
      </c>
    </row>
    <row r="208" spans="1:9" x14ac:dyDescent="0.25">
      <c r="A208" s="375">
        <v>0</v>
      </c>
      <c r="B208" s="375">
        <v>580</v>
      </c>
      <c r="C208" s="375">
        <v>3.77</v>
      </c>
      <c r="D208" s="375">
        <v>4</v>
      </c>
      <c r="E208" s="405">
        <f t="shared" si="15"/>
        <v>0.58877000000000002</v>
      </c>
      <c r="F208" s="405">
        <f t="shared" si="16"/>
        <v>1.8017708737146294</v>
      </c>
      <c r="G208" s="405">
        <f t="shared" si="17"/>
        <v>0.64308287683989473</v>
      </c>
      <c r="H208" s="405">
        <f t="shared" si="18"/>
        <v>-1.0302516721639281</v>
      </c>
      <c r="I208" s="375">
        <f t="shared" si="19"/>
        <v>-1.0236811775745842</v>
      </c>
    </row>
    <row r="209" spans="1:9" x14ac:dyDescent="0.25">
      <c r="A209" s="375">
        <v>0</v>
      </c>
      <c r="B209" s="375">
        <v>800</v>
      </c>
      <c r="C209" s="375">
        <v>3.31</v>
      </c>
      <c r="D209" s="375">
        <v>3</v>
      </c>
      <c r="E209" s="405">
        <f t="shared" si="15"/>
        <v>0.80731000000000008</v>
      </c>
      <c r="F209" s="405">
        <f t="shared" si="16"/>
        <v>2.241869239948076</v>
      </c>
      <c r="G209" s="405">
        <f t="shared" si="17"/>
        <v>0.69153598557355245</v>
      </c>
      <c r="H209" s="405">
        <f t="shared" si="18"/>
        <v>-1.1761500893563663</v>
      </c>
      <c r="I209" s="375">
        <f t="shared" si="19"/>
        <v>-1.1710764416800077</v>
      </c>
    </row>
    <row r="210" spans="1:9" x14ac:dyDescent="0.25">
      <c r="A210" s="375">
        <v>1</v>
      </c>
      <c r="B210" s="375">
        <v>580</v>
      </c>
      <c r="C210" s="375">
        <v>3.2</v>
      </c>
      <c r="D210" s="375">
        <v>2</v>
      </c>
      <c r="E210" s="405">
        <f t="shared" si="15"/>
        <v>0.58619999999999994</v>
      </c>
      <c r="F210" s="405">
        <f t="shared" si="16"/>
        <v>1.7971462677332901</v>
      </c>
      <c r="G210" s="405">
        <f t="shared" si="17"/>
        <v>0.64249277503447633</v>
      </c>
      <c r="H210" s="405">
        <f t="shared" si="18"/>
        <v>-0.44239970735851575</v>
      </c>
      <c r="I210" s="375">
        <f t="shared" si="19"/>
        <v>-0.44111518128728677</v>
      </c>
    </row>
    <row r="211" spans="1:9" x14ac:dyDescent="0.25">
      <c r="A211" s="375">
        <v>1</v>
      </c>
      <c r="B211" s="375">
        <v>700</v>
      </c>
      <c r="C211" s="375">
        <v>4</v>
      </c>
      <c r="D211" s="375">
        <v>1</v>
      </c>
      <c r="E211" s="405">
        <f t="shared" si="15"/>
        <v>0.70600000000000007</v>
      </c>
      <c r="F211" s="405">
        <f t="shared" si="16"/>
        <v>2.0258715438680048</v>
      </c>
      <c r="G211" s="405">
        <f t="shared" si="17"/>
        <v>0.66951670436026212</v>
      </c>
      <c r="H211" s="405">
        <f t="shared" si="18"/>
        <v>-0.40119916366140351</v>
      </c>
      <c r="I211" s="375">
        <f t="shared" si="19"/>
        <v>-0.40052975760158638</v>
      </c>
    </row>
    <row r="212" spans="1:9" x14ac:dyDescent="0.25">
      <c r="A212" s="375">
        <v>0</v>
      </c>
      <c r="B212" s="375">
        <v>420</v>
      </c>
      <c r="C212" s="375">
        <v>3.92</v>
      </c>
      <c r="D212" s="375">
        <v>4</v>
      </c>
      <c r="E212" s="405">
        <f t="shared" si="15"/>
        <v>0.42891999999999997</v>
      </c>
      <c r="F212" s="405">
        <f t="shared" si="16"/>
        <v>1.5355981816287738</v>
      </c>
      <c r="G212" s="405">
        <f t="shared" si="17"/>
        <v>0.6056157449373003</v>
      </c>
      <c r="H212" s="405">
        <f t="shared" si="18"/>
        <v>-0.93042957829115003</v>
      </c>
      <c r="I212" s="375">
        <f t="shared" si="19"/>
        <v>-0.92400902661096296</v>
      </c>
    </row>
    <row r="213" spans="1:9" x14ac:dyDescent="0.25">
      <c r="A213" s="375">
        <v>1</v>
      </c>
      <c r="B213" s="375">
        <v>600</v>
      </c>
      <c r="C213" s="375">
        <v>3.89</v>
      </c>
      <c r="D213" s="375">
        <v>1</v>
      </c>
      <c r="E213" s="405">
        <f t="shared" si="15"/>
        <v>0.60588999999999993</v>
      </c>
      <c r="F213" s="405">
        <f t="shared" si="16"/>
        <v>1.8328827488343293</v>
      </c>
      <c r="G213" s="405">
        <f t="shared" si="17"/>
        <v>0.64700268642905234</v>
      </c>
      <c r="H213" s="405">
        <f t="shared" si="18"/>
        <v>-0.43540483235840011</v>
      </c>
      <c r="I213" s="375">
        <f t="shared" si="19"/>
        <v>-0.43475794387826394</v>
      </c>
    </row>
    <row r="214" spans="1:9" x14ac:dyDescent="0.25">
      <c r="A214" s="375">
        <v>1</v>
      </c>
      <c r="B214" s="375">
        <v>780</v>
      </c>
      <c r="C214" s="375">
        <v>3.8</v>
      </c>
      <c r="D214" s="375">
        <v>3</v>
      </c>
      <c r="E214" s="405">
        <f t="shared" si="15"/>
        <v>0.78780000000000006</v>
      </c>
      <c r="F214" s="405">
        <f t="shared" si="16"/>
        <v>2.1985542824293809</v>
      </c>
      <c r="G214" s="405">
        <f t="shared" si="17"/>
        <v>0.68735875282989556</v>
      </c>
      <c r="H214" s="405">
        <f t="shared" si="18"/>
        <v>-0.3748989209784841</v>
      </c>
      <c r="I214" s="375">
        <f t="shared" si="19"/>
        <v>-0.37283781211728906</v>
      </c>
    </row>
    <row r="215" spans="1:9" x14ac:dyDescent="0.25">
      <c r="A215" s="375">
        <v>0</v>
      </c>
      <c r="B215" s="375">
        <v>740</v>
      </c>
      <c r="C215" s="375">
        <v>3.54</v>
      </c>
      <c r="D215" s="375">
        <v>1</v>
      </c>
      <c r="E215" s="405">
        <f t="shared" si="15"/>
        <v>0.74553999999999998</v>
      </c>
      <c r="F215" s="405">
        <f t="shared" si="16"/>
        <v>2.107579220530067</v>
      </c>
      <c r="G215" s="405">
        <f t="shared" si="17"/>
        <v>0.67820611188491997</v>
      </c>
      <c r="H215" s="405">
        <f t="shared" si="18"/>
        <v>-1.1338440374100618</v>
      </c>
      <c r="I215" s="375">
        <f t="shared" si="19"/>
        <v>-1.1321659404324289</v>
      </c>
    </row>
    <row r="216" spans="1:9" x14ac:dyDescent="0.25">
      <c r="A216" s="375">
        <v>1</v>
      </c>
      <c r="B216" s="375">
        <v>640</v>
      </c>
      <c r="C216" s="375">
        <v>3.63</v>
      </c>
      <c r="D216" s="375">
        <v>1</v>
      </c>
      <c r="E216" s="405">
        <f t="shared" si="15"/>
        <v>0.64563000000000004</v>
      </c>
      <c r="F216" s="405">
        <f t="shared" si="16"/>
        <v>1.9071881794229335</v>
      </c>
      <c r="G216" s="405">
        <f t="shared" si="17"/>
        <v>0.65602501858049778</v>
      </c>
      <c r="H216" s="405">
        <f t="shared" si="18"/>
        <v>-0.42155635268525898</v>
      </c>
      <c r="I216" s="375">
        <f t="shared" si="19"/>
        <v>-0.42090044050650788</v>
      </c>
    </row>
    <row r="217" spans="1:9" x14ac:dyDescent="0.25">
      <c r="A217" s="375">
        <v>0</v>
      </c>
      <c r="B217" s="375">
        <v>540</v>
      </c>
      <c r="C217" s="375">
        <v>3.16</v>
      </c>
      <c r="D217" s="375">
        <v>3</v>
      </c>
      <c r="E217" s="405">
        <f t="shared" si="15"/>
        <v>0.54716000000000009</v>
      </c>
      <c r="F217" s="405">
        <f t="shared" si="16"/>
        <v>1.7283375625470478</v>
      </c>
      <c r="G217" s="405">
        <f t="shared" si="17"/>
        <v>0.63347643864623304</v>
      </c>
      <c r="H217" s="405">
        <f t="shared" si="18"/>
        <v>-1.0036924722626623</v>
      </c>
      <c r="I217" s="375">
        <f t="shared" si="19"/>
        <v>-0.99879308805351663</v>
      </c>
    </row>
    <row r="218" spans="1:9" x14ac:dyDescent="0.25">
      <c r="A218" s="375">
        <v>0</v>
      </c>
      <c r="B218" s="375">
        <v>580</v>
      </c>
      <c r="C218" s="375">
        <v>3.5</v>
      </c>
      <c r="D218" s="375">
        <v>2</v>
      </c>
      <c r="E218" s="405">
        <f t="shared" si="15"/>
        <v>0.58649999999999991</v>
      </c>
      <c r="F218" s="405">
        <f t="shared" si="16"/>
        <v>1.7976854924932797</v>
      </c>
      <c r="G218" s="405">
        <f t="shared" si="17"/>
        <v>0.6425616808311051</v>
      </c>
      <c r="H218" s="405">
        <f t="shared" si="18"/>
        <v>-1.0287924655270428</v>
      </c>
      <c r="I218" s="375">
        <f t="shared" si="19"/>
        <v>-1.0255078016049717</v>
      </c>
    </row>
    <row r="219" spans="1:9" x14ac:dyDescent="0.25">
      <c r="A219" s="375">
        <v>0</v>
      </c>
      <c r="B219" s="375">
        <v>740</v>
      </c>
      <c r="C219" s="375">
        <v>3.34</v>
      </c>
      <c r="D219" s="375">
        <v>4</v>
      </c>
      <c r="E219" s="405">
        <f t="shared" si="15"/>
        <v>0.74834000000000001</v>
      </c>
      <c r="F219" s="405">
        <f t="shared" si="16"/>
        <v>2.1134887117744259</v>
      </c>
      <c r="G219" s="405">
        <f t="shared" si="17"/>
        <v>0.67881688595232315</v>
      </c>
      <c r="H219" s="405">
        <f t="shared" si="18"/>
        <v>-1.1357438697495001</v>
      </c>
      <c r="I219" s="375">
        <f t="shared" si="19"/>
        <v>-1.1290303472328547</v>
      </c>
    </row>
    <row r="220" spans="1:9" x14ac:dyDescent="0.25">
      <c r="A220" s="375">
        <v>0</v>
      </c>
      <c r="B220" s="375">
        <v>580</v>
      </c>
      <c r="C220" s="375">
        <v>3.02</v>
      </c>
      <c r="D220" s="375">
        <v>2</v>
      </c>
      <c r="E220" s="405">
        <f t="shared" si="15"/>
        <v>0.58601999999999999</v>
      </c>
      <c r="F220" s="405">
        <f t="shared" si="16"/>
        <v>1.7968228105171209</v>
      </c>
      <c r="G220" s="405">
        <f t="shared" si="17"/>
        <v>0.64245142872847782</v>
      </c>
      <c r="H220" s="405">
        <f t="shared" si="18"/>
        <v>-1.0284840623801452</v>
      </c>
      <c r="I220" s="375">
        <f t="shared" si="19"/>
        <v>-1.0251996190250701</v>
      </c>
    </row>
    <row r="221" spans="1:9" x14ac:dyDescent="0.25">
      <c r="A221" s="375">
        <v>0</v>
      </c>
      <c r="B221" s="375">
        <v>460</v>
      </c>
      <c r="C221" s="375">
        <v>2.87</v>
      </c>
      <c r="D221" s="375">
        <v>2</v>
      </c>
      <c r="E221" s="405">
        <f t="shared" si="15"/>
        <v>0.46587000000000001</v>
      </c>
      <c r="F221" s="405">
        <f t="shared" si="16"/>
        <v>1.5933998439039652</v>
      </c>
      <c r="G221" s="405">
        <f t="shared" si="17"/>
        <v>0.61440577612796743</v>
      </c>
      <c r="H221" s="405">
        <f t="shared" si="18"/>
        <v>-0.95296969594291936</v>
      </c>
      <c r="I221" s="375">
        <f t="shared" si="19"/>
        <v>-0.94974135828551087</v>
      </c>
    </row>
    <row r="222" spans="1:9" x14ac:dyDescent="0.25">
      <c r="A222" s="375">
        <v>0</v>
      </c>
      <c r="B222" s="375">
        <v>640</v>
      </c>
      <c r="C222" s="375">
        <v>3.38</v>
      </c>
      <c r="D222" s="375">
        <v>3</v>
      </c>
      <c r="E222" s="405">
        <f t="shared" si="15"/>
        <v>0.64738000000000007</v>
      </c>
      <c r="F222" s="405">
        <f t="shared" si="16"/>
        <v>1.9105286808231252</v>
      </c>
      <c r="G222" s="405">
        <f t="shared" si="17"/>
        <v>0.65641980902342789</v>
      </c>
      <c r="H222" s="405">
        <f t="shared" si="18"/>
        <v>-1.0683347419408926</v>
      </c>
      <c r="I222" s="375">
        <f t="shared" si="19"/>
        <v>-1.0633664977288484</v>
      </c>
    </row>
    <row r="223" spans="1:9" x14ac:dyDescent="0.25">
      <c r="A223" s="375">
        <v>1</v>
      </c>
      <c r="B223" s="375">
        <v>600</v>
      </c>
      <c r="C223" s="375">
        <v>3.56</v>
      </c>
      <c r="D223" s="375">
        <v>2</v>
      </c>
      <c r="E223" s="405">
        <f t="shared" si="15"/>
        <v>0.60655999999999999</v>
      </c>
      <c r="F223" s="405">
        <f t="shared" si="16"/>
        <v>1.834111191758474</v>
      </c>
      <c r="G223" s="405">
        <f t="shared" si="17"/>
        <v>0.64715569279427865</v>
      </c>
      <c r="H223" s="405">
        <f t="shared" si="18"/>
        <v>-0.43516837541712367</v>
      </c>
      <c r="I223" s="375">
        <f t="shared" si="19"/>
        <v>-0.43387452081148914</v>
      </c>
    </row>
    <row r="224" spans="1:9" x14ac:dyDescent="0.25">
      <c r="A224" s="375">
        <v>1</v>
      </c>
      <c r="B224" s="375">
        <v>660</v>
      </c>
      <c r="C224" s="375">
        <v>2.91</v>
      </c>
      <c r="D224" s="375">
        <v>3</v>
      </c>
      <c r="E224" s="405">
        <f t="shared" si="15"/>
        <v>0.66691</v>
      </c>
      <c r="F224" s="405">
        <f t="shared" si="16"/>
        <v>1.9482080473397583</v>
      </c>
      <c r="G224" s="405">
        <f t="shared" si="17"/>
        <v>0.66081091159685124</v>
      </c>
      <c r="H224" s="405">
        <f t="shared" si="18"/>
        <v>-0.41428754420460268</v>
      </c>
      <c r="I224" s="375">
        <f t="shared" si="19"/>
        <v>-0.41230612042327641</v>
      </c>
    </row>
    <row r="225" spans="1:9" x14ac:dyDescent="0.25">
      <c r="A225" s="375">
        <v>0</v>
      </c>
      <c r="B225" s="375">
        <v>340</v>
      </c>
      <c r="C225" s="375">
        <v>2.9</v>
      </c>
      <c r="D225" s="375">
        <v>1</v>
      </c>
      <c r="E225" s="405">
        <f t="shared" si="15"/>
        <v>0.34490000000000004</v>
      </c>
      <c r="F225" s="405">
        <f t="shared" si="16"/>
        <v>1.4118487277354066</v>
      </c>
      <c r="G225" s="405">
        <f t="shared" si="17"/>
        <v>0.58538029831624427</v>
      </c>
      <c r="H225" s="405">
        <f t="shared" si="18"/>
        <v>-0.88039356037056604</v>
      </c>
      <c r="I225" s="375">
        <f t="shared" si="19"/>
        <v>-0.87880830143425526</v>
      </c>
    </row>
    <row r="226" spans="1:9" x14ac:dyDescent="0.25">
      <c r="A226" s="375">
        <v>1</v>
      </c>
      <c r="B226" s="375">
        <v>460</v>
      </c>
      <c r="C226" s="375">
        <v>3.64</v>
      </c>
      <c r="D226" s="375">
        <v>1</v>
      </c>
      <c r="E226" s="405">
        <f t="shared" si="15"/>
        <v>0.46564</v>
      </c>
      <c r="F226" s="405">
        <f t="shared" si="16"/>
        <v>1.5930334040820622</v>
      </c>
      <c r="G226" s="405">
        <f t="shared" si="17"/>
        <v>0.61435128509113768</v>
      </c>
      <c r="H226" s="405">
        <f t="shared" si="18"/>
        <v>-0.48718838888082405</v>
      </c>
      <c r="I226" s="375">
        <f t="shared" si="19"/>
        <v>-0.4865741560666515</v>
      </c>
    </row>
    <row r="227" spans="1:9" x14ac:dyDescent="0.25">
      <c r="A227" s="375">
        <v>0</v>
      </c>
      <c r="B227" s="375">
        <v>460</v>
      </c>
      <c r="C227" s="375">
        <v>2.98</v>
      </c>
      <c r="D227" s="375">
        <v>1</v>
      </c>
      <c r="E227" s="405">
        <f t="shared" si="15"/>
        <v>0.46498</v>
      </c>
      <c r="F227" s="405">
        <f t="shared" si="16"/>
        <v>1.5919823489217242</v>
      </c>
      <c r="G227" s="405">
        <f t="shared" si="17"/>
        <v>0.61419490359723927</v>
      </c>
      <c r="H227" s="405">
        <f t="shared" si="18"/>
        <v>-0.9524229686372595</v>
      </c>
      <c r="I227" s="375">
        <f t="shared" si="19"/>
        <v>-0.95080889222243992</v>
      </c>
    </row>
    <row r="228" spans="1:9" x14ac:dyDescent="0.25">
      <c r="A228" s="375">
        <v>1</v>
      </c>
      <c r="B228" s="375">
        <v>560</v>
      </c>
      <c r="C228" s="375">
        <v>3.59</v>
      </c>
      <c r="D228" s="375">
        <v>2</v>
      </c>
      <c r="E228" s="405">
        <f t="shared" si="15"/>
        <v>0.56659000000000004</v>
      </c>
      <c r="F228" s="405">
        <f t="shared" si="16"/>
        <v>1.7622475299055171</v>
      </c>
      <c r="G228" s="405">
        <f t="shared" si="17"/>
        <v>0.63797596371306919</v>
      </c>
      <c r="H228" s="405">
        <f t="shared" si="18"/>
        <v>-0.44945467077797241</v>
      </c>
      <c r="I228" s="375">
        <f t="shared" si="19"/>
        <v>-0.44817918086073327</v>
      </c>
    </row>
    <row r="229" spans="1:9" x14ac:dyDescent="0.25">
      <c r="A229" s="375">
        <v>0</v>
      </c>
      <c r="B229" s="375">
        <v>540</v>
      </c>
      <c r="C229" s="375">
        <v>3.28</v>
      </c>
      <c r="D229" s="375">
        <v>3</v>
      </c>
      <c r="E229" s="405">
        <f t="shared" si="15"/>
        <v>0.54727999999999999</v>
      </c>
      <c r="F229" s="405">
        <f t="shared" si="16"/>
        <v>1.7285449754990816</v>
      </c>
      <c r="G229" s="405">
        <f t="shared" si="17"/>
        <v>0.633504300284774</v>
      </c>
      <c r="H229" s="405">
        <f t="shared" si="18"/>
        <v>-1.0037684911070071</v>
      </c>
      <c r="I229" s="375">
        <f t="shared" si="19"/>
        <v>-0.99886902327952176</v>
      </c>
    </row>
    <row r="230" spans="1:9" x14ac:dyDescent="0.25">
      <c r="A230" s="375">
        <v>0</v>
      </c>
      <c r="B230" s="375">
        <v>680</v>
      </c>
      <c r="C230" s="375">
        <v>3.99</v>
      </c>
      <c r="D230" s="375">
        <v>3</v>
      </c>
      <c r="E230" s="405">
        <f t="shared" si="15"/>
        <v>0.6879900000000001</v>
      </c>
      <c r="F230" s="405">
        <f t="shared" si="16"/>
        <v>1.9897121897293208</v>
      </c>
      <c r="G230" s="405">
        <f t="shared" si="17"/>
        <v>0.66551964318326673</v>
      </c>
      <c r="H230" s="405">
        <f t="shared" si="18"/>
        <v>-1.0951771251539215</v>
      </c>
      <c r="I230" s="375">
        <f t="shared" si="19"/>
        <v>-1.0901815682703413</v>
      </c>
    </row>
    <row r="231" spans="1:9" x14ac:dyDescent="0.25">
      <c r="A231" s="375">
        <v>1</v>
      </c>
      <c r="B231" s="375">
        <v>480</v>
      </c>
      <c r="C231" s="375">
        <v>3.02</v>
      </c>
      <c r="D231" s="375">
        <v>1</v>
      </c>
      <c r="E231" s="405">
        <f t="shared" si="15"/>
        <v>0.48502000000000001</v>
      </c>
      <c r="F231" s="405">
        <f t="shared" si="16"/>
        <v>1.6242074926692434</v>
      </c>
      <c r="G231" s="405">
        <f t="shared" si="17"/>
        <v>0.61893257191227724</v>
      </c>
      <c r="H231" s="405">
        <f t="shared" si="18"/>
        <v>-0.47975894290575261</v>
      </c>
      <c r="I231" s="375">
        <f t="shared" si="19"/>
        <v>-0.47914012827070818</v>
      </c>
    </row>
    <row r="232" spans="1:9" x14ac:dyDescent="0.25">
      <c r="A232" s="375">
        <v>0</v>
      </c>
      <c r="B232" s="375">
        <v>800</v>
      </c>
      <c r="C232" s="375">
        <v>3.47</v>
      </c>
      <c r="D232" s="375">
        <v>3</v>
      </c>
      <c r="E232" s="405">
        <f t="shared" si="15"/>
        <v>0.80747000000000002</v>
      </c>
      <c r="F232" s="405">
        <f t="shared" si="16"/>
        <v>2.2422279677239243</v>
      </c>
      <c r="G232" s="405">
        <f t="shared" si="17"/>
        <v>0.69157011476216157</v>
      </c>
      <c r="H232" s="405">
        <f t="shared" si="18"/>
        <v>-1.1762607378444208</v>
      </c>
      <c r="I232" s="375">
        <f t="shared" si="19"/>
        <v>-1.1711869877217016</v>
      </c>
    </row>
    <row r="233" spans="1:9" x14ac:dyDescent="0.25">
      <c r="A233" s="375">
        <v>0</v>
      </c>
      <c r="B233" s="375">
        <v>800</v>
      </c>
      <c r="C233" s="375">
        <v>2.9</v>
      </c>
      <c r="D233" s="375">
        <v>2</v>
      </c>
      <c r="E233" s="405">
        <f t="shared" si="15"/>
        <v>0.80590000000000006</v>
      </c>
      <c r="F233" s="405">
        <f t="shared" si="16"/>
        <v>2.238710431802827</v>
      </c>
      <c r="G233" s="405">
        <f t="shared" si="17"/>
        <v>0.6912351316806824</v>
      </c>
      <c r="H233" s="405">
        <f t="shared" si="18"/>
        <v>-1.175175235699623</v>
      </c>
      <c r="I233" s="375">
        <f t="shared" si="19"/>
        <v>-1.1717931924033109</v>
      </c>
    </row>
    <row r="234" spans="1:9" x14ac:dyDescent="0.25">
      <c r="A234" s="375">
        <v>1</v>
      </c>
      <c r="B234" s="375">
        <v>720</v>
      </c>
      <c r="C234" s="375">
        <v>3.5</v>
      </c>
      <c r="D234" s="375">
        <v>3</v>
      </c>
      <c r="E234" s="405">
        <f t="shared" si="15"/>
        <v>0.72749999999999992</v>
      </c>
      <c r="F234" s="405">
        <f t="shared" si="16"/>
        <v>2.0698993853813561</v>
      </c>
      <c r="G234" s="405">
        <f t="shared" si="17"/>
        <v>0.67425642522294726</v>
      </c>
      <c r="H234" s="405">
        <f t="shared" si="18"/>
        <v>-0.39414478757062832</v>
      </c>
      <c r="I234" s="375">
        <f t="shared" si="19"/>
        <v>-0.39212300699532066</v>
      </c>
    </row>
    <row r="235" spans="1:9" x14ac:dyDescent="0.25">
      <c r="A235" s="375">
        <v>0</v>
      </c>
      <c r="B235" s="375">
        <v>620</v>
      </c>
      <c r="C235" s="375">
        <v>3.58</v>
      </c>
      <c r="D235" s="375">
        <v>2</v>
      </c>
      <c r="E235" s="405">
        <f t="shared" si="15"/>
        <v>0.62658000000000003</v>
      </c>
      <c r="F235" s="405">
        <f t="shared" si="16"/>
        <v>1.8712001192182122</v>
      </c>
      <c r="G235" s="405">
        <f t="shared" si="17"/>
        <v>0.65171358370092081</v>
      </c>
      <c r="H235" s="405">
        <f t="shared" si="18"/>
        <v>-1.0547301023733451</v>
      </c>
      <c r="I235" s="375">
        <f t="shared" si="19"/>
        <v>-1.0514271292636961</v>
      </c>
    </row>
    <row r="236" spans="1:9" x14ac:dyDescent="0.25">
      <c r="A236" s="375">
        <v>0</v>
      </c>
      <c r="B236" s="375">
        <v>540</v>
      </c>
      <c r="C236" s="375">
        <v>3.02</v>
      </c>
      <c r="D236" s="375">
        <v>4</v>
      </c>
      <c r="E236" s="405">
        <f t="shared" si="15"/>
        <v>0.54802000000000006</v>
      </c>
      <c r="F236" s="405">
        <f t="shared" si="16"/>
        <v>1.7298245721733281</v>
      </c>
      <c r="G236" s="405">
        <f t="shared" si="17"/>
        <v>0.63367609399022373</v>
      </c>
      <c r="H236" s="405">
        <f t="shared" si="18"/>
        <v>-1.0042373478549833</v>
      </c>
      <c r="I236" s="375">
        <f t="shared" si="19"/>
        <v>-0.99770450118564447</v>
      </c>
    </row>
    <row r="237" spans="1:9" x14ac:dyDescent="0.25">
      <c r="A237" s="375">
        <v>0</v>
      </c>
      <c r="B237" s="375">
        <v>480</v>
      </c>
      <c r="C237" s="375">
        <v>3.43</v>
      </c>
      <c r="D237" s="375">
        <v>2</v>
      </c>
      <c r="E237" s="405">
        <f t="shared" si="15"/>
        <v>0.48642999999999997</v>
      </c>
      <c r="F237" s="405">
        <f t="shared" si="16"/>
        <v>1.626499240536468</v>
      </c>
      <c r="G237" s="405">
        <f t="shared" si="17"/>
        <v>0.61926507170976841</v>
      </c>
      <c r="H237" s="405">
        <f t="shared" si="18"/>
        <v>-0.96565187225762772</v>
      </c>
      <c r="I237" s="375">
        <f t="shared" si="19"/>
        <v>-0.96241381374081436</v>
      </c>
    </row>
    <row r="238" spans="1:9" x14ac:dyDescent="0.25">
      <c r="A238" s="375">
        <v>1</v>
      </c>
      <c r="B238" s="375">
        <v>720</v>
      </c>
      <c r="C238" s="375">
        <v>3.42</v>
      </c>
      <c r="D238" s="375">
        <v>2</v>
      </c>
      <c r="E238" s="405">
        <f t="shared" si="15"/>
        <v>0.72641999999999995</v>
      </c>
      <c r="F238" s="405">
        <f t="shared" si="16"/>
        <v>2.0676651007760039</v>
      </c>
      <c r="G238" s="405">
        <f t="shared" si="17"/>
        <v>0.67401917512213516</v>
      </c>
      <c r="H238" s="405">
        <f t="shared" si="18"/>
        <v>-0.39449671873841052</v>
      </c>
      <c r="I238" s="375">
        <f t="shared" si="19"/>
        <v>-0.39314911992473311</v>
      </c>
    </row>
    <row r="239" spans="1:9" x14ac:dyDescent="0.25">
      <c r="A239" s="375">
        <v>0</v>
      </c>
      <c r="B239" s="375">
        <v>580</v>
      </c>
      <c r="C239" s="375">
        <v>3.29</v>
      </c>
      <c r="D239" s="375">
        <v>4</v>
      </c>
      <c r="E239" s="405">
        <f t="shared" si="15"/>
        <v>0.58828999999999998</v>
      </c>
      <c r="F239" s="405">
        <f t="shared" si="16"/>
        <v>1.8009062312260447</v>
      </c>
      <c r="G239" s="405">
        <f t="shared" si="17"/>
        <v>0.64297269617545583</v>
      </c>
      <c r="H239" s="405">
        <f t="shared" si="18"/>
        <v>-1.0299430188257994</v>
      </c>
      <c r="I239" s="375">
        <f t="shared" si="19"/>
        <v>-1.0233729652108114</v>
      </c>
    </row>
    <row r="240" spans="1:9" x14ac:dyDescent="0.25">
      <c r="A240" s="375">
        <v>0</v>
      </c>
      <c r="B240" s="375">
        <v>600</v>
      </c>
      <c r="C240" s="375">
        <v>3.28</v>
      </c>
      <c r="D240" s="375">
        <v>3</v>
      </c>
      <c r="E240" s="405">
        <f t="shared" si="15"/>
        <v>0.60727999999999993</v>
      </c>
      <c r="F240" s="405">
        <f t="shared" si="16"/>
        <v>1.8354322273322778</v>
      </c>
      <c r="G240" s="405">
        <f t="shared" si="17"/>
        <v>0.647320083915089</v>
      </c>
      <c r="H240" s="405">
        <f t="shared" si="18"/>
        <v>-1.0421943866988301</v>
      </c>
      <c r="I240" s="375">
        <f t="shared" si="19"/>
        <v>-1.037253454085062</v>
      </c>
    </row>
    <row r="241" spans="1:9" x14ac:dyDescent="0.25">
      <c r="A241" s="375">
        <v>0</v>
      </c>
      <c r="B241" s="375">
        <v>380</v>
      </c>
      <c r="C241" s="375">
        <v>3.38</v>
      </c>
      <c r="D241" s="375">
        <v>2</v>
      </c>
      <c r="E241" s="405">
        <f t="shared" si="15"/>
        <v>0.38638</v>
      </c>
      <c r="F241" s="405">
        <f t="shared" si="16"/>
        <v>1.4716437892154208</v>
      </c>
      <c r="G241" s="405">
        <f t="shared" si="17"/>
        <v>0.59541095510472719</v>
      </c>
      <c r="H241" s="405">
        <f t="shared" si="18"/>
        <v>-0.90488343099847257</v>
      </c>
      <c r="I241" s="375">
        <f t="shared" si="19"/>
        <v>-0.90169309094298211</v>
      </c>
    </row>
    <row r="242" spans="1:9" x14ac:dyDescent="0.25">
      <c r="A242" s="375">
        <v>0</v>
      </c>
      <c r="B242" s="375">
        <v>420</v>
      </c>
      <c r="C242" s="375">
        <v>2.67</v>
      </c>
      <c r="D242" s="375">
        <v>3</v>
      </c>
      <c r="E242" s="405">
        <f t="shared" si="15"/>
        <v>0.42666999999999999</v>
      </c>
      <c r="F242" s="405">
        <f t="shared" si="16"/>
        <v>1.5321469697894083</v>
      </c>
      <c r="G242" s="405">
        <f t="shared" si="17"/>
        <v>0.60507821547057861</v>
      </c>
      <c r="H242" s="405">
        <f t="shared" si="18"/>
        <v>-0.92906754753791199</v>
      </c>
      <c r="I242" s="375">
        <f t="shared" si="19"/>
        <v>-0.92425338843069316</v>
      </c>
    </row>
    <row r="243" spans="1:9" x14ac:dyDescent="0.25">
      <c r="A243" s="375">
        <v>1</v>
      </c>
      <c r="B243" s="375">
        <v>800</v>
      </c>
      <c r="C243" s="375">
        <v>3.53</v>
      </c>
      <c r="D243" s="375">
        <v>1</v>
      </c>
      <c r="E243" s="405">
        <f t="shared" si="15"/>
        <v>0.80553000000000008</v>
      </c>
      <c r="F243" s="405">
        <f t="shared" si="16"/>
        <v>2.237882262163891</v>
      </c>
      <c r="G243" s="405">
        <f t="shared" si="17"/>
        <v>0.69115615731756241</v>
      </c>
      <c r="H243" s="405">
        <f t="shared" si="18"/>
        <v>-0.36938949331081378</v>
      </c>
      <c r="I243" s="375">
        <f t="shared" si="19"/>
        <v>-0.36869844389675688</v>
      </c>
    </row>
    <row r="244" spans="1:9" x14ac:dyDescent="0.25">
      <c r="A244" s="375">
        <v>0</v>
      </c>
      <c r="B244" s="375">
        <v>620</v>
      </c>
      <c r="C244" s="375">
        <v>3.05</v>
      </c>
      <c r="D244" s="375">
        <v>2</v>
      </c>
      <c r="E244" s="405">
        <f t="shared" si="15"/>
        <v>0.62605</v>
      </c>
      <c r="F244" s="405">
        <f t="shared" si="16"/>
        <v>1.8702086459186595</v>
      </c>
      <c r="G244" s="405">
        <f t="shared" si="17"/>
        <v>0.65159327304585801</v>
      </c>
      <c r="H244" s="405">
        <f t="shared" si="18"/>
        <v>-1.0543847260554531</v>
      </c>
      <c r="I244" s="375">
        <f t="shared" si="19"/>
        <v>-1.051081993640038</v>
      </c>
    </row>
    <row r="245" spans="1:9" x14ac:dyDescent="0.25">
      <c r="A245" s="375">
        <v>1</v>
      </c>
      <c r="B245" s="375">
        <v>660</v>
      </c>
      <c r="C245" s="375">
        <v>3.49</v>
      </c>
      <c r="D245" s="375">
        <v>2</v>
      </c>
      <c r="E245" s="405">
        <f t="shared" si="15"/>
        <v>0.66649000000000003</v>
      </c>
      <c r="F245" s="405">
        <f t="shared" si="16"/>
        <v>1.9473899717677714</v>
      </c>
      <c r="G245" s="405">
        <f t="shared" si="17"/>
        <v>0.66071676650232181</v>
      </c>
      <c r="H245" s="405">
        <f t="shared" si="18"/>
        <v>-0.41443002339175689</v>
      </c>
      <c r="I245" s="375">
        <f t="shared" si="19"/>
        <v>-0.41310903829501688</v>
      </c>
    </row>
    <row r="246" spans="1:9" x14ac:dyDescent="0.25">
      <c r="A246" s="375">
        <v>0</v>
      </c>
      <c r="B246" s="375">
        <v>480</v>
      </c>
      <c r="C246" s="375">
        <v>4</v>
      </c>
      <c r="D246" s="375">
        <v>2</v>
      </c>
      <c r="E246" s="405">
        <f t="shared" si="15"/>
        <v>0.48699999999999999</v>
      </c>
      <c r="F246" s="405">
        <f t="shared" si="16"/>
        <v>1.6274266093785854</v>
      </c>
      <c r="G246" s="405">
        <f t="shared" si="17"/>
        <v>0.61939945480094272</v>
      </c>
      <c r="H246" s="405">
        <f t="shared" si="18"/>
        <v>-0.96600489164855141</v>
      </c>
      <c r="I246" s="375">
        <f t="shared" si="19"/>
        <v>-0.96276656430148544</v>
      </c>
    </row>
    <row r="247" spans="1:9" x14ac:dyDescent="0.25">
      <c r="A247" s="375">
        <v>0</v>
      </c>
      <c r="B247" s="375">
        <v>500</v>
      </c>
      <c r="C247" s="375">
        <v>2.86</v>
      </c>
      <c r="D247" s="375">
        <v>4</v>
      </c>
      <c r="E247" s="405">
        <f t="shared" si="15"/>
        <v>0.50785999999999998</v>
      </c>
      <c r="F247" s="405">
        <f t="shared" si="16"/>
        <v>1.6617312822538637</v>
      </c>
      <c r="G247" s="405">
        <f t="shared" si="17"/>
        <v>0.62430467468029538</v>
      </c>
      <c r="H247" s="405">
        <f t="shared" si="18"/>
        <v>-0.97897676906758035</v>
      </c>
      <c r="I247" s="375">
        <f t="shared" si="19"/>
        <v>-0.97248142737660503</v>
      </c>
    </row>
    <row r="248" spans="1:9" x14ac:dyDescent="0.25">
      <c r="A248" s="375">
        <v>0</v>
      </c>
      <c r="B248" s="375">
        <v>700</v>
      </c>
      <c r="C248" s="375">
        <v>3.45</v>
      </c>
      <c r="D248" s="375">
        <v>3</v>
      </c>
      <c r="E248" s="405">
        <f t="shared" si="15"/>
        <v>0.70745000000000002</v>
      </c>
      <c r="F248" s="405">
        <f t="shared" si="16"/>
        <v>2.0288111883338007</v>
      </c>
      <c r="G248" s="405">
        <f t="shared" si="17"/>
        <v>0.66983745838903985</v>
      </c>
      <c r="H248" s="405">
        <f t="shared" si="18"/>
        <v>-1.108170195448468</v>
      </c>
      <c r="I248" s="375">
        <f t="shared" si="19"/>
        <v>-1.1031616786096705</v>
      </c>
    </row>
    <row r="249" spans="1:9" x14ac:dyDescent="0.25">
      <c r="A249" s="375">
        <v>0</v>
      </c>
      <c r="B249" s="375">
        <v>440</v>
      </c>
      <c r="C249" s="375">
        <v>2.76</v>
      </c>
      <c r="D249" s="375">
        <v>2</v>
      </c>
      <c r="E249" s="405">
        <f t="shared" si="15"/>
        <v>0.44575999999999999</v>
      </c>
      <c r="F249" s="405">
        <f t="shared" si="16"/>
        <v>1.5616766191652593</v>
      </c>
      <c r="G249" s="405">
        <f t="shared" si="17"/>
        <v>0.60963066433972557</v>
      </c>
      <c r="H249" s="405">
        <f t="shared" si="18"/>
        <v>-0.94066197348026037</v>
      </c>
      <c r="I249" s="375">
        <f t="shared" si="19"/>
        <v>-0.93744318818332151</v>
      </c>
    </row>
    <row r="250" spans="1:9" x14ac:dyDescent="0.25">
      <c r="A250" s="375">
        <v>1</v>
      </c>
      <c r="B250" s="375">
        <v>520</v>
      </c>
      <c r="C250" s="375">
        <v>3.81</v>
      </c>
      <c r="D250" s="375">
        <v>1</v>
      </c>
      <c r="E250" s="405">
        <f t="shared" si="15"/>
        <v>0.52581</v>
      </c>
      <c r="F250" s="405">
        <f t="shared" si="16"/>
        <v>1.6918286747510638</v>
      </c>
      <c r="G250" s="405">
        <f t="shared" si="17"/>
        <v>0.62850533194038483</v>
      </c>
      <c r="H250" s="405">
        <f t="shared" si="18"/>
        <v>-0.46441076739134496</v>
      </c>
      <c r="I250" s="375">
        <f t="shared" si="19"/>
        <v>-0.46378237881259166</v>
      </c>
    </row>
    <row r="251" spans="1:9" x14ac:dyDescent="0.25">
      <c r="A251" s="375">
        <v>1</v>
      </c>
      <c r="B251" s="375">
        <v>680</v>
      </c>
      <c r="C251" s="375">
        <v>2.96</v>
      </c>
      <c r="D251" s="375">
        <v>3</v>
      </c>
      <c r="E251" s="405">
        <f t="shared" si="15"/>
        <v>0.68696000000000002</v>
      </c>
      <c r="F251" s="405">
        <f t="shared" si="16"/>
        <v>1.9876638412544552</v>
      </c>
      <c r="G251" s="405">
        <f t="shared" si="17"/>
        <v>0.66529032276264333</v>
      </c>
      <c r="H251" s="405">
        <f t="shared" si="18"/>
        <v>-0.40753175801475267</v>
      </c>
      <c r="I251" s="375">
        <f t="shared" si="19"/>
        <v>-0.40553688943346367</v>
      </c>
    </row>
    <row r="252" spans="1:9" x14ac:dyDescent="0.25">
      <c r="A252" s="375">
        <v>0</v>
      </c>
      <c r="B252" s="375">
        <v>620</v>
      </c>
      <c r="C252" s="375">
        <v>3.22</v>
      </c>
      <c r="D252" s="375">
        <v>2</v>
      </c>
      <c r="E252" s="405">
        <f t="shared" si="15"/>
        <v>0.62622</v>
      </c>
      <c r="F252" s="405">
        <f t="shared" si="16"/>
        <v>1.8705266084145122</v>
      </c>
      <c r="G252" s="405">
        <f t="shared" si="17"/>
        <v>0.65163186536273443</v>
      </c>
      <c r="H252" s="405">
        <f t="shared" si="18"/>
        <v>-1.054495500192246</v>
      </c>
      <c r="I252" s="375">
        <f t="shared" si="19"/>
        <v>-1.0511926905688114</v>
      </c>
    </row>
    <row r="253" spans="1:9" x14ac:dyDescent="0.25">
      <c r="A253" s="375">
        <v>0</v>
      </c>
      <c r="B253" s="375">
        <v>540</v>
      </c>
      <c r="C253" s="375">
        <v>3.04</v>
      </c>
      <c r="D253" s="375">
        <v>1</v>
      </c>
      <c r="E253" s="405">
        <f t="shared" si="15"/>
        <v>0.54504000000000008</v>
      </c>
      <c r="F253" s="405">
        <f t="shared" si="16"/>
        <v>1.7246773680914358</v>
      </c>
      <c r="G253" s="405">
        <f t="shared" si="17"/>
        <v>0.63298406933938256</v>
      </c>
      <c r="H253" s="405">
        <f t="shared" si="18"/>
        <v>-1.0023500240750598</v>
      </c>
      <c r="I253" s="375">
        <f t="shared" si="19"/>
        <v>-1.0007171561736337</v>
      </c>
    </row>
    <row r="254" spans="1:9" x14ac:dyDescent="0.25">
      <c r="A254" s="375">
        <v>0</v>
      </c>
      <c r="B254" s="375">
        <v>800</v>
      </c>
      <c r="C254" s="375">
        <v>3.91</v>
      </c>
      <c r="D254" s="375">
        <v>3</v>
      </c>
      <c r="E254" s="405">
        <f t="shared" si="15"/>
        <v>0.80791000000000002</v>
      </c>
      <c r="F254" s="405">
        <f t="shared" si="16"/>
        <v>2.2432147651092271</v>
      </c>
      <c r="G254" s="405">
        <f t="shared" si="17"/>
        <v>0.69166395924251367</v>
      </c>
      <c r="H254" s="405">
        <f t="shared" si="18"/>
        <v>-1.176565049341282</v>
      </c>
      <c r="I254" s="375">
        <f t="shared" si="19"/>
        <v>-1.1714910175234003</v>
      </c>
    </row>
    <row r="255" spans="1:9" x14ac:dyDescent="0.25">
      <c r="A255" s="375">
        <v>0</v>
      </c>
      <c r="B255" s="375">
        <v>680</v>
      </c>
      <c r="C255" s="375">
        <v>3.34</v>
      </c>
      <c r="D255" s="375">
        <v>2</v>
      </c>
      <c r="E255" s="405">
        <f t="shared" si="15"/>
        <v>0.68634000000000006</v>
      </c>
      <c r="F255" s="405">
        <f t="shared" si="16"/>
        <v>1.9864318716229272</v>
      </c>
      <c r="G255" s="405">
        <f t="shared" si="17"/>
        <v>0.66515224756941582</v>
      </c>
      <c r="H255" s="405">
        <f t="shared" si="18"/>
        <v>-1.0940793208164881</v>
      </c>
      <c r="I255" s="375">
        <f t="shared" si="19"/>
        <v>-1.0907494618688591</v>
      </c>
    </row>
    <row r="256" spans="1:9" x14ac:dyDescent="0.25">
      <c r="A256" s="375">
        <v>0</v>
      </c>
      <c r="B256" s="375">
        <v>440</v>
      </c>
      <c r="C256" s="375">
        <v>3.17</v>
      </c>
      <c r="D256" s="375">
        <v>2</v>
      </c>
      <c r="E256" s="405">
        <f t="shared" si="15"/>
        <v>0.44617000000000001</v>
      </c>
      <c r="F256" s="405">
        <f t="shared" si="16"/>
        <v>1.5623170378559776</v>
      </c>
      <c r="G256" s="405">
        <f t="shared" si="17"/>
        <v>0.60972823221097128</v>
      </c>
      <c r="H256" s="405">
        <f t="shared" si="18"/>
        <v>-0.94091194205435325</v>
      </c>
      <c r="I256" s="375">
        <f t="shared" si="19"/>
        <v>-0.93769296157892257</v>
      </c>
    </row>
    <row r="257" spans="1:9" x14ac:dyDescent="0.25">
      <c r="A257" s="375">
        <v>0</v>
      </c>
      <c r="B257" s="375">
        <v>680</v>
      </c>
      <c r="C257" s="375">
        <v>3.64</v>
      </c>
      <c r="D257" s="375">
        <v>3</v>
      </c>
      <c r="E257" s="405">
        <f t="shared" si="15"/>
        <v>0.68764000000000003</v>
      </c>
      <c r="F257" s="405">
        <f t="shared" si="16"/>
        <v>1.9890159123185702</v>
      </c>
      <c r="G257" s="405">
        <f t="shared" si="17"/>
        <v>0.66544172753356035</v>
      </c>
      <c r="H257" s="405">
        <f t="shared" si="18"/>
        <v>-1.0949442069137831</v>
      </c>
      <c r="I257" s="375">
        <f t="shared" si="19"/>
        <v>-1.0899488838930755</v>
      </c>
    </row>
    <row r="258" spans="1:9" x14ac:dyDescent="0.25">
      <c r="A258" s="375">
        <v>0</v>
      </c>
      <c r="B258" s="375">
        <v>640</v>
      </c>
      <c r="C258" s="375">
        <v>3.73</v>
      </c>
      <c r="D258" s="375">
        <v>3</v>
      </c>
      <c r="E258" s="405">
        <f t="shared" si="15"/>
        <v>0.64773000000000003</v>
      </c>
      <c r="F258" s="405">
        <f t="shared" si="16"/>
        <v>1.9111974828949485</v>
      </c>
      <c r="G258" s="405">
        <f t="shared" si="17"/>
        <v>0.65649874119649843</v>
      </c>
      <c r="H258" s="405">
        <f t="shared" si="18"/>
        <v>-1.0685645026874331</v>
      </c>
      <c r="I258" s="375">
        <f t="shared" si="19"/>
        <v>-1.0635960215678484</v>
      </c>
    </row>
    <row r="259" spans="1:9" x14ac:dyDescent="0.25">
      <c r="A259" s="375">
        <v>0</v>
      </c>
      <c r="B259" s="375">
        <v>660</v>
      </c>
      <c r="C259" s="375">
        <v>3.31</v>
      </c>
      <c r="D259" s="375">
        <v>4</v>
      </c>
      <c r="E259" s="405">
        <f t="shared" si="15"/>
        <v>0.66831000000000007</v>
      </c>
      <c r="F259" s="405">
        <f t="shared" si="16"/>
        <v>1.950937448741213</v>
      </c>
      <c r="G259" s="405">
        <f t="shared" si="17"/>
        <v>0.66112463670601629</v>
      </c>
      <c r="H259" s="405">
        <f t="shared" si="18"/>
        <v>-1.0821228991049114</v>
      </c>
      <c r="I259" s="375">
        <f t="shared" si="19"/>
        <v>-1.0754801936381695</v>
      </c>
    </row>
    <row r="260" spans="1:9" x14ac:dyDescent="0.25">
      <c r="A260" s="375">
        <v>0</v>
      </c>
      <c r="B260" s="375">
        <v>620</v>
      </c>
      <c r="C260" s="375">
        <v>3.21</v>
      </c>
      <c r="D260" s="375">
        <v>4</v>
      </c>
      <c r="E260" s="405">
        <f t="shared" si="15"/>
        <v>0.62821000000000005</v>
      </c>
      <c r="F260" s="405">
        <f t="shared" si="16"/>
        <v>1.8742526625595026</v>
      </c>
      <c r="G260" s="405">
        <f t="shared" si="17"/>
        <v>0.65208347441887493</v>
      </c>
      <c r="H260" s="405">
        <f t="shared" si="18"/>
        <v>-1.0557926970005929</v>
      </c>
      <c r="I260" s="375">
        <f t="shared" si="19"/>
        <v>-1.0491861788030463</v>
      </c>
    </row>
    <row r="261" spans="1:9" x14ac:dyDescent="0.25">
      <c r="A261" s="375">
        <v>1</v>
      </c>
      <c r="B261" s="375">
        <v>520</v>
      </c>
      <c r="C261" s="375">
        <v>4</v>
      </c>
      <c r="D261" s="375">
        <v>2</v>
      </c>
      <c r="E261" s="405">
        <f t="shared" si="15"/>
        <v>0.52700000000000002</v>
      </c>
      <c r="F261" s="405">
        <f t="shared" si="16"/>
        <v>1.693843149248619</v>
      </c>
      <c r="G261" s="405">
        <f t="shared" si="17"/>
        <v>0.62878313821689091</v>
      </c>
      <c r="H261" s="405">
        <f t="shared" si="18"/>
        <v>-0.46396885403952309</v>
      </c>
      <c r="I261" s="375">
        <f t="shared" si="19"/>
        <v>-0.46271175467299341</v>
      </c>
    </row>
    <row r="262" spans="1:9" x14ac:dyDescent="0.25">
      <c r="A262" s="375">
        <v>1</v>
      </c>
      <c r="B262" s="375">
        <v>540</v>
      </c>
      <c r="C262" s="375">
        <v>3.55</v>
      </c>
      <c r="D262" s="375">
        <v>4</v>
      </c>
      <c r="E262" s="405">
        <f t="shared" si="15"/>
        <v>0.54855000000000009</v>
      </c>
      <c r="F262" s="405">
        <f t="shared" si="16"/>
        <v>1.7307416221933687</v>
      </c>
      <c r="G262" s="405">
        <f t="shared" si="17"/>
        <v>0.63379911454354787</v>
      </c>
      <c r="H262" s="405">
        <f t="shared" si="18"/>
        <v>-0.45602322878601509</v>
      </c>
      <c r="I262" s="375">
        <f t="shared" si="19"/>
        <v>-0.45348988977173921</v>
      </c>
    </row>
    <row r="263" spans="1:9" x14ac:dyDescent="0.25">
      <c r="A263" s="375">
        <v>1</v>
      </c>
      <c r="B263" s="375">
        <v>740</v>
      </c>
      <c r="C263" s="375">
        <v>3.52</v>
      </c>
      <c r="D263" s="375">
        <v>4</v>
      </c>
      <c r="E263" s="405">
        <f t="shared" si="15"/>
        <v>0.74851999999999996</v>
      </c>
      <c r="F263" s="405">
        <f t="shared" si="16"/>
        <v>2.113869173983117</v>
      </c>
      <c r="G263" s="405">
        <f t="shared" si="17"/>
        <v>0.67885612910293003</v>
      </c>
      <c r="H263" s="405">
        <f t="shared" si="18"/>
        <v>-0.38734606032089297</v>
      </c>
      <c r="I263" s="375">
        <f t="shared" si="19"/>
        <v>-0.38463238071948458</v>
      </c>
    </row>
    <row r="264" spans="1:9" x14ac:dyDescent="0.25">
      <c r="A264" s="375">
        <v>0</v>
      </c>
      <c r="B264" s="375">
        <v>640</v>
      </c>
      <c r="C264" s="375">
        <v>3.35</v>
      </c>
      <c r="D264" s="375">
        <v>3</v>
      </c>
      <c r="E264" s="405">
        <f t="shared" si="15"/>
        <v>0.64734999999999998</v>
      </c>
      <c r="F264" s="405">
        <f t="shared" si="16"/>
        <v>1.9104713658224297</v>
      </c>
      <c r="G264" s="405">
        <f t="shared" si="17"/>
        <v>0.65641304300637782</v>
      </c>
      <c r="H264" s="405">
        <f t="shared" si="18"/>
        <v>-1.0683150494481117</v>
      </c>
      <c r="I264" s="375">
        <f t="shared" si="19"/>
        <v>-1.0633468255436329</v>
      </c>
    </row>
    <row r="265" spans="1:9" x14ac:dyDescent="0.25">
      <c r="A265" s="375">
        <v>1</v>
      </c>
      <c r="B265" s="375">
        <v>520</v>
      </c>
      <c r="C265" s="375">
        <v>3.3</v>
      </c>
      <c r="D265" s="375">
        <v>2</v>
      </c>
      <c r="E265" s="405">
        <f t="shared" si="15"/>
        <v>0.52629999999999999</v>
      </c>
      <c r="F265" s="405">
        <f t="shared" si="16"/>
        <v>1.692657873938902</v>
      </c>
      <c r="G265" s="405">
        <f t="shared" si="17"/>
        <v>0.62861973306056529</v>
      </c>
      <c r="H265" s="405">
        <f t="shared" si="18"/>
        <v>-0.4642287630328587</v>
      </c>
      <c r="I265" s="375">
        <f t="shared" si="19"/>
        <v>-0.46297199056067606</v>
      </c>
    </row>
    <row r="266" spans="1:9" x14ac:dyDescent="0.25">
      <c r="A266" s="375">
        <v>1</v>
      </c>
      <c r="B266" s="375">
        <v>620</v>
      </c>
      <c r="C266" s="375">
        <v>3.95</v>
      </c>
      <c r="D266" s="375">
        <v>3</v>
      </c>
      <c r="E266" s="405">
        <f t="shared" ref="E266:E329" si="20">$B$3+$B$4*B266+$B$5*C266+$B$6*D266</f>
        <v>0.62795000000000001</v>
      </c>
      <c r="F266" s="405">
        <f t="shared" ref="F266:F329" si="21">EXP(E266)</f>
        <v>1.8737654202114871</v>
      </c>
      <c r="G266" s="405">
        <f t="shared" ref="G266:G329" si="22">F266/(1+F266)</f>
        <v>0.65202448572632354</v>
      </c>
      <c r="H266" s="405">
        <f t="shared" ref="H266:H329" si="23">A266*LN(G266)+(1-A266)*LN(1-G266)</f>
        <v>-0.42767316296567298</v>
      </c>
      <c r="I266" s="375">
        <f t="shared" ref="I266:I329" si="24">A266*($B$3+B266*$B$4+C266*$B$5)+D266*$B$6-LN(1+EXP($B$3+B266*$B$4+C266*$B$5))</f>
        <v>-0.42571811081715127</v>
      </c>
    </row>
    <row r="267" spans="1:9" x14ac:dyDescent="0.25">
      <c r="A267" s="375">
        <v>0</v>
      </c>
      <c r="B267" s="375">
        <v>520</v>
      </c>
      <c r="C267" s="375">
        <v>3.51</v>
      </c>
      <c r="D267" s="375">
        <v>2</v>
      </c>
      <c r="E267" s="405">
        <f t="shared" si="20"/>
        <v>0.52651000000000003</v>
      </c>
      <c r="F267" s="405">
        <f t="shared" si="21"/>
        <v>1.6930133694181482</v>
      </c>
      <c r="G267" s="405">
        <f t="shared" si="22"/>
        <v>0.62866875769871888</v>
      </c>
      <c r="H267" s="405">
        <f t="shared" si="23"/>
        <v>-0.99066077832443489</v>
      </c>
      <c r="I267" s="375">
        <f t="shared" si="24"/>
        <v>-0.98740390777777509</v>
      </c>
    </row>
    <row r="268" spans="1:9" x14ac:dyDescent="0.25">
      <c r="A268" s="375">
        <v>0</v>
      </c>
      <c r="B268" s="375">
        <v>640</v>
      </c>
      <c r="C268" s="375">
        <v>3.81</v>
      </c>
      <c r="D268" s="375">
        <v>2</v>
      </c>
      <c r="E268" s="405">
        <f t="shared" si="20"/>
        <v>0.64681</v>
      </c>
      <c r="F268" s="405">
        <f t="shared" si="21"/>
        <v>1.9094399897814791</v>
      </c>
      <c r="G268" s="405">
        <f t="shared" si="22"/>
        <v>0.65629124384342175</v>
      </c>
      <c r="H268" s="405">
        <f t="shared" si="23"/>
        <v>-1.0679606192897368</v>
      </c>
      <c r="I268" s="375">
        <f t="shared" si="24"/>
        <v>-1.0646484880421045</v>
      </c>
    </row>
    <row r="269" spans="1:9" x14ac:dyDescent="0.25">
      <c r="A269" s="375">
        <v>0</v>
      </c>
      <c r="B269" s="375">
        <v>680</v>
      </c>
      <c r="C269" s="375">
        <v>3.11</v>
      </c>
      <c r="D269" s="375">
        <v>2</v>
      </c>
      <c r="E269" s="405">
        <f t="shared" si="20"/>
        <v>0.68611</v>
      </c>
      <c r="F269" s="405">
        <f t="shared" si="21"/>
        <v>1.985975044829549</v>
      </c>
      <c r="G269" s="405">
        <f t="shared" si="22"/>
        <v>0.66510101893464291</v>
      </c>
      <c r="H269" s="405">
        <f t="shared" si="23"/>
        <v>-1.0939263416907659</v>
      </c>
      <c r="I269" s="375">
        <f t="shared" si="24"/>
        <v>-1.0905965852342199</v>
      </c>
    </row>
    <row r="270" spans="1:9" x14ac:dyDescent="0.25">
      <c r="A270" s="375">
        <v>0</v>
      </c>
      <c r="B270" s="375">
        <v>440</v>
      </c>
      <c r="C270" s="375">
        <v>3.15</v>
      </c>
      <c r="D270" s="375">
        <v>2</v>
      </c>
      <c r="E270" s="405">
        <f t="shared" si="20"/>
        <v>0.44614999999999999</v>
      </c>
      <c r="F270" s="405">
        <f t="shared" si="21"/>
        <v>1.5622857918276818</v>
      </c>
      <c r="G270" s="405">
        <f t="shared" si="22"/>
        <v>0.60972347300622598</v>
      </c>
      <c r="H270" s="405">
        <f t="shared" si="23"/>
        <v>-0.9408997475373011</v>
      </c>
      <c r="I270" s="375">
        <f t="shared" si="24"/>
        <v>-0.93768077658236593</v>
      </c>
    </row>
    <row r="271" spans="1:9" x14ac:dyDescent="0.25">
      <c r="A271" s="375">
        <v>1</v>
      </c>
      <c r="B271" s="375">
        <v>520</v>
      </c>
      <c r="C271" s="375">
        <v>3.19</v>
      </c>
      <c r="D271" s="375">
        <v>3</v>
      </c>
      <c r="E271" s="405">
        <f t="shared" si="20"/>
        <v>0.52719000000000005</v>
      </c>
      <c r="F271" s="405">
        <f t="shared" si="21"/>
        <v>1.6941650100227814</v>
      </c>
      <c r="G271" s="405">
        <f t="shared" si="22"/>
        <v>0.62882748596325055</v>
      </c>
      <c r="H271" s="405">
        <f t="shared" si="23"/>
        <v>-0.4638983270488547</v>
      </c>
      <c r="I271" s="375">
        <f t="shared" si="24"/>
        <v>-0.46201289517692323</v>
      </c>
    </row>
    <row r="272" spans="1:9" x14ac:dyDescent="0.25">
      <c r="A272" s="375">
        <v>1</v>
      </c>
      <c r="B272" s="375">
        <v>620</v>
      </c>
      <c r="C272" s="375">
        <v>3.95</v>
      </c>
      <c r="D272" s="375">
        <v>3</v>
      </c>
      <c r="E272" s="405">
        <f t="shared" si="20"/>
        <v>0.62795000000000001</v>
      </c>
      <c r="F272" s="405">
        <f t="shared" si="21"/>
        <v>1.8737654202114871</v>
      </c>
      <c r="G272" s="405">
        <f t="shared" si="22"/>
        <v>0.65202448572632354</v>
      </c>
      <c r="H272" s="405">
        <f t="shared" si="23"/>
        <v>-0.42767316296567298</v>
      </c>
      <c r="I272" s="375">
        <f t="shared" si="24"/>
        <v>-0.42571811081715127</v>
      </c>
    </row>
    <row r="273" spans="1:9" x14ac:dyDescent="0.25">
      <c r="A273" s="375">
        <v>1</v>
      </c>
      <c r="B273" s="375">
        <v>520</v>
      </c>
      <c r="C273" s="375">
        <v>3.9</v>
      </c>
      <c r="D273" s="375">
        <v>3</v>
      </c>
      <c r="E273" s="405">
        <f t="shared" si="20"/>
        <v>0.52790000000000004</v>
      </c>
      <c r="F273" s="405">
        <f t="shared" si="21"/>
        <v>1.6953682942952664</v>
      </c>
      <c r="G273" s="405">
        <f t="shared" si="22"/>
        <v>0.62899318726999376</v>
      </c>
      <c r="H273" s="405">
        <f t="shared" si="23"/>
        <v>-0.46363485338964727</v>
      </c>
      <c r="I273" s="375">
        <f t="shared" si="24"/>
        <v>-0.46174892422184866</v>
      </c>
    </row>
    <row r="274" spans="1:9" x14ac:dyDescent="0.25">
      <c r="A274" s="375">
        <v>0</v>
      </c>
      <c r="B274" s="375">
        <v>380</v>
      </c>
      <c r="C274" s="375">
        <v>3.34</v>
      </c>
      <c r="D274" s="375">
        <v>3</v>
      </c>
      <c r="E274" s="405">
        <f t="shared" si="20"/>
        <v>0.38734000000000002</v>
      </c>
      <c r="F274" s="405">
        <f t="shared" si="21"/>
        <v>1.4730572456035804</v>
      </c>
      <c r="G274" s="405">
        <f t="shared" si="22"/>
        <v>0.59564219478634128</v>
      </c>
      <c r="H274" s="405">
        <f t="shared" si="23"/>
        <v>-0.90545513651381349</v>
      </c>
      <c r="I274" s="375">
        <f t="shared" si="24"/>
        <v>-0.9006692939729809</v>
      </c>
    </row>
    <row r="275" spans="1:9" x14ac:dyDescent="0.25">
      <c r="A275" s="375">
        <v>0</v>
      </c>
      <c r="B275" s="375">
        <v>560</v>
      </c>
      <c r="C275" s="375">
        <v>3.24</v>
      </c>
      <c r="D275" s="375">
        <v>4</v>
      </c>
      <c r="E275" s="405">
        <f t="shared" si="20"/>
        <v>0.56824000000000008</v>
      </c>
      <c r="F275" s="405">
        <f t="shared" si="21"/>
        <v>1.7651576385092285</v>
      </c>
      <c r="G275" s="405">
        <f t="shared" si="22"/>
        <v>0.63835696523286567</v>
      </c>
      <c r="H275" s="405">
        <f t="shared" si="23"/>
        <v>-1.017097645468239</v>
      </c>
      <c r="I275" s="375">
        <f t="shared" si="24"/>
        <v>-1.0105460651465616</v>
      </c>
    </row>
    <row r="276" spans="1:9" x14ac:dyDescent="0.25">
      <c r="A276" s="375">
        <v>1</v>
      </c>
      <c r="B276" s="375">
        <v>600</v>
      </c>
      <c r="C276" s="375">
        <v>3.64</v>
      </c>
      <c r="D276" s="375">
        <v>3</v>
      </c>
      <c r="E276" s="405">
        <f t="shared" si="20"/>
        <v>0.60763999999999996</v>
      </c>
      <c r="F276" s="405">
        <f t="shared" si="21"/>
        <v>1.8360931018843996</v>
      </c>
      <c r="G276" s="405">
        <f t="shared" si="22"/>
        <v>0.64740226640106946</v>
      </c>
      <c r="H276" s="405">
        <f t="shared" si="23"/>
        <v>-0.43478743672214881</v>
      </c>
      <c r="I276" s="375">
        <f t="shared" si="24"/>
        <v>-0.43284625745206484</v>
      </c>
    </row>
    <row r="277" spans="1:9" x14ac:dyDescent="0.25">
      <c r="A277" s="375">
        <v>1</v>
      </c>
      <c r="B277" s="375">
        <v>680</v>
      </c>
      <c r="C277" s="375">
        <v>3.46</v>
      </c>
      <c r="D277" s="375">
        <v>2</v>
      </c>
      <c r="E277" s="405">
        <f t="shared" si="20"/>
        <v>0.68646000000000007</v>
      </c>
      <c r="F277" s="405">
        <f t="shared" si="21"/>
        <v>1.9866702577504036</v>
      </c>
      <c r="G277" s="405">
        <f t="shared" si="22"/>
        <v>0.6651789740079268</v>
      </c>
      <c r="H277" s="405">
        <f t="shared" si="23"/>
        <v>-0.40769914068979335</v>
      </c>
      <c r="I277" s="375">
        <f t="shared" si="24"/>
        <v>-0.40636922827164201</v>
      </c>
    </row>
    <row r="278" spans="1:9" x14ac:dyDescent="0.25">
      <c r="A278" s="375">
        <v>0</v>
      </c>
      <c r="B278" s="375">
        <v>500</v>
      </c>
      <c r="C278" s="375">
        <v>2.81</v>
      </c>
      <c r="D278" s="375">
        <v>3</v>
      </c>
      <c r="E278" s="405">
        <f t="shared" si="20"/>
        <v>0.50680999999999998</v>
      </c>
      <c r="F278" s="405">
        <f t="shared" si="21"/>
        <v>1.6599873801163405</v>
      </c>
      <c r="G278" s="405">
        <f t="shared" si="22"/>
        <v>0.62405836678959636</v>
      </c>
      <c r="H278" s="405">
        <f t="shared" si="23"/>
        <v>-0.97832137846518841</v>
      </c>
      <c r="I278" s="375">
        <f t="shared" si="24"/>
        <v>-0.97345025936929119</v>
      </c>
    </row>
    <row r="279" spans="1:9" x14ac:dyDescent="0.25">
      <c r="A279" s="375">
        <v>1</v>
      </c>
      <c r="B279" s="375">
        <v>640</v>
      </c>
      <c r="C279" s="375">
        <v>3.95</v>
      </c>
      <c r="D279" s="375">
        <v>2</v>
      </c>
      <c r="E279" s="405">
        <f t="shared" si="20"/>
        <v>0.64695000000000003</v>
      </c>
      <c r="F279" s="405">
        <f t="shared" si="21"/>
        <v>1.9097073300934337</v>
      </c>
      <c r="G279" s="405">
        <f t="shared" si="22"/>
        <v>0.65632282337897918</v>
      </c>
      <c r="H279" s="405">
        <f t="shared" si="23"/>
        <v>-0.4211025022744585</v>
      </c>
      <c r="I279" s="375">
        <f t="shared" si="24"/>
        <v>-0.41979030784802573</v>
      </c>
    </row>
    <row r="280" spans="1:9" x14ac:dyDescent="0.25">
      <c r="A280" s="375">
        <v>0</v>
      </c>
      <c r="B280" s="375">
        <v>540</v>
      </c>
      <c r="C280" s="375">
        <v>3.33</v>
      </c>
      <c r="D280" s="375">
        <v>3</v>
      </c>
      <c r="E280" s="405">
        <f t="shared" si="20"/>
        <v>0.54733000000000009</v>
      </c>
      <c r="F280" s="405">
        <f t="shared" si="21"/>
        <v>1.7286314049085738</v>
      </c>
      <c r="G280" s="405">
        <f t="shared" si="22"/>
        <v>0.63351590903737098</v>
      </c>
      <c r="H280" s="405">
        <f t="shared" si="23"/>
        <v>-1.0038001666122407</v>
      </c>
      <c r="I280" s="375">
        <f t="shared" si="24"/>
        <v>-0.99890066394456933</v>
      </c>
    </row>
    <row r="281" spans="1:9" x14ac:dyDescent="0.25">
      <c r="A281" s="375">
        <v>1</v>
      </c>
      <c r="B281" s="375">
        <v>680</v>
      </c>
      <c r="C281" s="375">
        <v>3.67</v>
      </c>
      <c r="D281" s="375">
        <v>2</v>
      </c>
      <c r="E281" s="405">
        <f t="shared" si="20"/>
        <v>0.68667</v>
      </c>
      <c r="F281" s="405">
        <f t="shared" si="21"/>
        <v>1.9870875023136769</v>
      </c>
      <c r="G281" s="405">
        <f t="shared" si="22"/>
        <v>0.66522574272583568</v>
      </c>
      <c r="H281" s="405">
        <f t="shared" si="23"/>
        <v>-0.40762883318510718</v>
      </c>
      <c r="I281" s="375">
        <f t="shared" si="24"/>
        <v>-0.40629882719863575</v>
      </c>
    </row>
    <row r="282" spans="1:9" x14ac:dyDescent="0.25">
      <c r="A282" s="375">
        <v>0</v>
      </c>
      <c r="B282" s="375">
        <v>660</v>
      </c>
      <c r="C282" s="375">
        <v>3.32</v>
      </c>
      <c r="D282" s="375">
        <v>1</v>
      </c>
      <c r="E282" s="405">
        <f t="shared" si="20"/>
        <v>0.66532000000000002</v>
      </c>
      <c r="F282" s="405">
        <f t="shared" si="21"/>
        <v>1.9451128578721939</v>
      </c>
      <c r="G282" s="405">
        <f t="shared" si="22"/>
        <v>0.66045443816285976</v>
      </c>
      <c r="H282" s="405">
        <f t="shared" si="23"/>
        <v>-1.0801471382274168</v>
      </c>
      <c r="I282" s="375">
        <f t="shared" si="24"/>
        <v>-1.0784867959284317</v>
      </c>
    </row>
    <row r="283" spans="1:9" x14ac:dyDescent="0.25">
      <c r="A283" s="375">
        <v>0</v>
      </c>
      <c r="B283" s="375">
        <v>520</v>
      </c>
      <c r="C283" s="375">
        <v>3.12</v>
      </c>
      <c r="D283" s="375">
        <v>2</v>
      </c>
      <c r="E283" s="405">
        <f t="shared" si="20"/>
        <v>0.52612000000000003</v>
      </c>
      <c r="F283" s="405">
        <f t="shared" si="21"/>
        <v>1.6923532229410054</v>
      </c>
      <c r="G283" s="405">
        <f t="shared" si="22"/>
        <v>0.6285777098342078</v>
      </c>
      <c r="H283" s="405">
        <f t="shared" si="23"/>
        <v>-0.99041561526296895</v>
      </c>
      <c r="I283" s="375">
        <f t="shared" si="24"/>
        <v>-0.98715892685883322</v>
      </c>
    </row>
    <row r="284" spans="1:9" x14ac:dyDescent="0.25">
      <c r="A284" s="375">
        <v>1</v>
      </c>
      <c r="B284" s="375">
        <v>600</v>
      </c>
      <c r="C284" s="375">
        <v>2.98</v>
      </c>
      <c r="D284" s="375">
        <v>2</v>
      </c>
      <c r="E284" s="405">
        <f t="shared" si="20"/>
        <v>0.60597999999999996</v>
      </c>
      <c r="F284" s="405">
        <f t="shared" si="21"/>
        <v>1.8330477157051224</v>
      </c>
      <c r="G284" s="405">
        <f t="shared" si="22"/>
        <v>0.6470232412760093</v>
      </c>
      <c r="H284" s="405">
        <f t="shared" si="23"/>
        <v>-0.43537306352515093</v>
      </c>
      <c r="I284" s="375">
        <f t="shared" si="24"/>
        <v>-0.43407947390041635</v>
      </c>
    </row>
    <row r="285" spans="1:9" x14ac:dyDescent="0.25">
      <c r="A285" s="375">
        <v>0</v>
      </c>
      <c r="B285" s="375">
        <v>460</v>
      </c>
      <c r="C285" s="375">
        <v>3.77</v>
      </c>
      <c r="D285" s="375">
        <v>3</v>
      </c>
      <c r="E285" s="405">
        <f t="shared" si="20"/>
        <v>0.46777000000000002</v>
      </c>
      <c r="F285" s="405">
        <f t="shared" si="21"/>
        <v>1.5964301815164881</v>
      </c>
      <c r="G285" s="405">
        <f t="shared" si="22"/>
        <v>0.61485580967329023</v>
      </c>
      <c r="H285" s="405">
        <f t="shared" si="23"/>
        <v>-0.95413749448046914</v>
      </c>
      <c r="I285" s="375">
        <f t="shared" si="24"/>
        <v>-0.94929399293254524</v>
      </c>
    </row>
    <row r="286" spans="1:9" x14ac:dyDescent="0.25">
      <c r="A286" s="375">
        <v>1</v>
      </c>
      <c r="B286" s="375">
        <v>580</v>
      </c>
      <c r="C286" s="375">
        <v>3.58</v>
      </c>
      <c r="D286" s="375">
        <v>1</v>
      </c>
      <c r="E286" s="405">
        <f t="shared" si="20"/>
        <v>0.58557999999999999</v>
      </c>
      <c r="F286" s="405">
        <f t="shared" si="21"/>
        <v>1.7960323823874342</v>
      </c>
      <c r="G286" s="405">
        <f t="shared" si="22"/>
        <v>0.64235035105489913</v>
      </c>
      <c r="H286" s="405">
        <f t="shared" si="23"/>
        <v>-0.44262140598812827</v>
      </c>
      <c r="I286" s="375">
        <f t="shared" si="24"/>
        <v>-0.44197917051615954</v>
      </c>
    </row>
    <row r="287" spans="1:9" x14ac:dyDescent="0.25">
      <c r="A287" s="375">
        <v>1</v>
      </c>
      <c r="B287" s="375">
        <v>680</v>
      </c>
      <c r="C287" s="375">
        <v>3</v>
      </c>
      <c r="D287" s="375">
        <v>4</v>
      </c>
      <c r="E287" s="405">
        <f t="shared" si="20"/>
        <v>0.68800000000000006</v>
      </c>
      <c r="F287" s="405">
        <f t="shared" si="21"/>
        <v>1.989732086950704</v>
      </c>
      <c r="G287" s="405">
        <f t="shared" si="22"/>
        <v>0.66552186921205947</v>
      </c>
      <c r="H287" s="405">
        <f t="shared" si="23"/>
        <v>-0.40718378036148356</v>
      </c>
      <c r="I287" s="375">
        <f t="shared" si="24"/>
        <v>-0.40452347448996295</v>
      </c>
    </row>
    <row r="288" spans="1:9" x14ac:dyDescent="0.25">
      <c r="A288" s="375">
        <v>1</v>
      </c>
      <c r="B288" s="375">
        <v>660</v>
      </c>
      <c r="C288" s="375">
        <v>3.14</v>
      </c>
      <c r="D288" s="375">
        <v>2</v>
      </c>
      <c r="E288" s="405">
        <f t="shared" si="20"/>
        <v>0.66614000000000007</v>
      </c>
      <c r="F288" s="405">
        <f t="shared" si="21"/>
        <v>1.9467085045413741</v>
      </c>
      <c r="G288" s="405">
        <f t="shared" si="22"/>
        <v>0.66063830254711942</v>
      </c>
      <c r="H288" s="405">
        <f t="shared" si="23"/>
        <v>-0.41454878625441582</v>
      </c>
      <c r="I288" s="375">
        <f t="shared" si="24"/>
        <v>-0.41322795813597979</v>
      </c>
    </row>
    <row r="289" spans="1:9" x14ac:dyDescent="0.25">
      <c r="A289" s="375">
        <v>0</v>
      </c>
      <c r="B289" s="375">
        <v>660</v>
      </c>
      <c r="C289" s="375">
        <v>3.94</v>
      </c>
      <c r="D289" s="375">
        <v>2</v>
      </c>
      <c r="E289" s="405">
        <f t="shared" si="20"/>
        <v>0.66694000000000009</v>
      </c>
      <c r="F289" s="405">
        <f t="shared" si="21"/>
        <v>1.9482664944578811</v>
      </c>
      <c r="G289" s="405">
        <f t="shared" si="22"/>
        <v>0.66081763575993246</v>
      </c>
      <c r="H289" s="405">
        <f t="shared" si="23"/>
        <v>-1.0812173686328133</v>
      </c>
      <c r="I289" s="375">
        <f t="shared" si="24"/>
        <v>-1.0778961817327386</v>
      </c>
    </row>
    <row r="290" spans="1:9" x14ac:dyDescent="0.25">
      <c r="A290" s="375">
        <v>0</v>
      </c>
      <c r="B290" s="375">
        <v>360</v>
      </c>
      <c r="C290" s="375">
        <v>3.27</v>
      </c>
      <c r="D290" s="375">
        <v>3</v>
      </c>
      <c r="E290" s="405">
        <f t="shared" si="20"/>
        <v>0.36726999999999999</v>
      </c>
      <c r="F290" s="405">
        <f t="shared" si="21"/>
        <v>1.4437876891699284</v>
      </c>
      <c r="G290" s="405">
        <f t="shared" si="22"/>
        <v>0.59079914984772419</v>
      </c>
      <c r="H290" s="405">
        <f t="shared" si="23"/>
        <v>-0.89354916731084189</v>
      </c>
      <c r="I290" s="375">
        <f t="shared" si="24"/>
        <v>-0.88877785795830677</v>
      </c>
    </row>
    <row r="291" spans="1:9" x14ac:dyDescent="0.25">
      <c r="A291" s="375">
        <v>0</v>
      </c>
      <c r="B291" s="375">
        <v>660</v>
      </c>
      <c r="C291" s="375">
        <v>3.45</v>
      </c>
      <c r="D291" s="375">
        <v>4</v>
      </c>
      <c r="E291" s="405">
        <f t="shared" si="20"/>
        <v>0.66844999999999999</v>
      </c>
      <c r="F291" s="405">
        <f t="shared" si="21"/>
        <v>1.9512105991041158</v>
      </c>
      <c r="G291" s="405">
        <f t="shared" si="22"/>
        <v>0.66115600143765918</v>
      </c>
      <c r="H291" s="405">
        <f t="shared" si="23"/>
        <v>-1.0822154587495978</v>
      </c>
      <c r="I291" s="375">
        <f t="shared" si="24"/>
        <v>-1.075572627743179</v>
      </c>
    </row>
    <row r="292" spans="1:9" x14ac:dyDescent="0.25">
      <c r="A292" s="375">
        <v>0</v>
      </c>
      <c r="B292" s="375">
        <v>520</v>
      </c>
      <c r="C292" s="375">
        <v>3.1</v>
      </c>
      <c r="D292" s="375">
        <v>4</v>
      </c>
      <c r="E292" s="405">
        <f t="shared" si="20"/>
        <v>0.52810000000000001</v>
      </c>
      <c r="F292" s="405">
        <f t="shared" si="21"/>
        <v>1.6957074018637519</v>
      </c>
      <c r="G292" s="405">
        <f t="shared" si="22"/>
        <v>0.62903985821731911</v>
      </c>
      <c r="H292" s="405">
        <f t="shared" si="23"/>
        <v>-0.99166065669423631</v>
      </c>
      <c r="I292" s="375">
        <f t="shared" si="24"/>
        <v>-0.98514636469246397</v>
      </c>
    </row>
    <row r="293" spans="1:9" x14ac:dyDescent="0.25">
      <c r="A293" s="375">
        <v>1</v>
      </c>
      <c r="B293" s="375">
        <v>440</v>
      </c>
      <c r="C293" s="375">
        <v>3.39</v>
      </c>
      <c r="D293" s="375">
        <v>2</v>
      </c>
      <c r="E293" s="405">
        <f t="shared" si="20"/>
        <v>0.44639000000000001</v>
      </c>
      <c r="F293" s="405">
        <f t="shared" si="21"/>
        <v>1.5626607854151511</v>
      </c>
      <c r="G293" s="405">
        <f t="shared" si="22"/>
        <v>0.6097805820843355</v>
      </c>
      <c r="H293" s="405">
        <f t="shared" si="23"/>
        <v>-0.49465608802397193</v>
      </c>
      <c r="I293" s="375">
        <f t="shared" si="24"/>
        <v>-0.49343700282584207</v>
      </c>
    </row>
    <row r="294" spans="1:9" x14ac:dyDescent="0.25">
      <c r="A294" s="375">
        <v>0</v>
      </c>
      <c r="B294" s="375">
        <v>600</v>
      </c>
      <c r="C294" s="375">
        <v>3.31</v>
      </c>
      <c r="D294" s="375">
        <v>4</v>
      </c>
      <c r="E294" s="405">
        <f t="shared" si="20"/>
        <v>0.60831000000000002</v>
      </c>
      <c r="F294" s="405">
        <f t="shared" si="21"/>
        <v>1.8373236964658124</v>
      </c>
      <c r="G294" s="405">
        <f t="shared" si="22"/>
        <v>0.64755519391544702</v>
      </c>
      <c r="H294" s="405">
        <f t="shared" si="23"/>
        <v>-1.0428612474730419</v>
      </c>
      <c r="I294" s="375">
        <f t="shared" si="24"/>
        <v>-1.0362728532346226</v>
      </c>
    </row>
    <row r="295" spans="1:9" x14ac:dyDescent="0.25">
      <c r="A295" s="375">
        <v>1</v>
      </c>
      <c r="B295" s="375">
        <v>800</v>
      </c>
      <c r="C295" s="375">
        <v>3.22</v>
      </c>
      <c r="D295" s="375">
        <v>1</v>
      </c>
      <c r="E295" s="405">
        <f t="shared" si="20"/>
        <v>0.80522000000000005</v>
      </c>
      <c r="F295" s="405">
        <f t="shared" si="21"/>
        <v>2.2371886261817524</v>
      </c>
      <c r="G295" s="405">
        <f t="shared" si="22"/>
        <v>0.69108998100629837</v>
      </c>
      <c r="H295" s="405">
        <f t="shared" si="23"/>
        <v>-0.36948524515917108</v>
      </c>
      <c r="I295" s="375">
        <f t="shared" si="24"/>
        <v>-0.36879426193407006</v>
      </c>
    </row>
    <row r="296" spans="1:9" x14ac:dyDescent="0.25">
      <c r="A296" s="375">
        <v>1</v>
      </c>
      <c r="B296" s="375">
        <v>660</v>
      </c>
      <c r="C296" s="375">
        <v>3.7</v>
      </c>
      <c r="D296" s="375">
        <v>4</v>
      </c>
      <c r="E296" s="405">
        <f t="shared" si="20"/>
        <v>0.66870000000000007</v>
      </c>
      <c r="F296" s="405">
        <f t="shared" si="21"/>
        <v>1.9516984627343048</v>
      </c>
      <c r="G296" s="405">
        <f t="shared" si="22"/>
        <v>0.66121200636678512</v>
      </c>
      <c r="H296" s="405">
        <f t="shared" si="23"/>
        <v>-0.41368075475066729</v>
      </c>
      <c r="I296" s="375">
        <f t="shared" si="24"/>
        <v>-0.41103769958030445</v>
      </c>
    </row>
    <row r="297" spans="1:9" x14ac:dyDescent="0.25">
      <c r="A297" s="375">
        <v>0</v>
      </c>
      <c r="B297" s="375">
        <v>800</v>
      </c>
      <c r="C297" s="375">
        <v>3.15</v>
      </c>
      <c r="D297" s="375">
        <v>4</v>
      </c>
      <c r="E297" s="405">
        <f t="shared" si="20"/>
        <v>0.80815000000000003</v>
      </c>
      <c r="F297" s="405">
        <f t="shared" si="21"/>
        <v>2.2437532012626074</v>
      </c>
      <c r="G297" s="405">
        <f t="shared" si="22"/>
        <v>0.69171514047037941</v>
      </c>
      <c r="H297" s="405">
        <f t="shared" si="23"/>
        <v>-1.1767310548333418</v>
      </c>
      <c r="I297" s="375">
        <f t="shared" si="24"/>
        <v>-1.1699659011054198</v>
      </c>
    </row>
    <row r="298" spans="1:9" x14ac:dyDescent="0.25">
      <c r="A298" s="375">
        <v>0</v>
      </c>
      <c r="B298" s="375">
        <v>420</v>
      </c>
      <c r="C298" s="375">
        <v>2.2599999999999998</v>
      </c>
      <c r="D298" s="375">
        <v>4</v>
      </c>
      <c r="E298" s="405">
        <f t="shared" si="20"/>
        <v>0.42725999999999997</v>
      </c>
      <c r="F298" s="405">
        <f t="shared" si="21"/>
        <v>1.533051203224217</v>
      </c>
      <c r="G298" s="405">
        <f t="shared" si="22"/>
        <v>0.60521919228196375</v>
      </c>
      <c r="H298" s="405">
        <f t="shared" si="23"/>
        <v>-0.92942458527405902</v>
      </c>
      <c r="I298" s="375">
        <f t="shared" si="24"/>
        <v>-0.92300562047151591</v>
      </c>
    </row>
    <row r="299" spans="1:9" x14ac:dyDescent="0.25">
      <c r="A299" s="375">
        <v>1</v>
      </c>
      <c r="B299" s="375">
        <v>620</v>
      </c>
      <c r="C299" s="375">
        <v>3.45</v>
      </c>
      <c r="D299" s="375">
        <v>2</v>
      </c>
      <c r="E299" s="405">
        <f t="shared" si="20"/>
        <v>0.62644999999999995</v>
      </c>
      <c r="F299" s="405">
        <f t="shared" si="21"/>
        <v>1.8709568790136695</v>
      </c>
      <c r="G299" s="405">
        <f t="shared" si="22"/>
        <v>0.65168407533046802</v>
      </c>
      <c r="H299" s="405">
        <f t="shared" si="23"/>
        <v>-0.42819538152549552</v>
      </c>
      <c r="I299" s="375">
        <f t="shared" si="24"/>
        <v>-0.4268924674504786</v>
      </c>
    </row>
    <row r="300" spans="1:9" x14ac:dyDescent="0.25">
      <c r="A300" s="375">
        <v>0</v>
      </c>
      <c r="B300" s="375">
        <v>800</v>
      </c>
      <c r="C300" s="375">
        <v>2.78</v>
      </c>
      <c r="D300" s="375">
        <v>2</v>
      </c>
      <c r="E300" s="405">
        <f t="shared" si="20"/>
        <v>0.80578000000000005</v>
      </c>
      <c r="F300" s="405">
        <f t="shared" si="21"/>
        <v>2.2384418026690809</v>
      </c>
      <c r="G300" s="405">
        <f t="shared" si="22"/>
        <v>0.69120951959803223</v>
      </c>
      <c r="H300" s="405">
        <f t="shared" si="23"/>
        <v>-1.1750922890205346</v>
      </c>
      <c r="I300" s="375">
        <f t="shared" si="24"/>
        <v>-1.1717102969679687</v>
      </c>
    </row>
    <row r="301" spans="1:9" x14ac:dyDescent="0.25">
      <c r="A301" s="375">
        <v>0</v>
      </c>
      <c r="B301" s="375">
        <v>680</v>
      </c>
      <c r="C301" s="375">
        <v>3.7</v>
      </c>
      <c r="D301" s="375">
        <v>2</v>
      </c>
      <c r="E301" s="405">
        <f t="shared" si="20"/>
        <v>0.68670000000000009</v>
      </c>
      <c r="F301" s="405">
        <f t="shared" si="21"/>
        <v>1.9871471158329448</v>
      </c>
      <c r="G301" s="405">
        <f t="shared" si="22"/>
        <v>0.66523242370633728</v>
      </c>
      <c r="H301" s="405">
        <f t="shared" si="23"/>
        <v>-1.0943187900576041</v>
      </c>
      <c r="I301" s="375">
        <f t="shared" si="24"/>
        <v>-1.090988770704759</v>
      </c>
    </row>
    <row r="302" spans="1:9" x14ac:dyDescent="0.25">
      <c r="A302" s="375">
        <v>0</v>
      </c>
      <c r="B302" s="375">
        <v>800</v>
      </c>
      <c r="C302" s="375">
        <v>3.97</v>
      </c>
      <c r="D302" s="375">
        <v>1</v>
      </c>
      <c r="E302" s="405">
        <f t="shared" si="20"/>
        <v>0.80597000000000008</v>
      </c>
      <c r="F302" s="405">
        <f t="shared" si="21"/>
        <v>2.2388671470180217</v>
      </c>
      <c r="G302" s="405">
        <f t="shared" si="22"/>
        <v>0.69125007151939355</v>
      </c>
      <c r="H302" s="405">
        <f t="shared" si="23"/>
        <v>-1.1752236226817374</v>
      </c>
      <c r="I302" s="375">
        <f t="shared" si="24"/>
        <v>-1.1735324793355264</v>
      </c>
    </row>
    <row r="303" spans="1:9" x14ac:dyDescent="0.25">
      <c r="A303" s="375">
        <v>0</v>
      </c>
      <c r="B303" s="375">
        <v>480</v>
      </c>
      <c r="C303" s="375">
        <v>2.5499999999999998</v>
      </c>
      <c r="D303" s="375">
        <v>1</v>
      </c>
      <c r="E303" s="405">
        <f t="shared" si="20"/>
        <v>0.48454999999999998</v>
      </c>
      <c r="F303" s="405">
        <f t="shared" si="21"/>
        <v>1.6234442945133047</v>
      </c>
      <c r="G303" s="405">
        <f t="shared" si="22"/>
        <v>0.61882171384717066</v>
      </c>
      <c r="H303" s="405">
        <f t="shared" si="23"/>
        <v>-0.96448807064811393</v>
      </c>
      <c r="I303" s="375">
        <f t="shared" si="24"/>
        <v>-0.96286936688430524</v>
      </c>
    </row>
    <row r="304" spans="1:9" x14ac:dyDescent="0.25">
      <c r="A304" s="375">
        <v>0</v>
      </c>
      <c r="B304" s="375">
        <v>520</v>
      </c>
      <c r="C304" s="375">
        <v>3.25</v>
      </c>
      <c r="D304" s="375">
        <v>3</v>
      </c>
      <c r="E304" s="405">
        <f t="shared" si="20"/>
        <v>0.52725</v>
      </c>
      <c r="F304" s="405">
        <f t="shared" si="21"/>
        <v>1.6942666629729408</v>
      </c>
      <c r="G304" s="405">
        <f t="shared" si="22"/>
        <v>0.62884149006373125</v>
      </c>
      <c r="H304" s="405">
        <f t="shared" si="23"/>
        <v>-0.99112605711813673</v>
      </c>
      <c r="I304" s="375">
        <f t="shared" si="24"/>
        <v>-0.98624058321769092</v>
      </c>
    </row>
    <row r="305" spans="1:9" x14ac:dyDescent="0.25">
      <c r="A305" s="375">
        <v>0</v>
      </c>
      <c r="B305" s="375">
        <v>560</v>
      </c>
      <c r="C305" s="375">
        <v>3.16</v>
      </c>
      <c r="D305" s="375">
        <v>1</v>
      </c>
      <c r="E305" s="405">
        <f t="shared" si="20"/>
        <v>0.56516000000000011</v>
      </c>
      <c r="F305" s="405">
        <f t="shared" si="21"/>
        <v>1.7597293168891837</v>
      </c>
      <c r="G305" s="405">
        <f t="shared" si="22"/>
        <v>0.63764562202527242</v>
      </c>
      <c r="H305" s="405">
        <f t="shared" si="23"/>
        <v>-1.0151326013286541</v>
      </c>
      <c r="I305" s="375">
        <f t="shared" si="24"/>
        <v>-1.0134950712440678</v>
      </c>
    </row>
    <row r="306" spans="1:9" x14ac:dyDescent="0.25">
      <c r="A306" s="375">
        <v>0</v>
      </c>
      <c r="B306" s="375">
        <v>460</v>
      </c>
      <c r="C306" s="375">
        <v>3.07</v>
      </c>
      <c r="D306" s="375">
        <v>2</v>
      </c>
      <c r="E306" s="405">
        <f t="shared" si="20"/>
        <v>0.46607000000000004</v>
      </c>
      <c r="F306" s="405">
        <f t="shared" si="21"/>
        <v>1.5937185557428675</v>
      </c>
      <c r="G306" s="405">
        <f t="shared" si="22"/>
        <v>0.61445315730735095</v>
      </c>
      <c r="H306" s="405">
        <f t="shared" si="23"/>
        <v>-0.95309258183629875</v>
      </c>
      <c r="I306" s="375">
        <f t="shared" si="24"/>
        <v>-0.94986414939487129</v>
      </c>
    </row>
    <row r="307" spans="1:9" x14ac:dyDescent="0.25">
      <c r="A307" s="375">
        <v>0</v>
      </c>
      <c r="B307" s="375">
        <v>540</v>
      </c>
      <c r="C307" s="375">
        <v>3.5</v>
      </c>
      <c r="D307" s="375">
        <v>2</v>
      </c>
      <c r="E307" s="405">
        <f t="shared" si="20"/>
        <v>0.54649999999999999</v>
      </c>
      <c r="F307" s="405">
        <f t="shared" si="21"/>
        <v>1.7271972361048864</v>
      </c>
      <c r="G307" s="405">
        <f t="shared" si="22"/>
        <v>0.63332318368426932</v>
      </c>
      <c r="H307" s="405">
        <f t="shared" si="23"/>
        <v>-1.003274428385809</v>
      </c>
      <c r="I307" s="375">
        <f t="shared" si="24"/>
        <v>-1.0000082465507993</v>
      </c>
    </row>
    <row r="308" spans="1:9" x14ac:dyDescent="0.25">
      <c r="A308" s="375">
        <v>0</v>
      </c>
      <c r="B308" s="375">
        <v>720</v>
      </c>
      <c r="C308" s="375">
        <v>3.4</v>
      </c>
      <c r="D308" s="375">
        <v>3</v>
      </c>
      <c r="E308" s="405">
        <f t="shared" si="20"/>
        <v>0.72739999999999994</v>
      </c>
      <c r="F308" s="405">
        <f t="shared" si="21"/>
        <v>2.0696924057919701</v>
      </c>
      <c r="G308" s="405">
        <f t="shared" si="22"/>
        <v>0.67423446137040455</v>
      </c>
      <c r="H308" s="405">
        <f t="shared" si="23"/>
        <v>-1.1215773630262924</v>
      </c>
      <c r="I308" s="375">
        <f t="shared" si="24"/>
        <v>-1.1165556483769548</v>
      </c>
    </row>
    <row r="309" spans="1:9" x14ac:dyDescent="0.25">
      <c r="A309" s="375">
        <v>0</v>
      </c>
      <c r="B309" s="375">
        <v>640</v>
      </c>
      <c r="C309" s="375">
        <v>3.3</v>
      </c>
      <c r="D309" s="375">
        <v>2</v>
      </c>
      <c r="E309" s="405">
        <f t="shared" si="20"/>
        <v>0.64629999999999999</v>
      </c>
      <c r="F309" s="405">
        <f t="shared" si="21"/>
        <v>1.9084664236671518</v>
      </c>
      <c r="G309" s="405">
        <f t="shared" si="22"/>
        <v>0.65617619242131531</v>
      </c>
      <c r="H309" s="405">
        <f t="shared" si="23"/>
        <v>-1.0676259400927102</v>
      </c>
      <c r="I309" s="375">
        <f t="shared" si="24"/>
        <v>-1.0643140390197674</v>
      </c>
    </row>
    <row r="310" spans="1:9" x14ac:dyDescent="0.25">
      <c r="A310" s="375">
        <v>1</v>
      </c>
      <c r="B310" s="375">
        <v>660</v>
      </c>
      <c r="C310" s="375">
        <v>3.6</v>
      </c>
      <c r="D310" s="375">
        <v>3</v>
      </c>
      <c r="E310" s="405">
        <f t="shared" si="20"/>
        <v>0.66760000000000008</v>
      </c>
      <c r="F310" s="405">
        <f t="shared" si="21"/>
        <v>1.9495527747700343</v>
      </c>
      <c r="G310" s="405">
        <f t="shared" si="22"/>
        <v>0.66096555092899922</v>
      </c>
      <c r="H310" s="405">
        <f t="shared" si="23"/>
        <v>-0.41405355708614844</v>
      </c>
      <c r="I310" s="375">
        <f t="shared" si="24"/>
        <v>-0.41207166916314886</v>
      </c>
    </row>
    <row r="311" spans="1:9" x14ac:dyDescent="0.25">
      <c r="A311" s="375">
        <v>1</v>
      </c>
      <c r="B311" s="375">
        <v>400</v>
      </c>
      <c r="C311" s="375">
        <v>3.15</v>
      </c>
      <c r="D311" s="375">
        <v>2</v>
      </c>
      <c r="E311" s="405">
        <f t="shared" si="20"/>
        <v>0.40615000000000001</v>
      </c>
      <c r="F311" s="405">
        <f t="shared" si="21"/>
        <v>1.5010276897257615</v>
      </c>
      <c r="G311" s="405">
        <f t="shared" si="22"/>
        <v>0.60016436279054142</v>
      </c>
      <c r="H311" s="405">
        <f t="shared" si="23"/>
        <v>-0.5105517232959137</v>
      </c>
      <c r="I311" s="375">
        <f t="shared" si="24"/>
        <v>-0.50935187456855957</v>
      </c>
    </row>
    <row r="312" spans="1:9" x14ac:dyDescent="0.25">
      <c r="A312" s="375">
        <v>1</v>
      </c>
      <c r="B312" s="375">
        <v>680</v>
      </c>
      <c r="C312" s="375">
        <v>3.98</v>
      </c>
      <c r="D312" s="375">
        <v>2</v>
      </c>
      <c r="E312" s="405">
        <f t="shared" si="20"/>
        <v>0.68698000000000004</v>
      </c>
      <c r="F312" s="405">
        <f t="shared" si="21"/>
        <v>1.9877035949288158</v>
      </c>
      <c r="G312" s="405">
        <f t="shared" si="22"/>
        <v>0.66529477633010459</v>
      </c>
      <c r="H312" s="405">
        <f t="shared" si="23"/>
        <v>-0.40752506386574361</v>
      </c>
      <c r="I312" s="375">
        <f t="shared" si="24"/>
        <v>-0.4061949197664606</v>
      </c>
    </row>
    <row r="313" spans="1:9" x14ac:dyDescent="0.25">
      <c r="A313" s="375">
        <v>0</v>
      </c>
      <c r="B313" s="375">
        <v>220</v>
      </c>
      <c r="C313" s="375">
        <v>2.83</v>
      </c>
      <c r="D313" s="375">
        <v>3</v>
      </c>
      <c r="E313" s="405">
        <f t="shared" si="20"/>
        <v>0.22683</v>
      </c>
      <c r="F313" s="405">
        <f t="shared" si="21"/>
        <v>1.2546165649939935</v>
      </c>
      <c r="G313" s="405">
        <f t="shared" si="22"/>
        <v>0.55646560238828724</v>
      </c>
      <c r="H313" s="405">
        <f t="shared" si="23"/>
        <v>-0.81297992079991666</v>
      </c>
      <c r="I313" s="375">
        <f t="shared" si="24"/>
        <v>-0.80831163477013934</v>
      </c>
    </row>
    <row r="314" spans="1:9" x14ac:dyDescent="0.25">
      <c r="A314" s="375">
        <v>0</v>
      </c>
      <c r="B314" s="375">
        <v>580</v>
      </c>
      <c r="C314" s="375">
        <v>3.46</v>
      </c>
      <c r="D314" s="375">
        <v>4</v>
      </c>
      <c r="E314" s="405">
        <f t="shared" si="20"/>
        <v>0.58845999999999998</v>
      </c>
      <c r="F314" s="405">
        <f t="shared" si="21"/>
        <v>1.8012124113099228</v>
      </c>
      <c r="G314" s="405">
        <f t="shared" si="22"/>
        <v>0.64301172022425368</v>
      </c>
      <c r="H314" s="405">
        <f t="shared" si="23"/>
        <v>-1.0300523275012206</v>
      </c>
      <c r="I314" s="375">
        <f t="shared" si="24"/>
        <v>-1.0234821177009121</v>
      </c>
    </row>
    <row r="315" spans="1:9" x14ac:dyDescent="0.25">
      <c r="A315" s="375">
        <v>1</v>
      </c>
      <c r="B315" s="375">
        <v>540</v>
      </c>
      <c r="C315" s="375">
        <v>3.17</v>
      </c>
      <c r="D315" s="375">
        <v>1</v>
      </c>
      <c r="E315" s="405">
        <f t="shared" si="20"/>
        <v>0.54517000000000004</v>
      </c>
      <c r="F315" s="405">
        <f t="shared" si="21"/>
        <v>1.7249015907234428</v>
      </c>
      <c r="G315" s="405">
        <f t="shared" si="22"/>
        <v>0.63301426979808595</v>
      </c>
      <c r="H315" s="405">
        <f t="shared" si="23"/>
        <v>-0.45726231396711498</v>
      </c>
      <c r="I315" s="375">
        <f t="shared" si="24"/>
        <v>-0.45662941586121508</v>
      </c>
    </row>
    <row r="316" spans="1:9" x14ac:dyDescent="0.25">
      <c r="A316" s="375">
        <v>0</v>
      </c>
      <c r="B316" s="375">
        <v>580</v>
      </c>
      <c r="C316" s="375">
        <v>3.51</v>
      </c>
      <c r="D316" s="375">
        <v>2</v>
      </c>
      <c r="E316" s="405">
        <f t="shared" si="20"/>
        <v>0.58650999999999998</v>
      </c>
      <c r="F316" s="405">
        <f t="shared" si="21"/>
        <v>1.7977034694380893</v>
      </c>
      <c r="G316" s="405">
        <f t="shared" si="22"/>
        <v>0.64256397758950223</v>
      </c>
      <c r="H316" s="405">
        <f t="shared" si="23"/>
        <v>-1.0287988911553345</v>
      </c>
      <c r="I316" s="375">
        <f t="shared" si="24"/>
        <v>-1.0255142226384384</v>
      </c>
    </row>
    <row r="317" spans="1:9" x14ac:dyDescent="0.25">
      <c r="A317" s="375">
        <v>0</v>
      </c>
      <c r="B317" s="375">
        <v>540</v>
      </c>
      <c r="C317" s="375">
        <v>3.13</v>
      </c>
      <c r="D317" s="375">
        <v>2</v>
      </c>
      <c r="E317" s="405">
        <f t="shared" si="20"/>
        <v>0.54613</v>
      </c>
      <c r="F317" s="405">
        <f t="shared" si="21"/>
        <v>1.7265582913395985</v>
      </c>
      <c r="G317" s="405">
        <f t="shared" si="22"/>
        <v>0.63323725622286797</v>
      </c>
      <c r="H317" s="405">
        <f t="shared" si="23"/>
        <v>-1.0030401147041648</v>
      </c>
      <c r="I317" s="375">
        <f t="shared" si="24"/>
        <v>-0.99977410476984274</v>
      </c>
    </row>
    <row r="318" spans="1:9" x14ac:dyDescent="0.25">
      <c r="A318" s="375">
        <v>0</v>
      </c>
      <c r="B318" s="375">
        <v>440</v>
      </c>
      <c r="C318" s="375">
        <v>2.98</v>
      </c>
      <c r="D318" s="375">
        <v>3</v>
      </c>
      <c r="E318" s="405">
        <f t="shared" si="20"/>
        <v>0.44697999999999999</v>
      </c>
      <c r="F318" s="405">
        <f t="shared" si="21"/>
        <v>1.563583027313153</v>
      </c>
      <c r="G318" s="405">
        <f t="shared" si="22"/>
        <v>0.60992096243979166</v>
      </c>
      <c r="H318" s="405">
        <f t="shared" si="23"/>
        <v>-0.94140589998050128</v>
      </c>
      <c r="I318" s="375">
        <f t="shared" si="24"/>
        <v>-0.93657720795642663</v>
      </c>
    </row>
    <row r="319" spans="1:9" x14ac:dyDescent="0.25">
      <c r="A319" s="375">
        <v>0</v>
      </c>
      <c r="B319" s="375">
        <v>560</v>
      </c>
      <c r="C319" s="375">
        <v>4</v>
      </c>
      <c r="D319" s="375">
        <v>3</v>
      </c>
      <c r="E319" s="405">
        <f t="shared" si="20"/>
        <v>0.56800000000000006</v>
      </c>
      <c r="F319" s="405">
        <f t="shared" si="21"/>
        <v>1.7647340515084595</v>
      </c>
      <c r="G319" s="405">
        <f t="shared" si="22"/>
        <v>0.63830155762924379</v>
      </c>
      <c r="H319" s="405">
        <f t="shared" si="23"/>
        <v>-1.016944446445422</v>
      </c>
      <c r="I319" s="375">
        <f t="shared" si="24"/>
        <v>-1.0120305809866605</v>
      </c>
    </row>
    <row r="320" spans="1:9" x14ac:dyDescent="0.25">
      <c r="A320" s="375">
        <v>0</v>
      </c>
      <c r="B320" s="375">
        <v>660</v>
      </c>
      <c r="C320" s="375">
        <v>3.67</v>
      </c>
      <c r="D320" s="375">
        <v>2</v>
      </c>
      <c r="E320" s="405">
        <f t="shared" si="20"/>
        <v>0.66666999999999998</v>
      </c>
      <c r="F320" s="405">
        <f t="shared" si="21"/>
        <v>1.9477405335123001</v>
      </c>
      <c r="G320" s="405">
        <f t="shared" si="22"/>
        <v>0.66075711595671649</v>
      </c>
      <c r="H320" s="405">
        <f t="shared" si="23"/>
        <v>-1.0810389560412133</v>
      </c>
      <c r="I320" s="375">
        <f t="shared" si="24"/>
        <v>-1.0777178902196405</v>
      </c>
    </row>
    <row r="321" spans="1:9" x14ac:dyDescent="0.25">
      <c r="A321" s="375">
        <v>0</v>
      </c>
      <c r="B321" s="375">
        <v>660</v>
      </c>
      <c r="C321" s="375">
        <v>3.77</v>
      </c>
      <c r="D321" s="375">
        <v>3</v>
      </c>
      <c r="E321" s="405">
        <f t="shared" si="20"/>
        <v>0.66777000000000009</v>
      </c>
      <c r="F321" s="405">
        <f t="shared" si="21"/>
        <v>1.9498842269143792</v>
      </c>
      <c r="G321" s="405">
        <f t="shared" si="22"/>
        <v>0.66100364520203081</v>
      </c>
      <c r="H321" s="405">
        <f t="shared" si="23"/>
        <v>-1.081765924467849</v>
      </c>
      <c r="I321" s="375">
        <f t="shared" si="24"/>
        <v>-1.0767839222068964</v>
      </c>
    </row>
    <row r="322" spans="1:9" x14ac:dyDescent="0.25">
      <c r="A322" s="375">
        <v>1</v>
      </c>
      <c r="B322" s="375">
        <v>520</v>
      </c>
      <c r="C322" s="375">
        <v>3.65</v>
      </c>
      <c r="D322" s="375">
        <v>4</v>
      </c>
      <c r="E322" s="405">
        <f t="shared" si="20"/>
        <v>0.52865000000000006</v>
      </c>
      <c r="F322" s="405">
        <f t="shared" si="21"/>
        <v>1.6966402974575485</v>
      </c>
      <c r="G322" s="405">
        <f t="shared" si="22"/>
        <v>0.62916819089931197</v>
      </c>
      <c r="H322" s="405">
        <f t="shared" si="23"/>
        <v>-0.46335666390857849</v>
      </c>
      <c r="I322" s="375">
        <f t="shared" si="24"/>
        <v>-0.46084185831153424</v>
      </c>
    </row>
    <row r="323" spans="1:9" x14ac:dyDescent="0.25">
      <c r="A323" s="375">
        <v>0</v>
      </c>
      <c r="B323" s="375">
        <v>540</v>
      </c>
      <c r="C323" s="375">
        <v>3.46</v>
      </c>
      <c r="D323" s="375">
        <v>4</v>
      </c>
      <c r="E323" s="405">
        <f t="shared" si="20"/>
        <v>0.54846000000000006</v>
      </c>
      <c r="F323" s="405">
        <f t="shared" si="21"/>
        <v>1.7305858624566646</v>
      </c>
      <c r="G323" s="405">
        <f t="shared" si="22"/>
        <v>0.63377822549029239</v>
      </c>
      <c r="H323" s="405">
        <f t="shared" si="23"/>
        <v>-1.0045161878057096</v>
      </c>
      <c r="I323" s="375">
        <f t="shared" si="24"/>
        <v>-0.99798293239227487</v>
      </c>
    </row>
    <row r="324" spans="1:9" x14ac:dyDescent="0.25">
      <c r="A324" s="375">
        <v>1</v>
      </c>
      <c r="B324" s="375">
        <v>300</v>
      </c>
      <c r="C324" s="375">
        <v>2.84</v>
      </c>
      <c r="D324" s="375">
        <v>2</v>
      </c>
      <c r="E324" s="405">
        <f t="shared" si="20"/>
        <v>0.30584</v>
      </c>
      <c r="F324" s="405">
        <f t="shared" si="21"/>
        <v>1.3577650467600912</v>
      </c>
      <c r="G324" s="405">
        <f t="shared" si="22"/>
        <v>0.57586952891080301</v>
      </c>
      <c r="H324" s="405">
        <f t="shared" si="23"/>
        <v>-0.5518741562516668</v>
      </c>
      <c r="I324" s="375">
        <f t="shared" si="24"/>
        <v>-0.55072290573081362</v>
      </c>
    </row>
    <row r="325" spans="1:9" x14ac:dyDescent="0.25">
      <c r="A325" s="375">
        <v>1</v>
      </c>
      <c r="B325" s="375">
        <v>340</v>
      </c>
      <c r="C325" s="375">
        <v>3</v>
      </c>
      <c r="D325" s="375">
        <v>2</v>
      </c>
      <c r="E325" s="405">
        <f t="shared" si="20"/>
        <v>0.34600000000000003</v>
      </c>
      <c r="F325" s="405">
        <f t="shared" si="21"/>
        <v>1.4134026158176771</v>
      </c>
      <c r="G325" s="405">
        <f t="shared" si="22"/>
        <v>0.58564725444237853</v>
      </c>
      <c r="H325" s="405">
        <f t="shared" si="23"/>
        <v>-0.5350376255291871</v>
      </c>
      <c r="I325" s="375">
        <f t="shared" si="24"/>
        <v>-0.53386681640474709</v>
      </c>
    </row>
    <row r="326" spans="1:9" x14ac:dyDescent="0.25">
      <c r="A326" s="375">
        <v>1</v>
      </c>
      <c r="B326" s="375">
        <v>780</v>
      </c>
      <c r="C326" s="375">
        <v>3.63</v>
      </c>
      <c r="D326" s="375">
        <v>4</v>
      </c>
      <c r="E326" s="405">
        <f t="shared" si="20"/>
        <v>0.78863000000000005</v>
      </c>
      <c r="F326" s="405">
        <f t="shared" si="21"/>
        <v>2.2003798399853807</v>
      </c>
      <c r="G326" s="405">
        <f t="shared" si="22"/>
        <v>0.68753708934606717</v>
      </c>
      <c r="H326" s="405">
        <f t="shared" si="23"/>
        <v>-0.37463950275682517</v>
      </c>
      <c r="I326" s="375">
        <f t="shared" si="24"/>
        <v>-0.37189107389698794</v>
      </c>
    </row>
    <row r="327" spans="1:9" x14ac:dyDescent="0.25">
      <c r="A327" s="375">
        <v>1</v>
      </c>
      <c r="B327" s="375">
        <v>480</v>
      </c>
      <c r="C327" s="375">
        <v>3.71</v>
      </c>
      <c r="D327" s="375">
        <v>4</v>
      </c>
      <c r="E327" s="405">
        <f t="shared" si="20"/>
        <v>0.48870999999999998</v>
      </c>
      <c r="F327" s="405">
        <f t="shared" si="21"/>
        <v>1.630211889616523</v>
      </c>
      <c r="G327" s="405">
        <f t="shared" si="22"/>
        <v>0.61980249425995981</v>
      </c>
      <c r="H327" s="405">
        <f t="shared" si="23"/>
        <v>-0.47835440933849077</v>
      </c>
      <c r="I327" s="375">
        <f t="shared" si="24"/>
        <v>-0.47587708514157301</v>
      </c>
    </row>
    <row r="328" spans="1:9" x14ac:dyDescent="0.25">
      <c r="A328" s="375">
        <v>0</v>
      </c>
      <c r="B328" s="375">
        <v>540</v>
      </c>
      <c r="C328" s="375">
        <v>3.28</v>
      </c>
      <c r="D328" s="375">
        <v>1</v>
      </c>
      <c r="E328" s="405">
        <f t="shared" si="20"/>
        <v>0.54527999999999999</v>
      </c>
      <c r="F328" s="405">
        <f t="shared" si="21"/>
        <v>1.7250913403344597</v>
      </c>
      <c r="G328" s="405">
        <f t="shared" si="22"/>
        <v>0.63303982321661678</v>
      </c>
      <c r="H328" s="405">
        <f t="shared" si="23"/>
        <v>-1.0025019469422378</v>
      </c>
      <c r="I328" s="375">
        <f t="shared" si="24"/>
        <v>-1.0008690232795219</v>
      </c>
    </row>
    <row r="329" spans="1:9" x14ac:dyDescent="0.25">
      <c r="A329" s="375">
        <v>0</v>
      </c>
      <c r="B329" s="375">
        <v>460</v>
      </c>
      <c r="C329" s="375">
        <v>3.14</v>
      </c>
      <c r="D329" s="375">
        <v>3</v>
      </c>
      <c r="E329" s="405">
        <f t="shared" si="20"/>
        <v>0.46714</v>
      </c>
      <c r="F329" s="405">
        <f t="shared" si="21"/>
        <v>1.5954247472471823</v>
      </c>
      <c r="G329" s="405">
        <f t="shared" si="22"/>
        <v>0.61470660975216385</v>
      </c>
      <c r="H329" s="405">
        <f t="shared" si="23"/>
        <v>-0.95375018231721709</v>
      </c>
      <c r="I329" s="375">
        <f t="shared" si="24"/>
        <v>-0.94890712852290193</v>
      </c>
    </row>
    <row r="330" spans="1:9" x14ac:dyDescent="0.25">
      <c r="A330" s="375">
        <v>0</v>
      </c>
      <c r="B330" s="375">
        <v>460</v>
      </c>
      <c r="C330" s="375">
        <v>3.58</v>
      </c>
      <c r="D330" s="375">
        <v>2</v>
      </c>
      <c r="E330" s="405">
        <f t="shared" ref="E330:E393" si="25">$B$3+$B$4*B330+$B$5*C330+$B$6*D330</f>
        <v>0.46658000000000005</v>
      </c>
      <c r="F330" s="405">
        <f t="shared" ref="F330:F393" si="26">EXP(E330)</f>
        <v>1.5945315595046337</v>
      </c>
      <c r="G330" s="405">
        <f t="shared" ref="G330:G393" si="27">F330/(1+F330)</f>
        <v>0.61457396949492993</v>
      </c>
      <c r="H330" s="405">
        <f t="shared" ref="H330:H393" si="28">A330*LN(G330)+(1-A330)*LN(1-G330)</f>
        <v>-0.95340598375423324</v>
      </c>
      <c r="I330" s="375">
        <f t="shared" ref="I330:I393" si="29">A330*($B$3+B330*$B$4+C330*$B$5)+D330*$B$6-LN(1+EXP($B$3+B330*$B$4+C330*$B$5))</f>
        <v>-0.95017730963315983</v>
      </c>
    </row>
    <row r="331" spans="1:9" x14ac:dyDescent="0.25">
      <c r="A331" s="375">
        <v>0</v>
      </c>
      <c r="B331" s="375">
        <v>500</v>
      </c>
      <c r="C331" s="375">
        <v>3.01</v>
      </c>
      <c r="D331" s="375">
        <v>4</v>
      </c>
      <c r="E331" s="405">
        <f t="shared" si="25"/>
        <v>0.50800999999999996</v>
      </c>
      <c r="F331" s="405">
        <f t="shared" si="26"/>
        <v>1.6619805606416136</v>
      </c>
      <c r="G331" s="405">
        <f t="shared" si="27"/>
        <v>0.62433985627642163</v>
      </c>
      <c r="H331" s="405">
        <f t="shared" si="28"/>
        <v>-0.97907041740741807</v>
      </c>
      <c r="I331" s="375">
        <f t="shared" si="29"/>
        <v>-0.97257493492022995</v>
      </c>
    </row>
    <row r="332" spans="1:9" x14ac:dyDescent="0.25">
      <c r="A332" s="375">
        <v>0</v>
      </c>
      <c r="B332" s="375">
        <v>420</v>
      </c>
      <c r="C332" s="375">
        <v>2.69</v>
      </c>
      <c r="D332" s="375">
        <v>2</v>
      </c>
      <c r="E332" s="405">
        <f t="shared" si="25"/>
        <v>0.42569000000000001</v>
      </c>
      <c r="F332" s="405">
        <f t="shared" si="26"/>
        <v>1.5306462012557076</v>
      </c>
      <c r="G332" s="405">
        <f t="shared" si="27"/>
        <v>0.60484401197457016</v>
      </c>
      <c r="H332" s="405">
        <f t="shared" si="28"/>
        <v>-0.92847468564252911</v>
      </c>
      <c r="I332" s="375">
        <f t="shared" si="29"/>
        <v>-0.92526547570079964</v>
      </c>
    </row>
    <row r="333" spans="1:9" x14ac:dyDescent="0.25">
      <c r="A333" s="375">
        <v>0</v>
      </c>
      <c r="B333" s="375">
        <v>520</v>
      </c>
      <c r="C333" s="375">
        <v>2.7</v>
      </c>
      <c r="D333" s="375">
        <v>3</v>
      </c>
      <c r="E333" s="405">
        <f t="shared" si="25"/>
        <v>0.52670000000000006</v>
      </c>
      <c r="F333" s="405">
        <f t="shared" si="26"/>
        <v>1.6933350725191643</v>
      </c>
      <c r="G333" s="405">
        <f t="shared" si="27"/>
        <v>0.62871311104092686</v>
      </c>
      <c r="H333" s="405">
        <f t="shared" si="28"/>
        <v>-0.99078022960199919</v>
      </c>
      <c r="I333" s="375">
        <f t="shared" si="29"/>
        <v>-0.98589514098718134</v>
      </c>
    </row>
    <row r="334" spans="1:9" x14ac:dyDescent="0.25">
      <c r="A334" s="375">
        <v>0</v>
      </c>
      <c r="B334" s="375">
        <v>680</v>
      </c>
      <c r="C334" s="375">
        <v>3.9</v>
      </c>
      <c r="D334" s="375">
        <v>1</v>
      </c>
      <c r="E334" s="405">
        <f t="shared" si="25"/>
        <v>0.68590000000000007</v>
      </c>
      <c r="F334" s="405">
        <f t="shared" si="26"/>
        <v>1.9855580338578194</v>
      </c>
      <c r="G334" s="405">
        <f t="shared" si="27"/>
        <v>0.66505424156574178</v>
      </c>
      <c r="H334" s="405">
        <f t="shared" si="28"/>
        <v>-1.0937866753883563</v>
      </c>
      <c r="I334" s="375">
        <f t="shared" si="29"/>
        <v>-1.0921217325375918</v>
      </c>
    </row>
    <row r="335" spans="1:9" x14ac:dyDescent="0.25">
      <c r="A335" s="375">
        <v>0</v>
      </c>
      <c r="B335" s="375">
        <v>680</v>
      </c>
      <c r="C335" s="375">
        <v>3.31</v>
      </c>
      <c r="D335" s="375">
        <v>2</v>
      </c>
      <c r="E335" s="405">
        <f t="shared" si="25"/>
        <v>0.68631000000000009</v>
      </c>
      <c r="F335" s="405">
        <f t="shared" si="26"/>
        <v>1.986372279560664</v>
      </c>
      <c r="G335" s="405">
        <f t="shared" si="27"/>
        <v>0.66514556579425743</v>
      </c>
      <c r="H335" s="405">
        <f t="shared" si="28"/>
        <v>-1.0940593663492879</v>
      </c>
      <c r="I335" s="375">
        <f t="shared" si="29"/>
        <v>-1.0907295207696197</v>
      </c>
    </row>
    <row r="336" spans="1:9" x14ac:dyDescent="0.25">
      <c r="A336" s="375">
        <v>1</v>
      </c>
      <c r="B336" s="375">
        <v>560</v>
      </c>
      <c r="C336" s="375">
        <v>3.48</v>
      </c>
      <c r="D336" s="375">
        <v>2</v>
      </c>
      <c r="E336" s="405">
        <f t="shared" si="25"/>
        <v>0.56648000000000009</v>
      </c>
      <c r="F336" s="405">
        <f t="shared" si="26"/>
        <v>1.7620536933384343</v>
      </c>
      <c r="G336" s="405">
        <f t="shared" si="27"/>
        <v>0.63795055743781659</v>
      </c>
      <c r="H336" s="405">
        <f t="shared" si="28"/>
        <v>-0.44949449481930204</v>
      </c>
      <c r="I336" s="375">
        <f t="shared" si="29"/>
        <v>-0.44821905572862075</v>
      </c>
    </row>
    <row r="337" spans="1:9" x14ac:dyDescent="0.25">
      <c r="A337" s="375">
        <v>0</v>
      </c>
      <c r="B337" s="375">
        <v>580</v>
      </c>
      <c r="C337" s="375">
        <v>3.34</v>
      </c>
      <c r="D337" s="375">
        <v>2</v>
      </c>
      <c r="E337" s="405">
        <f t="shared" si="25"/>
        <v>0.58633999999999997</v>
      </c>
      <c r="F337" s="405">
        <f t="shared" si="26"/>
        <v>1.7973978858236281</v>
      </c>
      <c r="G337" s="405">
        <f t="shared" si="27"/>
        <v>0.64252493180619774</v>
      </c>
      <c r="H337" s="405">
        <f t="shared" si="28"/>
        <v>-1.0286896585980096</v>
      </c>
      <c r="I337" s="375">
        <f t="shared" si="29"/>
        <v>-1.0254050681949229</v>
      </c>
    </row>
    <row r="338" spans="1:9" x14ac:dyDescent="0.25">
      <c r="A338" s="375">
        <v>0</v>
      </c>
      <c r="B338" s="375">
        <v>500</v>
      </c>
      <c r="C338" s="375">
        <v>2.93</v>
      </c>
      <c r="D338" s="375">
        <v>4</v>
      </c>
      <c r="E338" s="405">
        <f t="shared" si="25"/>
        <v>0.50792999999999999</v>
      </c>
      <c r="F338" s="405">
        <f t="shared" si="26"/>
        <v>1.6618476075149582</v>
      </c>
      <c r="G338" s="405">
        <f t="shared" si="27"/>
        <v>0.62432109292177784</v>
      </c>
      <c r="H338" s="405">
        <f t="shared" si="28"/>
        <v>-0.979020470969448</v>
      </c>
      <c r="I338" s="375">
        <f t="shared" si="29"/>
        <v>-0.97252506357292234</v>
      </c>
    </row>
    <row r="339" spans="1:9" x14ac:dyDescent="0.25">
      <c r="A339" s="375">
        <v>0</v>
      </c>
      <c r="B339" s="375">
        <v>740</v>
      </c>
      <c r="C339" s="375">
        <v>4</v>
      </c>
      <c r="D339" s="375">
        <v>3</v>
      </c>
      <c r="E339" s="405">
        <f t="shared" si="25"/>
        <v>0.748</v>
      </c>
      <c r="F339" s="405">
        <f t="shared" si="26"/>
        <v>2.1127702477582266</v>
      </c>
      <c r="G339" s="405">
        <f t="shared" si="27"/>
        <v>0.67874275310868637</v>
      </c>
      <c r="H339" s="405">
        <f t="shared" si="28"/>
        <v>-1.1355130846106043</v>
      </c>
      <c r="I339" s="375">
        <f t="shared" si="29"/>
        <v>-1.1304778379314537</v>
      </c>
    </row>
    <row r="340" spans="1:9" x14ac:dyDescent="0.25">
      <c r="A340" s="375">
        <v>0</v>
      </c>
      <c r="B340" s="375">
        <v>660</v>
      </c>
      <c r="C340" s="375">
        <v>3.59</v>
      </c>
      <c r="D340" s="375">
        <v>3</v>
      </c>
      <c r="E340" s="405">
        <f t="shared" si="25"/>
        <v>0.66759000000000002</v>
      </c>
      <c r="F340" s="405">
        <f t="shared" si="26"/>
        <v>1.9495332793397637</v>
      </c>
      <c r="G340" s="405">
        <f t="shared" si="27"/>
        <v>0.66096331002447817</v>
      </c>
      <c r="H340" s="405">
        <f t="shared" si="28"/>
        <v>-1.0816469474418438</v>
      </c>
      <c r="I340" s="375">
        <f t="shared" si="29"/>
        <v>-1.0766650662448005</v>
      </c>
    </row>
    <row r="341" spans="1:9" x14ac:dyDescent="0.25">
      <c r="A341" s="375">
        <v>0</v>
      </c>
      <c r="B341" s="375">
        <v>420</v>
      </c>
      <c r="C341" s="375">
        <v>2.96</v>
      </c>
      <c r="D341" s="375">
        <v>1</v>
      </c>
      <c r="E341" s="405">
        <f t="shared" si="25"/>
        <v>0.42496</v>
      </c>
      <c r="F341" s="405">
        <f t="shared" si="26"/>
        <v>1.5295292372702483</v>
      </c>
      <c r="G341" s="405">
        <f t="shared" si="27"/>
        <v>0.60466952298240528</v>
      </c>
      <c r="H341" s="405">
        <f t="shared" si="28"/>
        <v>-0.92803321320064658</v>
      </c>
      <c r="I341" s="375">
        <f t="shared" si="29"/>
        <v>-0.92642866320814521</v>
      </c>
    </row>
    <row r="342" spans="1:9" x14ac:dyDescent="0.25">
      <c r="A342" s="375">
        <v>0</v>
      </c>
      <c r="B342" s="375">
        <v>560</v>
      </c>
      <c r="C342" s="375">
        <v>3.43</v>
      </c>
      <c r="D342" s="375">
        <v>3</v>
      </c>
      <c r="E342" s="405">
        <f t="shared" si="25"/>
        <v>0.5674300000000001</v>
      </c>
      <c r="F342" s="405">
        <f t="shared" si="26"/>
        <v>1.7637284397256849</v>
      </c>
      <c r="G342" s="405">
        <f t="shared" si="27"/>
        <v>0.63816994983079622</v>
      </c>
      <c r="H342" s="405">
        <f t="shared" si="28"/>
        <v>-1.0165806520648109</v>
      </c>
      <c r="I342" s="375">
        <f t="shared" si="29"/>
        <v>-1.0116671815929523</v>
      </c>
    </row>
    <row r="343" spans="1:9" x14ac:dyDescent="0.25">
      <c r="A343" s="375">
        <v>1</v>
      </c>
      <c r="B343" s="375">
        <v>460</v>
      </c>
      <c r="C343" s="375">
        <v>3.64</v>
      </c>
      <c r="D343" s="375">
        <v>3</v>
      </c>
      <c r="E343" s="405">
        <f t="shared" si="25"/>
        <v>0.46764</v>
      </c>
      <c r="F343" s="405">
        <f t="shared" si="26"/>
        <v>1.5962226590821413</v>
      </c>
      <c r="G343" s="405">
        <f t="shared" si="27"/>
        <v>0.61482502415507911</v>
      </c>
      <c r="H343" s="405">
        <f t="shared" si="28"/>
        <v>-0.48641756522626028</v>
      </c>
      <c r="I343" s="375">
        <f t="shared" si="29"/>
        <v>-0.4845741560666515</v>
      </c>
    </row>
    <row r="344" spans="1:9" x14ac:dyDescent="0.25">
      <c r="A344" s="375">
        <v>1</v>
      </c>
      <c r="B344" s="375">
        <v>620</v>
      </c>
      <c r="C344" s="375">
        <v>3.71</v>
      </c>
      <c r="D344" s="375">
        <v>1</v>
      </c>
      <c r="E344" s="405">
        <f t="shared" si="25"/>
        <v>0.62570999999999999</v>
      </c>
      <c r="F344" s="405">
        <f t="shared" si="26"/>
        <v>1.8695728830648568</v>
      </c>
      <c r="G344" s="405">
        <f t="shared" si="27"/>
        <v>0.65151608244501302</v>
      </c>
      <c r="H344" s="405">
        <f t="shared" si="28"/>
        <v>-0.42845319746479421</v>
      </c>
      <c r="I344" s="375">
        <f t="shared" si="29"/>
        <v>-0.42780179491525105</v>
      </c>
    </row>
    <row r="345" spans="1:9" x14ac:dyDescent="0.25">
      <c r="A345" s="375">
        <v>0</v>
      </c>
      <c r="B345" s="375">
        <v>520</v>
      </c>
      <c r="C345" s="375">
        <v>3.15</v>
      </c>
      <c r="D345" s="375">
        <v>3</v>
      </c>
      <c r="E345" s="405">
        <f t="shared" si="25"/>
        <v>0.52715000000000001</v>
      </c>
      <c r="F345" s="405">
        <f t="shared" si="26"/>
        <v>1.6940972447776945</v>
      </c>
      <c r="G345" s="405">
        <f t="shared" si="27"/>
        <v>0.62881814977598716</v>
      </c>
      <c r="H345" s="405">
        <f t="shared" si="28"/>
        <v>-0.99106317413613976</v>
      </c>
      <c r="I345" s="375">
        <f t="shared" si="29"/>
        <v>-0.98617777028357756</v>
      </c>
    </row>
    <row r="346" spans="1:9" x14ac:dyDescent="0.25">
      <c r="A346" s="375">
        <v>0</v>
      </c>
      <c r="B346" s="375">
        <v>620</v>
      </c>
      <c r="C346" s="375">
        <v>3.09</v>
      </c>
      <c r="D346" s="375">
        <v>4</v>
      </c>
      <c r="E346" s="405">
        <f t="shared" si="25"/>
        <v>0.62809000000000004</v>
      </c>
      <c r="F346" s="405">
        <f t="shared" si="26"/>
        <v>1.8740277657340749</v>
      </c>
      <c r="G346" s="405">
        <f t="shared" si="27"/>
        <v>0.65205624944803431</v>
      </c>
      <c r="H346" s="405">
        <f t="shared" si="28"/>
        <v>-1.0557144486171508</v>
      </c>
      <c r="I346" s="375">
        <f t="shared" si="29"/>
        <v>-1.0491080393856245</v>
      </c>
    </row>
    <row r="347" spans="1:9" x14ac:dyDescent="0.25">
      <c r="A347" s="375">
        <v>0</v>
      </c>
      <c r="B347" s="375">
        <v>540</v>
      </c>
      <c r="C347" s="375">
        <v>3.2</v>
      </c>
      <c r="D347" s="375">
        <v>1</v>
      </c>
      <c r="E347" s="405">
        <f t="shared" si="25"/>
        <v>0.54520000000000002</v>
      </c>
      <c r="F347" s="405">
        <f t="shared" si="26"/>
        <v>1.7249533385473781</v>
      </c>
      <c r="G347" s="405">
        <f t="shared" si="27"/>
        <v>0.63302123898639628</v>
      </c>
      <c r="H347" s="405">
        <f t="shared" si="28"/>
        <v>-1.0024513044997472</v>
      </c>
      <c r="I347" s="375">
        <f t="shared" si="29"/>
        <v>-1.0008183994237325</v>
      </c>
    </row>
    <row r="348" spans="1:9" x14ac:dyDescent="0.25">
      <c r="A348" s="375">
        <v>1</v>
      </c>
      <c r="B348" s="375">
        <v>660</v>
      </c>
      <c r="C348" s="375">
        <v>3.47</v>
      </c>
      <c r="D348" s="375">
        <v>3</v>
      </c>
      <c r="E348" s="405">
        <f t="shared" si="25"/>
        <v>0.66747000000000001</v>
      </c>
      <c r="F348" s="405">
        <f t="shared" si="26"/>
        <v>1.9492993493823212</v>
      </c>
      <c r="G348" s="405">
        <f t="shared" si="27"/>
        <v>0.66093641860754748</v>
      </c>
      <c r="H348" s="405">
        <f t="shared" si="28"/>
        <v>-0.41409763345811523</v>
      </c>
      <c r="I348" s="375">
        <f t="shared" si="29"/>
        <v>-0.41211583297423493</v>
      </c>
    </row>
    <row r="349" spans="1:9" x14ac:dyDescent="0.25">
      <c r="A349" s="375">
        <v>0</v>
      </c>
      <c r="B349" s="375">
        <v>500</v>
      </c>
      <c r="C349" s="375">
        <v>3.23</v>
      </c>
      <c r="D349" s="375">
        <v>4</v>
      </c>
      <c r="E349" s="405">
        <f t="shared" si="25"/>
        <v>0.50822999999999996</v>
      </c>
      <c r="F349" s="405">
        <f t="shared" si="26"/>
        <v>1.6623462365878339</v>
      </c>
      <c r="G349" s="405">
        <f t="shared" si="27"/>
        <v>0.62439145357681247</v>
      </c>
      <c r="H349" s="405">
        <f t="shared" si="28"/>
        <v>-0.979207777851554</v>
      </c>
      <c r="I349" s="375">
        <f t="shared" si="29"/>
        <v>-0.97271208887271754</v>
      </c>
    </row>
    <row r="350" spans="1:9" x14ac:dyDescent="0.25">
      <c r="A350" s="375">
        <v>1</v>
      </c>
      <c r="B350" s="375">
        <v>560</v>
      </c>
      <c r="C350" s="375">
        <v>2.65</v>
      </c>
      <c r="D350" s="375">
        <v>3</v>
      </c>
      <c r="E350" s="405">
        <f t="shared" si="25"/>
        <v>0.5666500000000001</v>
      </c>
      <c r="F350" s="405">
        <f t="shared" si="26"/>
        <v>1.7623532679294207</v>
      </c>
      <c r="G350" s="405">
        <f t="shared" si="27"/>
        <v>0.63798982135634996</v>
      </c>
      <c r="H350" s="405">
        <f t="shared" si="28"/>
        <v>-0.44943294975152565</v>
      </c>
      <c r="I350" s="375">
        <f t="shared" si="29"/>
        <v>-0.44752001988862689</v>
      </c>
    </row>
    <row r="351" spans="1:9" x14ac:dyDescent="0.25">
      <c r="A351" s="375">
        <v>0</v>
      </c>
      <c r="B351" s="375">
        <v>500</v>
      </c>
      <c r="C351" s="375">
        <v>3.95</v>
      </c>
      <c r="D351" s="375">
        <v>4</v>
      </c>
      <c r="E351" s="405">
        <f t="shared" si="25"/>
        <v>0.50895000000000001</v>
      </c>
      <c r="F351" s="405">
        <f t="shared" si="26"/>
        <v>1.6635435568617516</v>
      </c>
      <c r="G351" s="405">
        <f t="shared" si="27"/>
        <v>0.62456029771924471</v>
      </c>
      <c r="H351" s="405">
        <f t="shared" si="28"/>
        <v>-0.97965740048383643</v>
      </c>
      <c r="I351" s="375">
        <f t="shared" si="29"/>
        <v>-0.97316103579289159</v>
      </c>
    </row>
    <row r="352" spans="1:9" x14ac:dyDescent="0.25">
      <c r="A352" s="375">
        <v>0</v>
      </c>
      <c r="B352" s="375">
        <v>580</v>
      </c>
      <c r="C352" s="375">
        <v>3.06</v>
      </c>
      <c r="D352" s="375">
        <v>2</v>
      </c>
      <c r="E352" s="405">
        <f t="shared" si="25"/>
        <v>0.58605999999999991</v>
      </c>
      <c r="F352" s="405">
        <f t="shared" si="26"/>
        <v>1.7968946848670189</v>
      </c>
      <c r="G352" s="405">
        <f t="shared" si="27"/>
        <v>0.64246061697973944</v>
      </c>
      <c r="H352" s="405">
        <f t="shared" si="28"/>
        <v>-1.0285097606210596</v>
      </c>
      <c r="I352" s="375">
        <f t="shared" si="29"/>
        <v>-1.0252252988842512</v>
      </c>
    </row>
    <row r="353" spans="1:9" x14ac:dyDescent="0.25">
      <c r="A353" s="375">
        <v>0</v>
      </c>
      <c r="B353" s="375">
        <v>520</v>
      </c>
      <c r="C353" s="375">
        <v>3.35</v>
      </c>
      <c r="D353" s="375">
        <v>3</v>
      </c>
      <c r="E353" s="405">
        <f t="shared" si="25"/>
        <v>0.52734999999999999</v>
      </c>
      <c r="F353" s="405">
        <f t="shared" si="26"/>
        <v>1.6944360981108537</v>
      </c>
      <c r="G353" s="405">
        <f t="shared" si="27"/>
        <v>0.62886482975004354</v>
      </c>
      <c r="H353" s="405">
        <f t="shared" si="28"/>
        <v>-0.99118894243413225</v>
      </c>
      <c r="I353" s="375">
        <f t="shared" si="29"/>
        <v>-0.98630339848760329</v>
      </c>
    </row>
    <row r="354" spans="1:9" x14ac:dyDescent="0.25">
      <c r="A354" s="375">
        <v>0</v>
      </c>
      <c r="B354" s="375">
        <v>500</v>
      </c>
      <c r="C354" s="375">
        <v>3.03</v>
      </c>
      <c r="D354" s="375">
        <v>3</v>
      </c>
      <c r="E354" s="405">
        <f t="shared" si="25"/>
        <v>0.50702999999999998</v>
      </c>
      <c r="F354" s="405">
        <f t="shared" si="26"/>
        <v>1.6603526175146066</v>
      </c>
      <c r="G354" s="405">
        <f t="shared" si="27"/>
        <v>0.62410997947548974</v>
      </c>
      <c r="H354" s="405">
        <f t="shared" si="28"/>
        <v>-0.97845867698332889</v>
      </c>
      <c r="I354" s="375">
        <f t="shared" si="29"/>
        <v>-0.97358740299183011</v>
      </c>
    </row>
    <row r="355" spans="1:9" x14ac:dyDescent="0.25">
      <c r="A355" s="375">
        <v>0</v>
      </c>
      <c r="B355" s="375">
        <v>600</v>
      </c>
      <c r="C355" s="375">
        <v>3.35</v>
      </c>
      <c r="D355" s="375">
        <v>2</v>
      </c>
      <c r="E355" s="405">
        <f t="shared" si="25"/>
        <v>0.60634999999999994</v>
      </c>
      <c r="F355" s="405">
        <f t="shared" si="26"/>
        <v>1.8337260688475256</v>
      </c>
      <c r="G355" s="405">
        <f t="shared" si="27"/>
        <v>0.64710773882011141</v>
      </c>
      <c r="H355" s="405">
        <f t="shared" si="28"/>
        <v>-1.0415924777567522</v>
      </c>
      <c r="I355" s="375">
        <f t="shared" si="29"/>
        <v>-1.0382987190872643</v>
      </c>
    </row>
    <row r="356" spans="1:9" x14ac:dyDescent="0.25">
      <c r="A356" s="375">
        <v>0</v>
      </c>
      <c r="B356" s="375">
        <v>580</v>
      </c>
      <c r="C356" s="375">
        <v>3.8</v>
      </c>
      <c r="D356" s="375">
        <v>2</v>
      </c>
      <c r="E356" s="405">
        <f t="shared" si="25"/>
        <v>0.58679999999999999</v>
      </c>
      <c r="F356" s="405">
        <f t="shared" si="26"/>
        <v>1.7982248790449653</v>
      </c>
      <c r="G356" s="405">
        <f t="shared" si="27"/>
        <v>0.64263058073399015</v>
      </c>
      <c r="H356" s="405">
        <f t="shared" si="28"/>
        <v>-1.0289852443664249</v>
      </c>
      <c r="I356" s="375">
        <f t="shared" si="29"/>
        <v>-1.0257004426052834</v>
      </c>
    </row>
    <row r="357" spans="1:9" x14ac:dyDescent="0.25">
      <c r="A357" s="375">
        <v>0</v>
      </c>
      <c r="B357" s="375">
        <v>400</v>
      </c>
      <c r="C357" s="375">
        <v>3.36</v>
      </c>
      <c r="D357" s="375">
        <v>2</v>
      </c>
      <c r="E357" s="405">
        <f t="shared" si="25"/>
        <v>0.40636</v>
      </c>
      <c r="F357" s="405">
        <f t="shared" si="26"/>
        <v>1.5013429386405814</v>
      </c>
      <c r="G357" s="405">
        <f t="shared" si="27"/>
        <v>0.60021475482147379</v>
      </c>
      <c r="H357" s="405">
        <f t="shared" si="28"/>
        <v>-0.91682776310330005</v>
      </c>
      <c r="I357" s="375">
        <f t="shared" si="29"/>
        <v>-0.91362781357171874</v>
      </c>
    </row>
    <row r="358" spans="1:9" x14ac:dyDescent="0.25">
      <c r="A358" s="375">
        <v>0</v>
      </c>
      <c r="B358" s="375">
        <v>620</v>
      </c>
      <c r="C358" s="375">
        <v>2.85</v>
      </c>
      <c r="D358" s="375">
        <v>2</v>
      </c>
      <c r="E358" s="405">
        <f t="shared" si="25"/>
        <v>0.62585000000000002</v>
      </c>
      <c r="F358" s="405">
        <f t="shared" si="26"/>
        <v>1.8698346415911553</v>
      </c>
      <c r="G358" s="405">
        <f t="shared" si="27"/>
        <v>0.65154786777346918</v>
      </c>
      <c r="H358" s="405">
        <f t="shared" si="28"/>
        <v>-1.0542544119413253</v>
      </c>
      <c r="I358" s="375">
        <f t="shared" si="29"/>
        <v>-1.0509517703639615</v>
      </c>
    </row>
    <row r="359" spans="1:9" x14ac:dyDescent="0.25">
      <c r="A359" s="375">
        <v>1</v>
      </c>
      <c r="B359" s="375">
        <v>780</v>
      </c>
      <c r="C359" s="375">
        <v>4</v>
      </c>
      <c r="D359" s="375">
        <v>2</v>
      </c>
      <c r="E359" s="405">
        <f t="shared" si="25"/>
        <v>0.78700000000000003</v>
      </c>
      <c r="F359" s="405">
        <f t="shared" si="26"/>
        <v>2.1967961423532349</v>
      </c>
      <c r="G359" s="405">
        <f t="shared" si="27"/>
        <v>0.6871868097088365</v>
      </c>
      <c r="H359" s="405">
        <f t="shared" si="28"/>
        <v>-0.37514910275003382</v>
      </c>
      <c r="I359" s="375">
        <f t="shared" si="29"/>
        <v>-0.37377515916007209</v>
      </c>
    </row>
    <row r="360" spans="1:9" x14ac:dyDescent="0.25">
      <c r="A360" s="375">
        <v>0</v>
      </c>
      <c r="B360" s="375">
        <v>620</v>
      </c>
      <c r="C360" s="375">
        <v>3.43</v>
      </c>
      <c r="D360" s="375">
        <v>3</v>
      </c>
      <c r="E360" s="405">
        <f t="shared" si="25"/>
        <v>0.62743000000000004</v>
      </c>
      <c r="F360" s="405">
        <f t="shared" si="26"/>
        <v>1.8727913154821567</v>
      </c>
      <c r="G360" s="405">
        <f t="shared" si="27"/>
        <v>0.65190649435245718</v>
      </c>
      <c r="H360" s="405">
        <f t="shared" si="28"/>
        <v>-1.0552841409100444</v>
      </c>
      <c r="I360" s="375">
        <f t="shared" si="29"/>
        <v>-1.0503294428968282</v>
      </c>
    </row>
    <row r="361" spans="1:9" x14ac:dyDescent="0.25">
      <c r="A361" s="375">
        <v>1</v>
      </c>
      <c r="B361" s="375">
        <v>580</v>
      </c>
      <c r="C361" s="375">
        <v>3.12</v>
      </c>
      <c r="D361" s="375">
        <v>3</v>
      </c>
      <c r="E361" s="405">
        <f t="shared" si="25"/>
        <v>0.58711999999999998</v>
      </c>
      <c r="F361" s="405">
        <f t="shared" si="26"/>
        <v>1.798800403085195</v>
      </c>
      <c r="G361" s="405">
        <f t="shared" si="27"/>
        <v>0.64270406746487807</v>
      </c>
      <c r="H361" s="405">
        <f t="shared" si="28"/>
        <v>-0.44207089791031556</v>
      </c>
      <c r="I361" s="375">
        <f t="shared" si="29"/>
        <v>-0.44014381936252833</v>
      </c>
    </row>
    <row r="362" spans="1:9" x14ac:dyDescent="0.25">
      <c r="A362" s="375">
        <v>0</v>
      </c>
      <c r="B362" s="375">
        <v>700</v>
      </c>
      <c r="C362" s="375">
        <v>3.52</v>
      </c>
      <c r="D362" s="375">
        <v>2</v>
      </c>
      <c r="E362" s="405">
        <f t="shared" si="25"/>
        <v>0.70652000000000004</v>
      </c>
      <c r="F362" s="405">
        <f t="shared" si="26"/>
        <v>2.0269252710161307</v>
      </c>
      <c r="G362" s="405">
        <f t="shared" si="27"/>
        <v>0.66963175154162213</v>
      </c>
      <c r="H362" s="405">
        <f t="shared" si="28"/>
        <v>-1.1075473422608175</v>
      </c>
      <c r="I362" s="375">
        <f t="shared" si="29"/>
        <v>-1.1042085213078949</v>
      </c>
    </row>
    <row r="363" spans="1:9" x14ac:dyDescent="0.25">
      <c r="A363" s="375">
        <v>1</v>
      </c>
      <c r="B363" s="375">
        <v>540</v>
      </c>
      <c r="C363" s="375">
        <v>3.78</v>
      </c>
      <c r="D363" s="375">
        <v>2</v>
      </c>
      <c r="E363" s="405">
        <f t="shared" si="25"/>
        <v>0.54678000000000004</v>
      </c>
      <c r="F363" s="405">
        <f t="shared" si="26"/>
        <v>1.7276809190434472</v>
      </c>
      <c r="G363" s="405">
        <f t="shared" si="27"/>
        <v>0.63338820423662923</v>
      </c>
      <c r="H363" s="405">
        <f t="shared" si="28"/>
        <v>-0.45667176798023101</v>
      </c>
      <c r="I363" s="375">
        <f t="shared" si="29"/>
        <v>-0.45540545606946758</v>
      </c>
    </row>
    <row r="364" spans="1:9" x14ac:dyDescent="0.25">
      <c r="A364" s="375">
        <v>1</v>
      </c>
      <c r="B364" s="375">
        <v>760</v>
      </c>
      <c r="C364" s="375">
        <v>2.81</v>
      </c>
      <c r="D364" s="375">
        <v>1</v>
      </c>
      <c r="E364" s="405">
        <f t="shared" si="25"/>
        <v>0.76480999999999999</v>
      </c>
      <c r="F364" s="405">
        <f t="shared" si="26"/>
        <v>2.1485861045109278</v>
      </c>
      <c r="G364" s="405">
        <f t="shared" si="27"/>
        <v>0.68239712467532132</v>
      </c>
      <c r="H364" s="405">
        <f t="shared" si="28"/>
        <v>-0.38214349636084638</v>
      </c>
      <c r="I364" s="375">
        <f t="shared" si="29"/>
        <v>-0.38146120761498992</v>
      </c>
    </row>
    <row r="365" spans="1:9" x14ac:dyDescent="0.25">
      <c r="A365" s="375">
        <v>0</v>
      </c>
      <c r="B365" s="375">
        <v>700</v>
      </c>
      <c r="C365" s="375">
        <v>3.27</v>
      </c>
      <c r="D365" s="375">
        <v>2</v>
      </c>
      <c r="E365" s="405">
        <f t="shared" si="25"/>
        <v>0.70627000000000006</v>
      </c>
      <c r="F365" s="405">
        <f t="shared" si="26"/>
        <v>2.026418603034513</v>
      </c>
      <c r="G365" s="405">
        <f t="shared" si="27"/>
        <v>0.66957644292916874</v>
      </c>
      <c r="H365" s="405">
        <f t="shared" si="28"/>
        <v>-1.1073799412364109</v>
      </c>
      <c r="I365" s="375">
        <f t="shared" si="29"/>
        <v>-1.1040412309382113</v>
      </c>
    </row>
    <row r="366" spans="1:9" x14ac:dyDescent="0.25">
      <c r="A366" s="375">
        <v>0</v>
      </c>
      <c r="B366" s="375">
        <v>720</v>
      </c>
      <c r="C366" s="375">
        <v>3.31</v>
      </c>
      <c r="D366" s="375">
        <v>1</v>
      </c>
      <c r="E366" s="405">
        <f t="shared" si="25"/>
        <v>0.72531000000000001</v>
      </c>
      <c r="F366" s="405">
        <f t="shared" si="26"/>
        <v>2.0653712658280581</v>
      </c>
      <c r="G366" s="405">
        <f t="shared" si="27"/>
        <v>0.67377524179608084</v>
      </c>
      <c r="H366" s="405">
        <f t="shared" si="28"/>
        <v>-1.1201686928283101</v>
      </c>
      <c r="I366" s="375">
        <f t="shared" si="29"/>
        <v>-1.1184950275003258</v>
      </c>
    </row>
    <row r="367" spans="1:9" x14ac:dyDescent="0.25">
      <c r="A367" s="375">
        <v>1</v>
      </c>
      <c r="B367" s="375">
        <v>560</v>
      </c>
      <c r="C367" s="375">
        <v>3.69</v>
      </c>
      <c r="D367" s="375">
        <v>3</v>
      </c>
      <c r="E367" s="405">
        <f t="shared" si="25"/>
        <v>0.56769000000000003</v>
      </c>
      <c r="F367" s="405">
        <f t="shared" si="26"/>
        <v>1.7641870687392016</v>
      </c>
      <c r="G367" s="405">
        <f t="shared" si="27"/>
        <v>0.63822998403066866</v>
      </c>
      <c r="H367" s="405">
        <f t="shared" si="28"/>
        <v>-0.44905658405630622</v>
      </c>
      <c r="I367" s="375">
        <f t="shared" si="29"/>
        <v>-0.44714293340728184</v>
      </c>
    </row>
    <row r="368" spans="1:9" x14ac:dyDescent="0.25">
      <c r="A368" s="375">
        <v>0</v>
      </c>
      <c r="B368" s="375">
        <v>720</v>
      </c>
      <c r="C368" s="375">
        <v>3.94</v>
      </c>
      <c r="D368" s="375">
        <v>3</v>
      </c>
      <c r="E368" s="405">
        <f t="shared" si="25"/>
        <v>0.72794000000000003</v>
      </c>
      <c r="F368" s="405">
        <f t="shared" si="26"/>
        <v>2.0708103415065748</v>
      </c>
      <c r="G368" s="405">
        <f t="shared" si="27"/>
        <v>0.67435305707958881</v>
      </c>
      <c r="H368" s="405">
        <f t="shared" si="28"/>
        <v>-1.1219414816572784</v>
      </c>
      <c r="I368" s="375">
        <f t="shared" si="29"/>
        <v>-1.1169194110349487</v>
      </c>
    </row>
    <row r="369" spans="1:9" x14ac:dyDescent="0.25">
      <c r="A369" s="375">
        <v>1</v>
      </c>
      <c r="B369" s="375">
        <v>520</v>
      </c>
      <c r="C369" s="375">
        <v>4</v>
      </c>
      <c r="D369" s="375">
        <v>1</v>
      </c>
      <c r="E369" s="405">
        <f t="shared" si="25"/>
        <v>0.52600000000000002</v>
      </c>
      <c r="F369" s="405">
        <f t="shared" si="26"/>
        <v>1.6921501527387082</v>
      </c>
      <c r="G369" s="405">
        <f t="shared" si="27"/>
        <v>0.62854969326926058</v>
      </c>
      <c r="H369" s="405">
        <f t="shared" si="28"/>
        <v>-0.46434018761877416</v>
      </c>
      <c r="I369" s="375">
        <f t="shared" si="29"/>
        <v>-0.46371175467299341</v>
      </c>
    </row>
    <row r="370" spans="1:9" x14ac:dyDescent="0.25">
      <c r="A370" s="375">
        <v>1</v>
      </c>
      <c r="B370" s="375">
        <v>540</v>
      </c>
      <c r="C370" s="375">
        <v>3.49</v>
      </c>
      <c r="D370" s="375">
        <v>1</v>
      </c>
      <c r="E370" s="405">
        <f t="shared" si="25"/>
        <v>0.54549000000000003</v>
      </c>
      <c r="F370" s="405">
        <f t="shared" si="26"/>
        <v>1.7254536475568567</v>
      </c>
      <c r="G370" s="405">
        <f t="shared" si="27"/>
        <v>0.63308860493869812</v>
      </c>
      <c r="H370" s="405">
        <f t="shared" si="28"/>
        <v>-0.45714489042724182</v>
      </c>
      <c r="I370" s="375">
        <f t="shared" si="29"/>
        <v>-0.45651191797631574</v>
      </c>
    </row>
    <row r="371" spans="1:9" x14ac:dyDescent="0.25">
      <c r="A371" s="375">
        <v>0</v>
      </c>
      <c r="B371" s="375">
        <v>680</v>
      </c>
      <c r="C371" s="375">
        <v>3.14</v>
      </c>
      <c r="D371" s="375">
        <v>2</v>
      </c>
      <c r="E371" s="405">
        <f t="shared" si="25"/>
        <v>0.68614000000000008</v>
      </c>
      <c r="F371" s="405">
        <f t="shared" si="26"/>
        <v>1.9860346249745917</v>
      </c>
      <c r="G371" s="405">
        <f t="shared" si="27"/>
        <v>0.66510770115115159</v>
      </c>
      <c r="H371" s="405">
        <f t="shared" si="28"/>
        <v>-1.0939462948215672</v>
      </c>
      <c r="I371" s="375">
        <f t="shared" si="29"/>
        <v>-1.0906165249961783</v>
      </c>
    </row>
    <row r="372" spans="1:9" x14ac:dyDescent="0.25">
      <c r="A372" s="375">
        <v>0</v>
      </c>
      <c r="B372" s="375">
        <v>460</v>
      </c>
      <c r="C372" s="375">
        <v>3.44</v>
      </c>
      <c r="D372" s="375">
        <v>2</v>
      </c>
      <c r="E372" s="405">
        <f t="shared" si="25"/>
        <v>0.46644000000000002</v>
      </c>
      <c r="F372" s="405">
        <f t="shared" si="26"/>
        <v>1.5943083407119831</v>
      </c>
      <c r="G372" s="405">
        <f t="shared" si="27"/>
        <v>0.61454080677027023</v>
      </c>
      <c r="H372" s="405">
        <f t="shared" si="28"/>
        <v>-0.95331994571988232</v>
      </c>
      <c r="I372" s="375">
        <f t="shared" si="29"/>
        <v>-0.95009133793943557</v>
      </c>
    </row>
    <row r="373" spans="1:9" x14ac:dyDescent="0.25">
      <c r="A373" s="375">
        <v>1</v>
      </c>
      <c r="B373" s="375">
        <v>560</v>
      </c>
      <c r="C373" s="375">
        <v>3.36</v>
      </c>
      <c r="D373" s="375">
        <v>1</v>
      </c>
      <c r="E373" s="405">
        <f t="shared" si="25"/>
        <v>0.56536000000000008</v>
      </c>
      <c r="F373" s="405">
        <f t="shared" si="26"/>
        <v>1.7600812979494942</v>
      </c>
      <c r="G373" s="405">
        <f t="shared" si="27"/>
        <v>0.63769183148955977</v>
      </c>
      <c r="H373" s="405">
        <f t="shared" si="28"/>
        <v>-0.4499001350740478</v>
      </c>
      <c r="I373" s="375">
        <f t="shared" si="29"/>
        <v>-0.44926255877363852</v>
      </c>
    </row>
    <row r="374" spans="1:9" x14ac:dyDescent="0.25">
      <c r="A374" s="375">
        <v>0</v>
      </c>
      <c r="B374" s="375">
        <v>480</v>
      </c>
      <c r="C374" s="375">
        <v>2.78</v>
      </c>
      <c r="D374" s="375">
        <v>3</v>
      </c>
      <c r="E374" s="405">
        <f t="shared" si="25"/>
        <v>0.48677999999999999</v>
      </c>
      <c r="F374" s="405">
        <f t="shared" si="26"/>
        <v>1.6270686149053581</v>
      </c>
      <c r="G374" s="405">
        <f t="shared" si="27"/>
        <v>0.61934758980932603</v>
      </c>
      <c r="H374" s="405">
        <f t="shared" si="28"/>
        <v>-0.96586862947359442</v>
      </c>
      <c r="I374" s="375">
        <f t="shared" si="29"/>
        <v>-0.96101164785975646</v>
      </c>
    </row>
    <row r="375" spans="1:9" x14ac:dyDescent="0.25">
      <c r="A375" s="375">
        <v>0</v>
      </c>
      <c r="B375" s="375">
        <v>460</v>
      </c>
      <c r="C375" s="375">
        <v>2.93</v>
      </c>
      <c r="D375" s="375">
        <v>3</v>
      </c>
      <c r="E375" s="405">
        <f t="shared" si="25"/>
        <v>0.46693000000000001</v>
      </c>
      <c r="F375" s="405">
        <f t="shared" si="26"/>
        <v>1.5950897432269135</v>
      </c>
      <c r="G375" s="405">
        <f t="shared" si="27"/>
        <v>0.61465687165156335</v>
      </c>
      <c r="H375" s="405">
        <f t="shared" si="28"/>
        <v>-0.95362109915162774</v>
      </c>
      <c r="I375" s="375">
        <f t="shared" si="29"/>
        <v>-0.94877819462285662</v>
      </c>
    </row>
    <row r="376" spans="1:9" x14ac:dyDescent="0.25">
      <c r="A376" s="375">
        <v>0</v>
      </c>
      <c r="B376" s="375">
        <v>620</v>
      </c>
      <c r="C376" s="375">
        <v>3.63</v>
      </c>
      <c r="D376" s="375">
        <v>3</v>
      </c>
      <c r="E376" s="405">
        <f t="shared" si="25"/>
        <v>0.62763000000000002</v>
      </c>
      <c r="F376" s="405">
        <f t="shared" si="26"/>
        <v>1.8731659112035766</v>
      </c>
      <c r="G376" s="405">
        <f t="shared" si="27"/>
        <v>0.65195187785689079</v>
      </c>
      <c r="H376" s="405">
        <f t="shared" si="28"/>
        <v>-1.0554145267473112</v>
      </c>
      <c r="I376" s="375">
        <f t="shared" si="29"/>
        <v>-1.0504596925215999</v>
      </c>
    </row>
    <row r="377" spans="1:9" x14ac:dyDescent="0.25">
      <c r="A377" s="375">
        <v>0</v>
      </c>
      <c r="B377" s="375">
        <v>580</v>
      </c>
      <c r="C377" s="375">
        <v>4</v>
      </c>
      <c r="D377" s="375">
        <v>1</v>
      </c>
      <c r="E377" s="405">
        <f t="shared" si="25"/>
        <v>0.58599999999999997</v>
      </c>
      <c r="F377" s="405">
        <f t="shared" si="26"/>
        <v>1.7967868744202726</v>
      </c>
      <c r="G377" s="405">
        <f t="shared" si="27"/>
        <v>0.64244683456357987</v>
      </c>
      <c r="H377" s="405">
        <f t="shared" si="28"/>
        <v>-1.028471213397512</v>
      </c>
      <c r="I377" s="375">
        <f t="shared" si="29"/>
        <v>-1.0268288814283018</v>
      </c>
    </row>
    <row r="378" spans="1:9" x14ac:dyDescent="0.25">
      <c r="A378" s="375">
        <v>0</v>
      </c>
      <c r="B378" s="375">
        <v>800</v>
      </c>
      <c r="C378" s="375">
        <v>3.89</v>
      </c>
      <c r="D378" s="375">
        <v>2</v>
      </c>
      <c r="E378" s="405">
        <f t="shared" si="25"/>
        <v>0.80689</v>
      </c>
      <c r="F378" s="405">
        <f t="shared" si="26"/>
        <v>2.2409278525724847</v>
      </c>
      <c r="G378" s="405">
        <f t="shared" si="27"/>
        <v>0.69144638650124512</v>
      </c>
      <c r="H378" s="405">
        <f t="shared" si="28"/>
        <v>-1.175859663057726</v>
      </c>
      <c r="I378" s="375">
        <f t="shared" si="29"/>
        <v>-1.1724771970901651</v>
      </c>
    </row>
    <row r="379" spans="1:9" x14ac:dyDescent="0.25">
      <c r="A379" s="375">
        <v>1</v>
      </c>
      <c r="B379" s="375">
        <v>540</v>
      </c>
      <c r="C379" s="375">
        <v>3.77</v>
      </c>
      <c r="D379" s="375">
        <v>2</v>
      </c>
      <c r="E379" s="405">
        <f t="shared" si="25"/>
        <v>0.54677000000000009</v>
      </c>
      <c r="F379" s="405">
        <f t="shared" si="26"/>
        <v>1.7276636423206406</v>
      </c>
      <c r="G379" s="405">
        <f t="shared" si="27"/>
        <v>0.63338588215766201</v>
      </c>
      <c r="H379" s="405">
        <f t="shared" si="28"/>
        <v>-0.45667543410979927</v>
      </c>
      <c r="I379" s="375">
        <f t="shared" si="29"/>
        <v>-0.45540912684443124</v>
      </c>
    </row>
    <row r="380" spans="1:9" x14ac:dyDescent="0.25">
      <c r="A380" s="375">
        <v>1</v>
      </c>
      <c r="B380" s="375">
        <v>680</v>
      </c>
      <c r="C380" s="375">
        <v>3.76</v>
      </c>
      <c r="D380" s="375">
        <v>3</v>
      </c>
      <c r="E380" s="405">
        <f t="shared" si="25"/>
        <v>0.68776000000000004</v>
      </c>
      <c r="F380" s="405">
        <f t="shared" si="26"/>
        <v>1.9892546085495357</v>
      </c>
      <c r="G380" s="405">
        <f t="shared" si="27"/>
        <v>0.66546844248733095</v>
      </c>
      <c r="H380" s="405">
        <f t="shared" si="28"/>
        <v>-0.40726406152399486</v>
      </c>
      <c r="I380" s="375">
        <f t="shared" si="29"/>
        <v>-0.40526865831868542</v>
      </c>
    </row>
    <row r="381" spans="1:9" x14ac:dyDescent="0.25">
      <c r="A381" s="375">
        <v>1</v>
      </c>
      <c r="B381" s="375">
        <v>680</v>
      </c>
      <c r="C381" s="375">
        <v>2.42</v>
      </c>
      <c r="D381" s="375">
        <v>1</v>
      </c>
      <c r="E381" s="405">
        <f t="shared" si="25"/>
        <v>0.68442000000000003</v>
      </c>
      <c r="F381" s="405">
        <f t="shared" si="26"/>
        <v>1.9826215814784709</v>
      </c>
      <c r="G381" s="405">
        <f t="shared" si="27"/>
        <v>0.66472448056776123</v>
      </c>
      <c r="H381" s="405">
        <f t="shared" si="28"/>
        <v>-0.40838263911412731</v>
      </c>
      <c r="I381" s="375">
        <f t="shared" si="29"/>
        <v>-0.40771802607871632</v>
      </c>
    </row>
    <row r="382" spans="1:9" x14ac:dyDescent="0.25">
      <c r="A382" s="375">
        <v>1</v>
      </c>
      <c r="B382" s="375">
        <v>620</v>
      </c>
      <c r="C382" s="375">
        <v>3.37</v>
      </c>
      <c r="D382" s="375">
        <v>1</v>
      </c>
      <c r="E382" s="405">
        <f t="shared" si="25"/>
        <v>0.62536999999999998</v>
      </c>
      <c r="F382" s="405">
        <f t="shared" si="26"/>
        <v>1.8689373363336816</v>
      </c>
      <c r="G382" s="405">
        <f t="shared" si="27"/>
        <v>0.65143888389073845</v>
      </c>
      <c r="H382" s="405">
        <f t="shared" si="28"/>
        <v>-0.42857169512029186</v>
      </c>
      <c r="I382" s="375">
        <f t="shared" si="29"/>
        <v>-0.42792036978099213</v>
      </c>
    </row>
    <row r="383" spans="1:9" x14ac:dyDescent="0.25">
      <c r="A383" s="375">
        <v>0</v>
      </c>
      <c r="B383" s="375">
        <v>560</v>
      </c>
      <c r="C383" s="375">
        <v>3.78</v>
      </c>
      <c r="D383" s="375">
        <v>2</v>
      </c>
      <c r="E383" s="405">
        <f t="shared" si="25"/>
        <v>0.56678000000000006</v>
      </c>
      <c r="F383" s="405">
        <f t="shared" si="26"/>
        <v>1.7625823887467817</v>
      </c>
      <c r="G383" s="405">
        <f t="shared" si="27"/>
        <v>0.63801984546291124</v>
      </c>
      <c r="H383" s="405">
        <f t="shared" si="28"/>
        <v>-1.0161658903798807</v>
      </c>
      <c r="I383" s="375">
        <f t="shared" si="29"/>
        <v>-1.012890312674942</v>
      </c>
    </row>
    <row r="384" spans="1:9" x14ac:dyDescent="0.25">
      <c r="A384" s="375">
        <v>0</v>
      </c>
      <c r="B384" s="375">
        <v>560</v>
      </c>
      <c r="C384" s="375">
        <v>3.49</v>
      </c>
      <c r="D384" s="375">
        <v>4</v>
      </c>
      <c r="E384" s="405">
        <f t="shared" si="25"/>
        <v>0.56849000000000005</v>
      </c>
      <c r="F384" s="405">
        <f t="shared" si="26"/>
        <v>1.765598983084629</v>
      </c>
      <c r="G384" s="405">
        <f t="shared" si="27"/>
        <v>0.63841467757388193</v>
      </c>
      <c r="H384" s="405">
        <f t="shared" si="28"/>
        <v>-1.0172572419236732</v>
      </c>
      <c r="I384" s="375">
        <f t="shared" si="29"/>
        <v>-1.0107054306250838</v>
      </c>
    </row>
    <row r="385" spans="1:9" x14ac:dyDescent="0.25">
      <c r="A385" s="375">
        <v>0</v>
      </c>
      <c r="B385" s="375">
        <v>620</v>
      </c>
      <c r="C385" s="375">
        <v>3.63</v>
      </c>
      <c r="D385" s="375">
        <v>2</v>
      </c>
      <c r="E385" s="405">
        <f t="shared" si="25"/>
        <v>0.62663000000000002</v>
      </c>
      <c r="F385" s="405">
        <f t="shared" si="26"/>
        <v>1.8712936815632122</v>
      </c>
      <c r="G385" s="405">
        <f t="shared" si="27"/>
        <v>0.65172493276425414</v>
      </c>
      <c r="H385" s="405">
        <f t="shared" si="28"/>
        <v>-1.0547626883362575</v>
      </c>
      <c r="I385" s="375">
        <f t="shared" si="29"/>
        <v>-1.0514596925215998</v>
      </c>
    </row>
    <row r="386" spans="1:9" x14ac:dyDescent="0.25">
      <c r="A386" s="375">
        <v>1</v>
      </c>
      <c r="B386" s="375">
        <v>800</v>
      </c>
      <c r="C386" s="375">
        <v>4</v>
      </c>
      <c r="D386" s="375">
        <v>2</v>
      </c>
      <c r="E386" s="405">
        <f t="shared" si="25"/>
        <v>0.80700000000000005</v>
      </c>
      <c r="F386" s="405">
        <f t="shared" si="26"/>
        <v>2.2411743681943785</v>
      </c>
      <c r="G386" s="405">
        <f t="shared" si="27"/>
        <v>0.69146985431793084</v>
      </c>
      <c r="H386" s="405">
        <f t="shared" si="28"/>
        <v>-0.36893572345098008</v>
      </c>
      <c r="I386" s="375">
        <f t="shared" si="29"/>
        <v>-0.36755321052982215</v>
      </c>
    </row>
    <row r="387" spans="1:9" x14ac:dyDescent="0.25">
      <c r="A387" s="375">
        <v>0</v>
      </c>
      <c r="B387" s="375">
        <v>640</v>
      </c>
      <c r="C387" s="375">
        <v>3.12</v>
      </c>
      <c r="D387" s="375">
        <v>3</v>
      </c>
      <c r="E387" s="405">
        <f t="shared" si="25"/>
        <v>0.64712000000000003</v>
      </c>
      <c r="F387" s="405">
        <f t="shared" si="26"/>
        <v>1.9100320079363844</v>
      </c>
      <c r="G387" s="405">
        <f t="shared" si="27"/>
        <v>0.65636116809961198</v>
      </c>
      <c r="H387" s="405">
        <f t="shared" si="28"/>
        <v>-1.0681640804137633</v>
      </c>
      <c r="I387" s="375">
        <f t="shared" si="29"/>
        <v>-1.0631960122069353</v>
      </c>
    </row>
    <row r="388" spans="1:9" x14ac:dyDescent="0.25">
      <c r="A388" s="375">
        <v>0</v>
      </c>
      <c r="B388" s="375">
        <v>540</v>
      </c>
      <c r="C388" s="375">
        <v>2.7</v>
      </c>
      <c r="D388" s="375">
        <v>2</v>
      </c>
      <c r="E388" s="405">
        <f t="shared" si="25"/>
        <v>0.54570000000000007</v>
      </c>
      <c r="F388" s="405">
        <f t="shared" si="26"/>
        <v>1.7258160308717601</v>
      </c>
      <c r="G388" s="405">
        <f t="shared" si="27"/>
        <v>0.63313738393409336</v>
      </c>
      <c r="H388" s="405">
        <f t="shared" si="28"/>
        <v>-1.0027678441561212</v>
      </c>
      <c r="I388" s="375">
        <f t="shared" si="29"/>
        <v>-0.99950203401953108</v>
      </c>
    </row>
    <row r="389" spans="1:9" x14ac:dyDescent="0.25">
      <c r="A389" s="375">
        <v>0</v>
      </c>
      <c r="B389" s="375">
        <v>700</v>
      </c>
      <c r="C389" s="375">
        <v>3.65</v>
      </c>
      <c r="D389" s="375">
        <v>2</v>
      </c>
      <c r="E389" s="405">
        <f t="shared" si="25"/>
        <v>0.70665000000000011</v>
      </c>
      <c r="F389" s="405">
        <f t="shared" si="26"/>
        <v>2.0271887884296236</v>
      </c>
      <c r="G389" s="405">
        <f t="shared" si="27"/>
        <v>0.66966051016634565</v>
      </c>
      <c r="H389" s="405">
        <f t="shared" si="28"/>
        <v>-1.1076343962578421</v>
      </c>
      <c r="I389" s="375">
        <f t="shared" si="29"/>
        <v>-1.1042955177681677</v>
      </c>
    </row>
    <row r="390" spans="1:9" x14ac:dyDescent="0.25">
      <c r="A390" s="375">
        <v>1</v>
      </c>
      <c r="B390" s="375">
        <v>540</v>
      </c>
      <c r="C390" s="375">
        <v>3.49</v>
      </c>
      <c r="D390" s="375">
        <v>2</v>
      </c>
      <c r="E390" s="405">
        <f t="shared" si="25"/>
        <v>0.54649000000000003</v>
      </c>
      <c r="F390" s="405">
        <f t="shared" si="26"/>
        <v>1.727179964218885</v>
      </c>
      <c r="G390" s="405">
        <f t="shared" si="27"/>
        <v>0.63332086143188626</v>
      </c>
      <c r="H390" s="405">
        <f t="shared" si="28"/>
        <v>-0.45677809516558332</v>
      </c>
      <c r="I390" s="375">
        <f t="shared" si="29"/>
        <v>-0.45551191797631574</v>
      </c>
    </row>
    <row r="391" spans="1:9" x14ac:dyDescent="0.25">
      <c r="A391" s="375">
        <v>0</v>
      </c>
      <c r="B391" s="375">
        <v>540</v>
      </c>
      <c r="C391" s="375">
        <v>3.51</v>
      </c>
      <c r="D391" s="375">
        <v>2</v>
      </c>
      <c r="E391" s="405">
        <f t="shared" si="25"/>
        <v>0.54651000000000005</v>
      </c>
      <c r="F391" s="405">
        <f t="shared" si="26"/>
        <v>1.7272145081636077</v>
      </c>
      <c r="G391" s="405">
        <f t="shared" si="27"/>
        <v>0.63332550593046011</v>
      </c>
      <c r="H391" s="405">
        <f t="shared" si="28"/>
        <v>-1.0032807616292572</v>
      </c>
      <c r="I391" s="375">
        <f t="shared" si="29"/>
        <v>-1.0000145751485179</v>
      </c>
    </row>
    <row r="392" spans="1:9" x14ac:dyDescent="0.25">
      <c r="A392" s="375">
        <v>0</v>
      </c>
      <c r="B392" s="375">
        <v>660</v>
      </c>
      <c r="C392" s="375">
        <v>4</v>
      </c>
      <c r="D392" s="375">
        <v>1</v>
      </c>
      <c r="E392" s="405">
        <f t="shared" si="25"/>
        <v>0.66600000000000004</v>
      </c>
      <c r="F392" s="405">
        <f t="shared" si="26"/>
        <v>1.9464359844275914</v>
      </c>
      <c r="G392" s="405">
        <f t="shared" si="27"/>
        <v>0.66060691449426778</v>
      </c>
      <c r="H392" s="405">
        <f t="shared" si="28"/>
        <v>-1.0805962990892068</v>
      </c>
      <c r="I392" s="375">
        <f t="shared" si="29"/>
        <v>-1.0789358042894217</v>
      </c>
    </row>
    <row r="393" spans="1:9" x14ac:dyDescent="0.25">
      <c r="A393" s="375">
        <v>1</v>
      </c>
      <c r="B393" s="375">
        <v>480</v>
      </c>
      <c r="C393" s="375">
        <v>2.62</v>
      </c>
      <c r="D393" s="375">
        <v>2</v>
      </c>
      <c r="E393" s="405">
        <f t="shared" si="25"/>
        <v>0.48562</v>
      </c>
      <c r="F393" s="405">
        <f t="shared" si="26"/>
        <v>1.6251823095806739</v>
      </c>
      <c r="G393" s="405">
        <f t="shared" si="27"/>
        <v>0.61907407483645127</v>
      </c>
      <c r="H393" s="405">
        <f t="shared" si="28"/>
        <v>-0.47953034490078739</v>
      </c>
      <c r="I393" s="375">
        <f t="shared" si="29"/>
        <v>-0.47829266846865942</v>
      </c>
    </row>
    <row r="394" spans="1:9" x14ac:dyDescent="0.25">
      <c r="A394" s="375">
        <v>0</v>
      </c>
      <c r="B394" s="375">
        <v>420</v>
      </c>
      <c r="C394" s="375">
        <v>3.02</v>
      </c>
      <c r="D394" s="375">
        <v>1</v>
      </c>
      <c r="E394" s="405">
        <f t="shared" ref="E394:E408" si="30">$B$3+$B$4*B394+$B$5*C394+$B$6*D394</f>
        <v>0.42502000000000001</v>
      </c>
      <c r="F394" s="405">
        <f t="shared" ref="F394:F408" si="31">EXP(E394)</f>
        <v>1.5296210117776921</v>
      </c>
      <c r="G394" s="405">
        <f t="shared" ref="G394:G408" si="32">F394/(1+F394)</f>
        <v>0.60468386554978459</v>
      </c>
      <c r="H394" s="405">
        <f t="shared" ref="H394:H408" si="33">A394*LN(G394)+(1-A394)*LN(1-G394)</f>
        <v>-0.92806949380230308</v>
      </c>
      <c r="I394" s="375">
        <f t="shared" ref="I394:I408" si="34">A394*($B$3+B394*$B$4+C394*$B$5)+D394*$B$6-LN(1+EXP($B$3+B394*$B$4+C394*$B$5))</f>
        <v>-0.92646492946573444</v>
      </c>
    </row>
    <row r="395" spans="1:9" x14ac:dyDescent="0.25">
      <c r="A395" s="375">
        <v>1</v>
      </c>
      <c r="B395" s="375">
        <v>740</v>
      </c>
      <c r="C395" s="375">
        <v>3.86</v>
      </c>
      <c r="D395" s="375">
        <v>2</v>
      </c>
      <c r="E395" s="405">
        <f t="shared" si="30"/>
        <v>0.74685999999999997</v>
      </c>
      <c r="F395" s="405">
        <f t="shared" si="31"/>
        <v>2.1103630620323441</v>
      </c>
      <c r="G395" s="405">
        <f t="shared" si="32"/>
        <v>0.67849412430117095</v>
      </c>
      <c r="H395" s="405">
        <f t="shared" si="33"/>
        <v>-0.38787945958086167</v>
      </c>
      <c r="I395" s="375">
        <f t="shared" si="34"/>
        <v>-0.38652290771574072</v>
      </c>
    </row>
    <row r="396" spans="1:9" x14ac:dyDescent="0.25">
      <c r="A396" s="375">
        <v>0</v>
      </c>
      <c r="B396" s="375">
        <v>580</v>
      </c>
      <c r="C396" s="375">
        <v>3.36</v>
      </c>
      <c r="D396" s="375">
        <v>2</v>
      </c>
      <c r="E396" s="405">
        <f t="shared" si="30"/>
        <v>0.58635999999999999</v>
      </c>
      <c r="F396" s="405">
        <f t="shared" si="31"/>
        <v>1.7974338341408265</v>
      </c>
      <c r="G396" s="405">
        <f t="shared" si="32"/>
        <v>0.64252952552597931</v>
      </c>
      <c r="H396" s="405">
        <f t="shared" si="33"/>
        <v>-1.0287025091425825</v>
      </c>
      <c r="I396" s="375">
        <f t="shared" si="34"/>
        <v>-1.02541790954944</v>
      </c>
    </row>
    <row r="397" spans="1:9" x14ac:dyDescent="0.25">
      <c r="A397" s="375">
        <v>0</v>
      </c>
      <c r="B397" s="375">
        <v>640</v>
      </c>
      <c r="C397" s="375">
        <v>3.17</v>
      </c>
      <c r="D397" s="375">
        <v>2</v>
      </c>
      <c r="E397" s="405">
        <f t="shared" si="30"/>
        <v>0.64617000000000002</v>
      </c>
      <c r="F397" s="405">
        <f t="shared" si="31"/>
        <v>1.9082183391579175</v>
      </c>
      <c r="G397" s="405">
        <f t="shared" si="32"/>
        <v>0.65614686265627753</v>
      </c>
      <c r="H397" s="405">
        <f t="shared" si="33"/>
        <v>-1.0675406390941173</v>
      </c>
      <c r="I397" s="375">
        <f t="shared" si="34"/>
        <v>-1.0642287966990116</v>
      </c>
    </row>
    <row r="398" spans="1:9" x14ac:dyDescent="0.25">
      <c r="A398" s="375">
        <v>0</v>
      </c>
      <c r="B398" s="375">
        <v>640</v>
      </c>
      <c r="C398" s="375">
        <v>3.51</v>
      </c>
      <c r="D398" s="375">
        <v>2</v>
      </c>
      <c r="E398" s="405">
        <f t="shared" si="30"/>
        <v>0.64651000000000003</v>
      </c>
      <c r="F398" s="405">
        <f t="shared" si="31"/>
        <v>1.9088672437007523</v>
      </c>
      <c r="G398" s="405">
        <f t="shared" si="32"/>
        <v>0.65622356875669285</v>
      </c>
      <c r="H398" s="405">
        <f t="shared" si="33"/>
        <v>-1.0677637420676882</v>
      </c>
      <c r="I398" s="375">
        <f t="shared" si="34"/>
        <v>-1.0644517462124965</v>
      </c>
    </row>
    <row r="399" spans="1:9" x14ac:dyDescent="0.25">
      <c r="A399" s="375">
        <v>1</v>
      </c>
      <c r="B399" s="375">
        <v>800</v>
      </c>
      <c r="C399" s="375">
        <v>3.05</v>
      </c>
      <c r="D399" s="375">
        <v>2</v>
      </c>
      <c r="E399" s="405">
        <f t="shared" si="30"/>
        <v>0.80605000000000004</v>
      </c>
      <c r="F399" s="405">
        <f t="shared" si="31"/>
        <v>2.2390462635543491</v>
      </c>
      <c r="G399" s="405">
        <f t="shared" si="32"/>
        <v>0.69126714513096965</v>
      </c>
      <c r="H399" s="405">
        <f t="shared" si="33"/>
        <v>-0.3692289233704068</v>
      </c>
      <c r="I399" s="375">
        <f t="shared" si="34"/>
        <v>-0.36784681602271563</v>
      </c>
    </row>
    <row r="400" spans="1:9" x14ac:dyDescent="0.25">
      <c r="A400" s="375">
        <v>1</v>
      </c>
      <c r="B400" s="375">
        <v>660</v>
      </c>
      <c r="C400" s="375">
        <v>3.88</v>
      </c>
      <c r="D400" s="375">
        <v>2</v>
      </c>
      <c r="E400" s="405">
        <f t="shared" si="30"/>
        <v>0.66688000000000003</v>
      </c>
      <c r="F400" s="405">
        <f t="shared" si="31"/>
        <v>1.9481496019750231</v>
      </c>
      <c r="G400" s="405">
        <f t="shared" si="32"/>
        <v>0.66080418736889046</v>
      </c>
      <c r="H400" s="405">
        <f t="shared" si="33"/>
        <v>-0.4142977199781181</v>
      </c>
      <c r="I400" s="375">
        <f t="shared" si="34"/>
        <v>-0.41297655998346994</v>
      </c>
    </row>
    <row r="401" spans="1:9" x14ac:dyDescent="0.25">
      <c r="A401" s="375">
        <v>1</v>
      </c>
      <c r="B401" s="375">
        <v>600</v>
      </c>
      <c r="C401" s="375">
        <v>3.38</v>
      </c>
      <c r="D401" s="375">
        <v>3</v>
      </c>
      <c r="E401" s="405">
        <f t="shared" si="30"/>
        <v>0.60738000000000003</v>
      </c>
      <c r="F401" s="405">
        <f t="shared" si="31"/>
        <v>1.8356157797324784</v>
      </c>
      <c r="G401" s="405">
        <f t="shared" si="32"/>
        <v>0.6473429132580355</v>
      </c>
      <c r="H401" s="405">
        <f t="shared" si="33"/>
        <v>-0.43487911984869443</v>
      </c>
      <c r="I401" s="375">
        <f t="shared" si="34"/>
        <v>-0.43293811871666432</v>
      </c>
    </row>
    <row r="402" spans="1:9" x14ac:dyDescent="0.25">
      <c r="A402" s="375">
        <v>1</v>
      </c>
      <c r="B402" s="375">
        <v>620</v>
      </c>
      <c r="C402" s="375">
        <v>3.75</v>
      </c>
      <c r="D402" s="375">
        <v>2</v>
      </c>
      <c r="E402" s="405">
        <f t="shared" si="30"/>
        <v>0.62675000000000003</v>
      </c>
      <c r="F402" s="405">
        <f t="shared" si="31"/>
        <v>1.8715182502788532</v>
      </c>
      <c r="G402" s="405">
        <f t="shared" si="32"/>
        <v>0.65175216981369</v>
      </c>
      <c r="H402" s="405">
        <f t="shared" si="33"/>
        <v>-0.4280908969624222</v>
      </c>
      <c r="I402" s="375">
        <f t="shared" si="34"/>
        <v>-0.42678784665714697</v>
      </c>
    </row>
    <row r="403" spans="1:9" x14ac:dyDescent="0.25">
      <c r="A403" s="375">
        <v>1</v>
      </c>
      <c r="B403" s="375">
        <v>460</v>
      </c>
      <c r="C403" s="375">
        <v>3.99</v>
      </c>
      <c r="D403" s="375">
        <v>3</v>
      </c>
      <c r="E403" s="405">
        <f t="shared" si="30"/>
        <v>0.46799000000000002</v>
      </c>
      <c r="F403" s="405">
        <f t="shared" si="31"/>
        <v>1.5967814347928653</v>
      </c>
      <c r="G403" s="405">
        <f t="shared" si="32"/>
        <v>0.61490790614814839</v>
      </c>
      <c r="H403" s="405">
        <f t="shared" si="33"/>
        <v>-0.48628276848925767</v>
      </c>
      <c r="I403" s="375">
        <f t="shared" si="34"/>
        <v>-0.48443911059814349</v>
      </c>
    </row>
    <row r="404" spans="1:9" x14ac:dyDescent="0.25">
      <c r="A404" s="375">
        <v>0</v>
      </c>
      <c r="B404" s="375">
        <v>620</v>
      </c>
      <c r="C404" s="375">
        <v>4</v>
      </c>
      <c r="D404" s="375">
        <v>2</v>
      </c>
      <c r="E404" s="405">
        <f t="shared" si="30"/>
        <v>0.627</v>
      </c>
      <c r="F404" s="405">
        <f t="shared" si="31"/>
        <v>1.8719861883312423</v>
      </c>
      <c r="G404" s="405">
        <f t="shared" si="32"/>
        <v>0.65180891048050393</v>
      </c>
      <c r="H404" s="405">
        <f t="shared" si="33"/>
        <v>-1.0550038420975487</v>
      </c>
      <c r="I404" s="375">
        <f t="shared" si="34"/>
        <v>-1.0517006782765186</v>
      </c>
    </row>
    <row r="405" spans="1:9" x14ac:dyDescent="0.25">
      <c r="A405" s="375">
        <v>0</v>
      </c>
      <c r="B405" s="375">
        <v>560</v>
      </c>
      <c r="C405" s="375">
        <v>3.04</v>
      </c>
      <c r="D405" s="375">
        <v>3</v>
      </c>
      <c r="E405" s="405">
        <f t="shared" si="30"/>
        <v>0.5670400000000001</v>
      </c>
      <c r="F405" s="405">
        <f t="shared" si="31"/>
        <v>1.7630407197483042</v>
      </c>
      <c r="G405" s="405">
        <f t="shared" si="32"/>
        <v>0.63807989044363644</v>
      </c>
      <c r="H405" s="405">
        <f t="shared" si="33"/>
        <v>-1.016331783345642</v>
      </c>
      <c r="I405" s="375">
        <f t="shared" si="34"/>
        <v>-1.0114185831637437</v>
      </c>
    </row>
    <row r="406" spans="1:9" x14ac:dyDescent="0.25">
      <c r="A406" s="375">
        <v>0</v>
      </c>
      <c r="B406" s="375">
        <v>460</v>
      </c>
      <c r="C406" s="375">
        <v>2.63</v>
      </c>
      <c r="D406" s="375">
        <v>2</v>
      </c>
      <c r="E406" s="405">
        <f t="shared" si="30"/>
        <v>0.46563000000000004</v>
      </c>
      <c r="F406" s="405">
        <f t="shared" si="31"/>
        <v>1.5930174738276728</v>
      </c>
      <c r="G406" s="405">
        <f t="shared" si="32"/>
        <v>0.61434891585059248</v>
      </c>
      <c r="H406" s="405">
        <f t="shared" si="33"/>
        <v>-0.95282224537981941</v>
      </c>
      <c r="I406" s="375">
        <f t="shared" si="34"/>
        <v>-0.949594021468948</v>
      </c>
    </row>
    <row r="407" spans="1:9" x14ac:dyDescent="0.25">
      <c r="A407" s="375">
        <v>0</v>
      </c>
      <c r="B407" s="375">
        <v>700</v>
      </c>
      <c r="C407" s="375">
        <v>3.65</v>
      </c>
      <c r="D407" s="375">
        <v>2</v>
      </c>
      <c r="E407" s="405">
        <f t="shared" si="30"/>
        <v>0.70665000000000011</v>
      </c>
      <c r="F407" s="405">
        <f t="shared" si="31"/>
        <v>2.0271887884296236</v>
      </c>
      <c r="G407" s="405">
        <f t="shared" si="32"/>
        <v>0.66966051016634565</v>
      </c>
      <c r="H407" s="405">
        <f t="shared" si="33"/>
        <v>-1.1076343962578421</v>
      </c>
      <c r="I407" s="375">
        <f t="shared" si="34"/>
        <v>-1.1042955177681677</v>
      </c>
    </row>
    <row r="408" spans="1:9" x14ac:dyDescent="0.25">
      <c r="A408" s="375">
        <v>0</v>
      </c>
      <c r="B408" s="375">
        <v>600</v>
      </c>
      <c r="C408" s="375">
        <v>3.89</v>
      </c>
      <c r="D408" s="375">
        <v>3</v>
      </c>
      <c r="E408" s="405">
        <f t="shared" si="30"/>
        <v>0.60788999999999993</v>
      </c>
      <c r="F408" s="405">
        <f t="shared" si="31"/>
        <v>1.8365521825425617</v>
      </c>
      <c r="G408" s="405">
        <f t="shared" si="32"/>
        <v>0.64745933244082132</v>
      </c>
      <c r="H408" s="405">
        <f t="shared" si="33"/>
        <v>-1.0425892944220916</v>
      </c>
      <c r="I408" s="375">
        <f t="shared" si="34"/>
        <v>-1.037647943878264</v>
      </c>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6"/>
  <sheetViews>
    <sheetView workbookViewId="0">
      <selection activeCell="I3" sqref="I3"/>
    </sheetView>
  </sheetViews>
  <sheetFormatPr baseColWidth="10" defaultColWidth="9.140625" defaultRowHeight="15" x14ac:dyDescent="0.25"/>
  <cols>
    <col min="1" max="1" width="3.28515625" style="375" customWidth="1"/>
    <col min="2" max="2" width="11.140625" style="375" bestFit="1" customWidth="1"/>
    <col min="3" max="3" width="12" style="375" bestFit="1" customWidth="1"/>
    <col min="4" max="4" width="9.140625" style="375"/>
    <col min="5" max="5" width="10.5703125" style="375" bestFit="1" customWidth="1"/>
    <col min="6" max="6" width="13.28515625" style="375" bestFit="1" customWidth="1"/>
    <col min="7" max="7" width="23.7109375" style="375" bestFit="1" customWidth="1"/>
    <col min="8" max="8" width="21.42578125" style="375" bestFit="1" customWidth="1"/>
    <col min="9" max="9" width="26.42578125" style="375" bestFit="1" customWidth="1"/>
    <col min="10" max="10" width="29" style="375" bestFit="1" customWidth="1"/>
    <col min="11" max="11" width="9.140625" style="375"/>
    <col min="12" max="12" width="3" style="375" bestFit="1" customWidth="1"/>
    <col min="13" max="13" width="4" style="375" bestFit="1" customWidth="1"/>
    <col min="14" max="16384" width="9.140625" style="375"/>
  </cols>
  <sheetData>
    <row r="2" spans="2:13" x14ac:dyDescent="0.25">
      <c r="B2" s="372" t="s">
        <v>499</v>
      </c>
      <c r="C2" s="372" t="s">
        <v>299</v>
      </c>
      <c r="D2" s="372" t="s">
        <v>500</v>
      </c>
      <c r="E2" s="373" t="s">
        <v>501</v>
      </c>
      <c r="F2" s="374" t="s">
        <v>502</v>
      </c>
      <c r="G2" s="373" t="s">
        <v>503</v>
      </c>
      <c r="H2" s="373" t="s">
        <v>504</v>
      </c>
      <c r="I2" s="373" t="s">
        <v>505</v>
      </c>
      <c r="J2" s="373" t="s">
        <v>506</v>
      </c>
      <c r="L2" s="376">
        <v>58</v>
      </c>
      <c r="M2" s="376">
        <v>158</v>
      </c>
    </row>
    <row r="3" spans="2:13" x14ac:dyDescent="0.25">
      <c r="B3" s="341">
        <v>158</v>
      </c>
      <c r="C3" s="341">
        <v>58</v>
      </c>
      <c r="D3" s="341" t="s">
        <v>400</v>
      </c>
      <c r="E3" s="377">
        <f>SQRT((161-B3)^2+(61-C3)^2)</f>
        <v>4.2426406871192848</v>
      </c>
      <c r="F3" s="378"/>
      <c r="G3" s="377">
        <f>(B3-$B$26)/$C$26</f>
        <v>-1.3872736939359849</v>
      </c>
      <c r="H3" s="377">
        <f>(C3-$D$26)/$E$26</f>
        <v>-1.6447714338715431</v>
      </c>
      <c r="I3" s="379">
        <f>SQRT((G3-$G$23)^2+(H3-$H$23)^2)</f>
        <v>1.3333200084612935</v>
      </c>
      <c r="J3" s="339"/>
      <c r="L3" s="376">
        <v>59</v>
      </c>
      <c r="M3" s="376">
        <v>158</v>
      </c>
    </row>
    <row r="4" spans="2:13" x14ac:dyDescent="0.25">
      <c r="B4" s="341">
        <v>158</v>
      </c>
      <c r="C4" s="341">
        <v>59</v>
      </c>
      <c r="D4" s="341" t="s">
        <v>400</v>
      </c>
      <c r="E4" s="377">
        <f t="shared" ref="E4:E20" si="0">SQRT((161-B4)^2+(61-C4)^2)</f>
        <v>3.6055512754639891</v>
      </c>
      <c r="F4" s="45"/>
      <c r="G4" s="377">
        <f t="shared" ref="G4:G20" si="1">(B4-$B$26)/$C$26</f>
        <v>-1.3872736939359849</v>
      </c>
      <c r="H4" s="377">
        <f t="shared" ref="H4:H20" si="2">(C4-$D$26)/$E$26</f>
        <v>-1.2652087952858027</v>
      </c>
      <c r="I4" s="377">
        <f t="shared" ref="I4:I20" si="3">SQRT((G4-$G$23)^2+(H4-$H$23)^2)</f>
        <v>1.0283011533166615</v>
      </c>
      <c r="J4" s="341"/>
      <c r="L4" s="376">
        <v>63</v>
      </c>
      <c r="M4" s="376">
        <v>158</v>
      </c>
    </row>
    <row r="5" spans="2:13" x14ac:dyDescent="0.25">
      <c r="B5" s="341">
        <v>158</v>
      </c>
      <c r="C5" s="341">
        <v>63</v>
      </c>
      <c r="D5" s="341" t="s">
        <v>400</v>
      </c>
      <c r="E5" s="377">
        <f t="shared" si="0"/>
        <v>3.6055512754639891</v>
      </c>
      <c r="F5" s="45"/>
      <c r="G5" s="377">
        <f t="shared" si="1"/>
        <v>-1.3872736939359849</v>
      </c>
      <c r="H5" s="377">
        <f t="shared" si="2"/>
        <v>0.25304175905715942</v>
      </c>
      <c r="I5" s="377">
        <f t="shared" si="3"/>
        <v>1.0283011533166615</v>
      </c>
      <c r="J5" s="341"/>
      <c r="L5" s="376">
        <v>59</v>
      </c>
      <c r="M5" s="376">
        <v>160</v>
      </c>
    </row>
    <row r="6" spans="2:13" x14ac:dyDescent="0.25">
      <c r="B6" s="341">
        <v>160</v>
      </c>
      <c r="C6" s="341">
        <v>59</v>
      </c>
      <c r="D6" s="341" t="s">
        <v>400</v>
      </c>
      <c r="E6" s="377">
        <f t="shared" si="0"/>
        <v>2.2360679774997898</v>
      </c>
      <c r="F6" s="380">
        <v>3</v>
      </c>
      <c r="G6" s="377">
        <f t="shared" si="1"/>
        <v>-0.92484912929065655</v>
      </c>
      <c r="H6" s="377">
        <f t="shared" si="2"/>
        <v>-1.2652087952858027</v>
      </c>
      <c r="I6" s="377">
        <f t="shared" si="3"/>
        <v>0.79355548384314833</v>
      </c>
      <c r="J6" s="381">
        <v>4</v>
      </c>
      <c r="L6" s="376">
        <v>60</v>
      </c>
      <c r="M6" s="376">
        <v>160</v>
      </c>
    </row>
    <row r="7" spans="2:13" x14ac:dyDescent="0.25">
      <c r="B7" s="341">
        <v>160</v>
      </c>
      <c r="C7" s="341">
        <v>60</v>
      </c>
      <c r="D7" s="341" t="s">
        <v>400</v>
      </c>
      <c r="E7" s="377">
        <f t="shared" si="0"/>
        <v>1.4142135623730951</v>
      </c>
      <c r="F7" s="382">
        <v>1</v>
      </c>
      <c r="G7" s="377">
        <f t="shared" si="1"/>
        <v>-0.92484912929065655</v>
      </c>
      <c r="H7" s="377">
        <f t="shared" si="2"/>
        <v>-0.88564615670006208</v>
      </c>
      <c r="I7" s="377">
        <f t="shared" si="3"/>
        <v>0.44444000282043106</v>
      </c>
      <c r="J7" s="383">
        <v>1</v>
      </c>
      <c r="L7" s="376">
        <v>60</v>
      </c>
      <c r="M7" s="376">
        <v>163</v>
      </c>
    </row>
    <row r="8" spans="2:13" x14ac:dyDescent="0.25">
      <c r="B8" s="341">
        <v>163</v>
      </c>
      <c r="C8" s="341">
        <v>60</v>
      </c>
      <c r="D8" s="341" t="s">
        <v>400</v>
      </c>
      <c r="E8" s="377">
        <f t="shared" si="0"/>
        <v>2.2360679774997898</v>
      </c>
      <c r="F8" s="382">
        <v>3</v>
      </c>
      <c r="G8" s="377">
        <f t="shared" si="1"/>
        <v>-0.23121228232266414</v>
      </c>
      <c r="H8" s="377">
        <f t="shared" si="2"/>
        <v>-0.88564615670006208</v>
      </c>
      <c r="I8" s="377">
        <f t="shared" si="3"/>
        <v>0.59825101303515638</v>
      </c>
      <c r="J8" s="383">
        <v>3</v>
      </c>
      <c r="L8" s="376">
        <v>61</v>
      </c>
      <c r="M8" s="376">
        <v>163</v>
      </c>
    </row>
    <row r="9" spans="2:13" x14ac:dyDescent="0.25">
      <c r="B9" s="341">
        <v>163</v>
      </c>
      <c r="C9" s="341">
        <v>61</v>
      </c>
      <c r="D9" s="341" t="s">
        <v>400</v>
      </c>
      <c r="E9" s="377">
        <f t="shared" si="0"/>
        <v>2</v>
      </c>
      <c r="F9" s="382">
        <v>2</v>
      </c>
      <c r="G9" s="377">
        <f t="shared" si="1"/>
        <v>-0.23121228232266414</v>
      </c>
      <c r="H9" s="377">
        <f t="shared" si="2"/>
        <v>-0.50608351811432162</v>
      </c>
      <c r="I9" s="377">
        <f t="shared" si="3"/>
        <v>0.46242456464532833</v>
      </c>
      <c r="J9" s="384">
        <v>2</v>
      </c>
      <c r="L9" s="376">
        <v>64</v>
      </c>
      <c r="M9" s="376">
        <v>160</v>
      </c>
    </row>
    <row r="10" spans="2:13" x14ac:dyDescent="0.25">
      <c r="B10" s="341">
        <v>160</v>
      </c>
      <c r="C10" s="341">
        <v>64</v>
      </c>
      <c r="D10" s="341" t="s">
        <v>507</v>
      </c>
      <c r="E10" s="377">
        <f t="shared" si="0"/>
        <v>3.1622776601683795</v>
      </c>
      <c r="F10" s="385">
        <v>5</v>
      </c>
      <c r="G10" s="377">
        <f t="shared" si="1"/>
        <v>-0.92484912929065655</v>
      </c>
      <c r="H10" s="377">
        <f t="shared" si="2"/>
        <v>0.6326043976429</v>
      </c>
      <c r="I10" s="377">
        <f t="shared" si="3"/>
        <v>1.1619248207127606</v>
      </c>
      <c r="J10" s="341"/>
      <c r="L10" s="376">
        <v>64</v>
      </c>
      <c r="M10" s="376">
        <v>163</v>
      </c>
    </row>
    <row r="11" spans="2:13" x14ac:dyDescent="0.25">
      <c r="B11" s="341">
        <v>163</v>
      </c>
      <c r="C11" s="341">
        <v>64</v>
      </c>
      <c r="D11" s="341" t="s">
        <v>507</v>
      </c>
      <c r="E11" s="377">
        <f t="shared" si="0"/>
        <v>3.6055512754639891</v>
      </c>
      <c r="F11" s="45"/>
      <c r="G11" s="377">
        <f t="shared" si="1"/>
        <v>-0.23121228232266414</v>
      </c>
      <c r="H11" s="377">
        <f t="shared" si="2"/>
        <v>0.6326043976429</v>
      </c>
      <c r="I11" s="377">
        <f t="shared" si="3"/>
        <v>1.2290022975889618</v>
      </c>
      <c r="J11" s="341"/>
      <c r="L11" s="376">
        <v>61</v>
      </c>
      <c r="M11" s="376">
        <v>165</v>
      </c>
    </row>
    <row r="12" spans="2:13" x14ac:dyDescent="0.25">
      <c r="B12" s="341">
        <v>165</v>
      </c>
      <c r="C12" s="341">
        <v>61</v>
      </c>
      <c r="D12" s="341" t="s">
        <v>507</v>
      </c>
      <c r="E12" s="377">
        <f t="shared" si="0"/>
        <v>4</v>
      </c>
      <c r="F12" s="45"/>
      <c r="G12" s="377">
        <f t="shared" si="1"/>
        <v>0.23121228232266414</v>
      </c>
      <c r="H12" s="377">
        <f t="shared" si="2"/>
        <v>-0.50608351811432162</v>
      </c>
      <c r="I12" s="377">
        <f t="shared" si="3"/>
        <v>0.92484912929065655</v>
      </c>
      <c r="J12" s="386">
        <v>5</v>
      </c>
      <c r="L12" s="376">
        <v>62</v>
      </c>
      <c r="M12" s="376">
        <v>165</v>
      </c>
    </row>
    <row r="13" spans="2:13" x14ac:dyDescent="0.25">
      <c r="B13" s="341">
        <v>165</v>
      </c>
      <c r="C13" s="341">
        <v>62</v>
      </c>
      <c r="D13" s="341" t="s">
        <v>507</v>
      </c>
      <c r="E13" s="377">
        <f t="shared" si="0"/>
        <v>4.1231056256176606</v>
      </c>
      <c r="F13" s="45"/>
      <c r="G13" s="377">
        <f t="shared" si="1"/>
        <v>0.23121228232266414</v>
      </c>
      <c r="H13" s="377">
        <f t="shared" si="2"/>
        <v>-0.12652087952858107</v>
      </c>
      <c r="I13" s="377">
        <f t="shared" si="3"/>
        <v>0.99970681130012073</v>
      </c>
      <c r="J13" s="341"/>
      <c r="L13" s="376">
        <v>65</v>
      </c>
      <c r="M13" s="376">
        <v>165</v>
      </c>
    </row>
    <row r="14" spans="2:13" x14ac:dyDescent="0.25">
      <c r="B14" s="341">
        <v>165</v>
      </c>
      <c r="C14" s="341">
        <v>65</v>
      </c>
      <c r="D14" s="341" t="s">
        <v>507</v>
      </c>
      <c r="E14" s="377">
        <f t="shared" si="0"/>
        <v>5.6568542494923806</v>
      </c>
      <c r="F14" s="45"/>
      <c r="G14" s="377">
        <f t="shared" si="1"/>
        <v>0.23121228232266414</v>
      </c>
      <c r="H14" s="377">
        <f t="shared" si="2"/>
        <v>1.0121670362286403</v>
      </c>
      <c r="I14" s="377">
        <f t="shared" si="3"/>
        <v>1.7777600112817242</v>
      </c>
      <c r="J14" s="341"/>
      <c r="L14" s="376">
        <v>62</v>
      </c>
      <c r="M14" s="376">
        <v>168</v>
      </c>
    </row>
    <row r="15" spans="2:13" x14ac:dyDescent="0.25">
      <c r="B15" s="341">
        <v>168</v>
      </c>
      <c r="C15" s="341">
        <v>62</v>
      </c>
      <c r="D15" s="341" t="s">
        <v>507</v>
      </c>
      <c r="E15" s="377">
        <f t="shared" si="0"/>
        <v>7.0710678118654755</v>
      </c>
      <c r="F15" s="45"/>
      <c r="G15" s="377">
        <f t="shared" si="1"/>
        <v>0.92484912929065655</v>
      </c>
      <c r="H15" s="377">
        <f t="shared" si="2"/>
        <v>-0.12652087952858107</v>
      </c>
      <c r="I15" s="377">
        <f t="shared" si="3"/>
        <v>1.6623972605716366</v>
      </c>
      <c r="J15" s="341"/>
      <c r="L15" s="376">
        <v>63</v>
      </c>
      <c r="M15" s="376">
        <v>168</v>
      </c>
    </row>
    <row r="16" spans="2:13" x14ac:dyDescent="0.25">
      <c r="B16" s="341">
        <v>168</v>
      </c>
      <c r="C16" s="341">
        <v>63</v>
      </c>
      <c r="D16" s="341" t="s">
        <v>507</v>
      </c>
      <c r="E16" s="377">
        <f t="shared" si="0"/>
        <v>7.2801098892805181</v>
      </c>
      <c r="F16" s="45"/>
      <c r="G16" s="377">
        <f t="shared" si="1"/>
        <v>0.92484912929065655</v>
      </c>
      <c r="H16" s="377">
        <f t="shared" si="2"/>
        <v>0.25304175905715942</v>
      </c>
      <c r="I16" s="377">
        <f t="shared" si="3"/>
        <v>1.7876711223786634</v>
      </c>
      <c r="J16" s="341"/>
      <c r="L16" s="376">
        <v>66</v>
      </c>
      <c r="M16" s="376">
        <v>168</v>
      </c>
    </row>
    <row r="17" spans="2:13" x14ac:dyDescent="0.25">
      <c r="B17" s="341">
        <v>168</v>
      </c>
      <c r="C17" s="341">
        <v>66</v>
      </c>
      <c r="D17" s="341" t="s">
        <v>507</v>
      </c>
      <c r="E17" s="377">
        <f t="shared" si="0"/>
        <v>8.6023252670426267</v>
      </c>
      <c r="F17" s="45"/>
      <c r="G17" s="377">
        <f t="shared" si="1"/>
        <v>0.92484912929065655</v>
      </c>
      <c r="H17" s="377">
        <f t="shared" si="2"/>
        <v>1.391729674814381</v>
      </c>
      <c r="I17" s="377">
        <f t="shared" si="3"/>
        <v>2.4942316994618099</v>
      </c>
      <c r="J17" s="341"/>
      <c r="L17" s="376">
        <v>63</v>
      </c>
      <c r="M17" s="376">
        <v>170</v>
      </c>
    </row>
    <row r="18" spans="2:13" x14ac:dyDescent="0.25">
      <c r="B18" s="341">
        <v>170</v>
      </c>
      <c r="C18" s="341">
        <v>63</v>
      </c>
      <c r="D18" s="341" t="s">
        <v>507</v>
      </c>
      <c r="E18" s="377">
        <f t="shared" si="0"/>
        <v>9.2195444572928871</v>
      </c>
      <c r="F18" s="45"/>
      <c r="G18" s="377">
        <f t="shared" si="1"/>
        <v>1.3872736939359849</v>
      </c>
      <c r="H18" s="377">
        <f t="shared" si="2"/>
        <v>0.25304175905715942</v>
      </c>
      <c r="I18" s="377">
        <f t="shared" si="3"/>
        <v>2.2150530164503879</v>
      </c>
      <c r="J18" s="341"/>
      <c r="L18" s="376">
        <v>64</v>
      </c>
      <c r="M18" s="376">
        <v>170</v>
      </c>
    </row>
    <row r="19" spans="2:13" x14ac:dyDescent="0.25">
      <c r="B19" s="341">
        <v>170</v>
      </c>
      <c r="C19" s="341">
        <v>64</v>
      </c>
      <c r="D19" s="341" t="s">
        <v>507</v>
      </c>
      <c r="E19" s="377">
        <f t="shared" si="0"/>
        <v>9.4868329805051381</v>
      </c>
      <c r="F19" s="45"/>
      <c r="G19" s="377">
        <f t="shared" si="1"/>
        <v>1.3872736939359849</v>
      </c>
      <c r="H19" s="377">
        <f t="shared" si="2"/>
        <v>0.6326043976429</v>
      </c>
      <c r="I19" s="377">
        <f t="shared" si="3"/>
        <v>2.3720874454237157</v>
      </c>
      <c r="J19" s="341"/>
      <c r="L19" s="376">
        <v>68</v>
      </c>
      <c r="M19" s="376">
        <v>170</v>
      </c>
    </row>
    <row r="20" spans="2:13" x14ac:dyDescent="0.25">
      <c r="B20" s="343">
        <v>170</v>
      </c>
      <c r="C20" s="343">
        <v>68</v>
      </c>
      <c r="D20" s="343" t="s">
        <v>507</v>
      </c>
      <c r="E20" s="387">
        <f t="shared" si="0"/>
        <v>11.401754250991379</v>
      </c>
      <c r="F20" s="46"/>
      <c r="G20" s="387">
        <f t="shared" si="1"/>
        <v>1.3872736939359849</v>
      </c>
      <c r="H20" s="387">
        <f t="shared" si="2"/>
        <v>2.150854951985862</v>
      </c>
      <c r="I20" s="387">
        <f t="shared" si="3"/>
        <v>3.3748349164282962</v>
      </c>
      <c r="J20" s="343"/>
      <c r="L20" s="376">
        <v>61</v>
      </c>
      <c r="M20" s="376">
        <v>161</v>
      </c>
    </row>
    <row r="21" spans="2:13" x14ac:dyDescent="0.25">
      <c r="B21" s="375">
        <v>161</v>
      </c>
      <c r="C21" s="375">
        <v>61</v>
      </c>
      <c r="H21" s="388"/>
      <c r="I21" s="388"/>
      <c r="J21" s="388"/>
    </row>
    <row r="23" spans="2:13" x14ac:dyDescent="0.25">
      <c r="B23" s="558" t="s">
        <v>508</v>
      </c>
      <c r="C23" s="556"/>
      <c r="D23" s="557"/>
      <c r="E23" s="43"/>
      <c r="F23" s="43"/>
      <c r="G23" s="389">
        <f>(161-B26)/C26</f>
        <v>-0.69363684696799244</v>
      </c>
      <c r="H23" s="389">
        <f>(61-D26)/E26</f>
        <v>-0.50608351811432162</v>
      </c>
    </row>
    <row r="25" spans="2:13" x14ac:dyDescent="0.25">
      <c r="B25" s="390" t="s">
        <v>509</v>
      </c>
      <c r="C25" s="390" t="s">
        <v>510</v>
      </c>
      <c r="D25" s="390" t="s">
        <v>511</v>
      </c>
      <c r="E25" s="390" t="s">
        <v>512</v>
      </c>
    </row>
    <row r="26" spans="2:13" x14ac:dyDescent="0.25">
      <c r="B26" s="337">
        <f>AVERAGE(B3:B20)</f>
        <v>164</v>
      </c>
      <c r="C26" s="337">
        <f>SQRT(VAR(B3:B20))</f>
        <v>4.3250297516827763</v>
      </c>
      <c r="D26" s="337">
        <f>AVERAGE(C3:C20)</f>
        <v>62.333333333333336</v>
      </c>
      <c r="E26" s="337">
        <f>SQRT(VAR(C3:C20))</f>
        <v>2.6346112560657287</v>
      </c>
    </row>
  </sheetData>
  <mergeCells count="1">
    <mergeCell ref="B23:D23"/>
  </mergeCells>
  <conditionalFormatting sqref="E3:E20">
    <cfRule type="colorScale" priority="2">
      <colorScale>
        <cfvo type="min"/>
        <cfvo type="percentile" val="50"/>
        <cfvo type="max"/>
        <color rgb="FFF8696B"/>
        <color rgb="FFFFEB84"/>
        <color rgb="FF63BE7B"/>
      </colorScale>
    </cfRule>
  </conditionalFormatting>
  <conditionalFormatting sqref="I3:I20">
    <cfRule type="colorScale" priority="1">
      <colorScale>
        <cfvo type="min"/>
        <cfvo type="percentile" val="50"/>
        <cfvo type="max"/>
        <color rgb="FFF8696B"/>
        <color rgb="FFFFEB84"/>
        <color rgb="FF63BE7B"/>
      </colorScale>
    </cfRule>
  </conditionalFormatting>
  <pageMargins left="0.7" right="0.7" top="0.75" bottom="0.75" header="0.3" footer="0.3"/>
  <ignoredErrors>
    <ignoredError sqref="B26:E26" formulaRange="1"/>
  </ignoredErrors>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8"/>
  <sheetViews>
    <sheetView topLeftCell="C1" workbookViewId="0">
      <selection activeCell="N4" sqref="N4"/>
    </sheetView>
  </sheetViews>
  <sheetFormatPr baseColWidth="10" defaultColWidth="9.140625" defaultRowHeight="15" x14ac:dyDescent="0.25"/>
  <cols>
    <col min="1" max="1" width="2.85546875" style="375" customWidth="1"/>
    <col min="2" max="2" width="9.5703125" style="375" bestFit="1" customWidth="1"/>
    <col min="3" max="4" width="10.5703125" style="375" bestFit="1" customWidth="1"/>
    <col min="5" max="5" width="2.28515625" style="375" customWidth="1"/>
    <col min="6" max="6" width="10.5703125" style="375" bestFit="1" customWidth="1"/>
    <col min="7" max="11" width="4.5703125" style="375" bestFit="1" customWidth="1"/>
    <col min="12" max="12" width="5.28515625" style="375" customWidth="1"/>
    <col min="13" max="13" width="9.5703125" style="375" bestFit="1" customWidth="1"/>
    <col min="14" max="15" width="10.5703125" style="375" bestFit="1" customWidth="1"/>
    <col min="16" max="16" width="2.28515625" style="375" customWidth="1"/>
    <col min="17" max="17" width="10.5703125" style="375" bestFit="1" customWidth="1"/>
    <col min="18" max="21" width="4.5703125" style="375" bestFit="1" customWidth="1"/>
    <col min="22" max="22" width="5.28515625" style="375" customWidth="1"/>
    <col min="23" max="23" width="9.7109375" style="375" bestFit="1" customWidth="1"/>
    <col min="24" max="25" width="10.5703125" style="375" bestFit="1" customWidth="1"/>
    <col min="26" max="26" width="2.28515625" style="375" customWidth="1"/>
    <col min="27" max="27" width="10.7109375" style="375" bestFit="1" customWidth="1"/>
    <col min="28" max="30" width="4.5703125" style="375" bestFit="1" customWidth="1"/>
    <col min="31" max="16384" width="9.140625" style="375"/>
  </cols>
  <sheetData>
    <row r="2" spans="2:30" x14ac:dyDescent="0.25">
      <c r="B2" s="560" t="s">
        <v>513</v>
      </c>
      <c r="C2" s="560"/>
      <c r="D2" s="560"/>
      <c r="F2" s="560" t="s">
        <v>514</v>
      </c>
      <c r="G2" s="560"/>
      <c r="H2" s="560"/>
      <c r="I2" s="560"/>
      <c r="J2" s="560"/>
      <c r="K2" s="560"/>
      <c r="M2" s="561" t="s">
        <v>515</v>
      </c>
      <c r="N2" s="561"/>
      <c r="O2" s="561"/>
      <c r="Q2" s="561" t="s">
        <v>514</v>
      </c>
      <c r="R2" s="561"/>
      <c r="S2" s="561"/>
      <c r="T2" s="561"/>
      <c r="U2" s="561"/>
      <c r="W2" s="559" t="s">
        <v>516</v>
      </c>
      <c r="X2" s="559"/>
      <c r="Y2" s="559"/>
      <c r="AA2" s="559" t="s">
        <v>514</v>
      </c>
      <c r="AB2" s="559"/>
      <c r="AC2" s="559"/>
      <c r="AD2" s="559"/>
    </row>
    <row r="3" spans="2:30" x14ac:dyDescent="0.25">
      <c r="B3" s="386" t="s">
        <v>517</v>
      </c>
      <c r="C3" s="386" t="s">
        <v>518</v>
      </c>
      <c r="D3" s="386" t="s">
        <v>519</v>
      </c>
      <c r="F3" s="386" t="s">
        <v>520</v>
      </c>
      <c r="G3" s="386">
        <v>1</v>
      </c>
      <c r="H3" s="386">
        <v>2</v>
      </c>
      <c r="I3" s="386">
        <v>3</v>
      </c>
      <c r="J3" s="386">
        <v>4</v>
      </c>
      <c r="K3" s="386">
        <v>5</v>
      </c>
      <c r="M3" s="391" t="s">
        <v>517</v>
      </c>
      <c r="N3" s="391" t="s">
        <v>518</v>
      </c>
      <c r="O3" s="391" t="s">
        <v>519</v>
      </c>
      <c r="Q3" s="391" t="s">
        <v>520</v>
      </c>
      <c r="R3" s="391" t="s">
        <v>521</v>
      </c>
      <c r="S3" s="391">
        <v>3</v>
      </c>
      <c r="T3" s="391">
        <v>4</v>
      </c>
      <c r="U3" s="391">
        <v>5</v>
      </c>
      <c r="W3" s="392" t="s">
        <v>517</v>
      </c>
      <c r="X3" s="392" t="s">
        <v>518</v>
      </c>
      <c r="Y3" s="392" t="s">
        <v>519</v>
      </c>
      <c r="AA3" s="392" t="s">
        <v>520</v>
      </c>
      <c r="AB3" s="392" t="s">
        <v>521</v>
      </c>
      <c r="AC3" s="392">
        <v>3</v>
      </c>
      <c r="AD3" s="392" t="s">
        <v>522</v>
      </c>
    </row>
    <row r="4" spans="2:30" x14ac:dyDescent="0.25">
      <c r="B4" s="393">
        <v>1</v>
      </c>
      <c r="C4" s="386">
        <v>1</v>
      </c>
      <c r="D4" s="386">
        <v>1</v>
      </c>
      <c r="F4" s="386">
        <v>1</v>
      </c>
      <c r="G4" s="394">
        <v>0</v>
      </c>
      <c r="H4" s="394"/>
      <c r="I4" s="394"/>
      <c r="J4" s="394"/>
      <c r="K4" s="394"/>
      <c r="M4" s="393" t="s">
        <v>521</v>
      </c>
      <c r="N4" s="391">
        <v>1.5</v>
      </c>
      <c r="O4" s="391">
        <v>1</v>
      </c>
      <c r="Q4" s="391" t="s">
        <v>521</v>
      </c>
      <c r="R4" s="395">
        <v>0</v>
      </c>
      <c r="S4" s="395"/>
      <c r="T4" s="395"/>
      <c r="U4" s="395"/>
      <c r="W4" s="393" t="s">
        <v>521</v>
      </c>
      <c r="X4" s="392">
        <v>1.5</v>
      </c>
      <c r="Y4" s="392">
        <v>1</v>
      </c>
      <c r="AA4" s="392" t="s">
        <v>521</v>
      </c>
      <c r="AB4" s="396">
        <v>0</v>
      </c>
      <c r="AC4" s="396"/>
      <c r="AD4" s="396"/>
    </row>
    <row r="5" spans="2:30" x14ac:dyDescent="0.25">
      <c r="B5" s="393">
        <v>2</v>
      </c>
      <c r="C5" s="386">
        <v>2</v>
      </c>
      <c r="D5" s="386">
        <v>1</v>
      </c>
      <c r="F5" s="386">
        <v>2</v>
      </c>
      <c r="G5" s="397">
        <f>SQRT((C5-$C$4)^2+(D5-$D$4)^2)</f>
        <v>1</v>
      </c>
      <c r="H5" s="394">
        <v>0</v>
      </c>
      <c r="I5" s="394"/>
      <c r="J5" s="394"/>
      <c r="K5" s="394"/>
      <c r="M5" s="391">
        <v>3</v>
      </c>
      <c r="N5" s="391">
        <v>4</v>
      </c>
      <c r="O5" s="391">
        <v>5</v>
      </c>
      <c r="Q5" s="391">
        <v>3</v>
      </c>
      <c r="R5" s="395">
        <f>SQRT((N5-$N$4)^2+(O5-$O$4)^2)</f>
        <v>4.7169905660283016</v>
      </c>
      <c r="S5" s="395">
        <v>0</v>
      </c>
      <c r="T5" s="395"/>
      <c r="U5" s="395"/>
      <c r="W5" s="398">
        <v>3</v>
      </c>
      <c r="X5" s="392">
        <v>4</v>
      </c>
      <c r="Y5" s="392">
        <v>5</v>
      </c>
      <c r="AA5" s="392">
        <v>3</v>
      </c>
      <c r="AB5" s="396">
        <f>SQRT((X5-$X$4)^2+(Y5-$Y$4)^2)</f>
        <v>4.7169905660283016</v>
      </c>
      <c r="AC5" s="396">
        <v>0</v>
      </c>
      <c r="AD5" s="396"/>
    </row>
    <row r="6" spans="2:30" x14ac:dyDescent="0.25">
      <c r="B6" s="386">
        <v>3</v>
      </c>
      <c r="C6" s="386">
        <v>4</v>
      </c>
      <c r="D6" s="386">
        <v>5</v>
      </c>
      <c r="F6" s="386">
        <v>3</v>
      </c>
      <c r="G6" s="394">
        <f>SQRT((C6-$C$4)^2+(D6-$D$4)^2)</f>
        <v>5</v>
      </c>
      <c r="H6" s="394">
        <f>SQRT((C6-$C$5)^2+(D6-$D$5)^2)</f>
        <v>4.4721359549995796</v>
      </c>
      <c r="I6" s="394">
        <v>0</v>
      </c>
      <c r="J6" s="394"/>
      <c r="K6" s="394"/>
      <c r="M6" s="399">
        <v>4</v>
      </c>
      <c r="N6" s="391">
        <v>7</v>
      </c>
      <c r="O6" s="391">
        <v>7</v>
      </c>
      <c r="Q6" s="391">
        <v>4</v>
      </c>
      <c r="R6" s="395">
        <f t="shared" ref="R6:R7" si="0">SQRT((N6-$N$4)^2+(O6-$O$4)^2)</f>
        <v>8.1394102980498531</v>
      </c>
      <c r="S6" s="395">
        <f>SQRT((N6-$N$5)^2+(O6-$O$5)^2)</f>
        <v>3.6055512754639891</v>
      </c>
      <c r="T6" s="395">
        <v>0</v>
      </c>
      <c r="U6" s="395"/>
      <c r="W6" s="399" t="s">
        <v>522</v>
      </c>
      <c r="X6" s="392">
        <v>6</v>
      </c>
      <c r="Y6" s="392">
        <v>7</v>
      </c>
      <c r="AA6" s="392" t="s">
        <v>522</v>
      </c>
      <c r="AB6" s="396">
        <f>SQRT((X6-$X$4)^2+(Y6-$Y$4)^2)</f>
        <v>7.5</v>
      </c>
      <c r="AC6" s="400">
        <f>SQRT((X6-X5)^2+(Y6-Y5)^2)</f>
        <v>2.8284271247461903</v>
      </c>
      <c r="AD6" s="396">
        <v>0</v>
      </c>
    </row>
    <row r="7" spans="2:30" x14ac:dyDescent="0.25">
      <c r="B7" s="386">
        <v>4</v>
      </c>
      <c r="C7" s="386">
        <v>7</v>
      </c>
      <c r="D7" s="386">
        <v>7</v>
      </c>
      <c r="F7" s="386">
        <v>4</v>
      </c>
      <c r="G7" s="394">
        <f>SQRT((C7-$C$4)^2+(D7-$D$4)^2)</f>
        <v>8.4852813742385695</v>
      </c>
      <c r="H7" s="394">
        <f t="shared" ref="H7:H8" si="1">SQRT((C7-$C$5)^2+(D7-$D$5)^2)</f>
        <v>7.810249675906654</v>
      </c>
      <c r="I7" s="394">
        <f>SQRT((C7-$C$6)^2+(D7-$D$6)^2)</f>
        <v>3.6055512754639891</v>
      </c>
      <c r="J7" s="394">
        <v>0</v>
      </c>
      <c r="K7" s="394"/>
      <c r="M7" s="399">
        <v>5</v>
      </c>
      <c r="N7" s="391">
        <v>5</v>
      </c>
      <c r="O7" s="391">
        <v>7</v>
      </c>
      <c r="Q7" s="391">
        <v>5</v>
      </c>
      <c r="R7" s="395">
        <f t="shared" si="0"/>
        <v>6.946221994724902</v>
      </c>
      <c r="S7" s="395">
        <f>SQRT((N7-$N$5)^2+(O7-$O$5)^2)</f>
        <v>2.2360679774997898</v>
      </c>
      <c r="T7" s="401">
        <f>SQRT((N7-N6)^2+(O7-O6)^2)</f>
        <v>2</v>
      </c>
      <c r="U7" s="395">
        <v>0</v>
      </c>
    </row>
    <row r="8" spans="2:30" x14ac:dyDescent="0.25">
      <c r="B8" s="386">
        <v>5</v>
      </c>
      <c r="C8" s="386">
        <v>5</v>
      </c>
      <c r="D8" s="386">
        <v>7</v>
      </c>
      <c r="F8" s="386">
        <v>5</v>
      </c>
      <c r="G8" s="394">
        <f>SQRT((C8-$C$4)^2+(D8-$D$4)^2)</f>
        <v>7.2111025509279782</v>
      </c>
      <c r="H8" s="394">
        <f t="shared" si="1"/>
        <v>6.7082039324993694</v>
      </c>
      <c r="I8" s="394">
        <f>SQRT((C8-$C$6)^2+(D8-$D$6)^2)</f>
        <v>2.2360679774997898</v>
      </c>
      <c r="J8" s="394">
        <f>SQRT((C8-C7)^2+(D8-D7)^2)</f>
        <v>2</v>
      </c>
      <c r="K8" s="394">
        <v>0</v>
      </c>
    </row>
  </sheetData>
  <mergeCells count="6">
    <mergeCell ref="AA2:AD2"/>
    <mergeCell ref="B2:D2"/>
    <mergeCell ref="F2:K2"/>
    <mergeCell ref="M2:O2"/>
    <mergeCell ref="Q2:U2"/>
    <mergeCell ref="W2:Y2"/>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cols>
    <col min="1" max="16384" width="9.140625" style="1"/>
  </cols>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A28" sqref="BA28"/>
    </sheetView>
  </sheetViews>
  <sheetFormatPr baseColWidth="10" defaultColWidth="9.140625" defaultRowHeight="15" x14ac:dyDescent="0.25"/>
  <cols>
    <col min="1" max="16384" width="9.140625" style="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2:M111"/>
  <sheetViews>
    <sheetView workbookViewId="0">
      <selection activeCell="J13" sqref="J13"/>
    </sheetView>
  </sheetViews>
  <sheetFormatPr baseColWidth="10" defaultRowHeight="12.75" x14ac:dyDescent="0.2"/>
  <cols>
    <col min="1" max="1" width="5.140625" style="155" customWidth="1"/>
    <col min="2" max="4" width="11.42578125" style="155"/>
    <col min="5" max="5" width="20.85546875" style="155" customWidth="1"/>
    <col min="6" max="6" width="24.85546875" style="155" customWidth="1"/>
    <col min="7" max="8" width="11.42578125" style="155"/>
    <col min="9" max="9" width="6" style="155" bestFit="1" customWidth="1"/>
    <col min="10" max="10" width="15.5703125" style="155" bestFit="1" customWidth="1"/>
    <col min="11" max="11" width="11.42578125" style="155"/>
    <col min="12" max="12" width="23.7109375" style="155" bestFit="1" customWidth="1"/>
    <col min="13" max="260" width="11.42578125" style="155"/>
    <col min="261" max="261" width="20.85546875" style="155" customWidth="1"/>
    <col min="262" max="262" width="24.85546875" style="155" customWidth="1"/>
    <col min="263" max="264" width="11.42578125" style="155"/>
    <col min="265" max="265" width="6" style="155" bestFit="1" customWidth="1"/>
    <col min="266" max="266" width="15.5703125" style="155" bestFit="1" customWidth="1"/>
    <col min="267" max="267" width="11.42578125" style="155"/>
    <col min="268" max="268" width="14.140625" style="155" customWidth="1"/>
    <col min="269" max="516" width="11.42578125" style="155"/>
    <col min="517" max="517" width="20.85546875" style="155" customWidth="1"/>
    <col min="518" max="518" width="24.85546875" style="155" customWidth="1"/>
    <col min="519" max="520" width="11.42578125" style="155"/>
    <col min="521" max="521" width="6" style="155" bestFit="1" customWidth="1"/>
    <col min="522" max="522" width="15.5703125" style="155" bestFit="1" customWidth="1"/>
    <col min="523" max="523" width="11.42578125" style="155"/>
    <col min="524" max="524" width="14.140625" style="155" customWidth="1"/>
    <col min="525" max="772" width="11.42578125" style="155"/>
    <col min="773" max="773" width="20.85546875" style="155" customWidth="1"/>
    <col min="774" max="774" width="24.85546875" style="155" customWidth="1"/>
    <col min="775" max="776" width="11.42578125" style="155"/>
    <col min="777" max="777" width="6" style="155" bestFit="1" customWidth="1"/>
    <col min="778" max="778" width="15.5703125" style="155" bestFit="1" customWidth="1"/>
    <col min="779" max="779" width="11.42578125" style="155"/>
    <col min="780" max="780" width="14.140625" style="155" customWidth="1"/>
    <col min="781" max="1028" width="11.42578125" style="155"/>
    <col min="1029" max="1029" width="20.85546875" style="155" customWidth="1"/>
    <col min="1030" max="1030" width="24.85546875" style="155" customWidth="1"/>
    <col min="1031" max="1032" width="11.42578125" style="155"/>
    <col min="1033" max="1033" width="6" style="155" bestFit="1" customWidth="1"/>
    <col min="1034" max="1034" width="15.5703125" style="155" bestFit="1" customWidth="1"/>
    <col min="1035" max="1035" width="11.42578125" style="155"/>
    <col min="1036" max="1036" width="14.140625" style="155" customWidth="1"/>
    <col min="1037" max="1284" width="11.42578125" style="155"/>
    <col min="1285" max="1285" width="20.85546875" style="155" customWidth="1"/>
    <col min="1286" max="1286" width="24.85546875" style="155" customWidth="1"/>
    <col min="1287" max="1288" width="11.42578125" style="155"/>
    <col min="1289" max="1289" width="6" style="155" bestFit="1" customWidth="1"/>
    <col min="1290" max="1290" width="15.5703125" style="155" bestFit="1" customWidth="1"/>
    <col min="1291" max="1291" width="11.42578125" style="155"/>
    <col min="1292" max="1292" width="14.140625" style="155" customWidth="1"/>
    <col min="1293" max="1540" width="11.42578125" style="155"/>
    <col min="1541" max="1541" width="20.85546875" style="155" customWidth="1"/>
    <col min="1542" max="1542" width="24.85546875" style="155" customWidth="1"/>
    <col min="1543" max="1544" width="11.42578125" style="155"/>
    <col min="1545" max="1545" width="6" style="155" bestFit="1" customWidth="1"/>
    <col min="1546" max="1546" width="15.5703125" style="155" bestFit="1" customWidth="1"/>
    <col min="1547" max="1547" width="11.42578125" style="155"/>
    <col min="1548" max="1548" width="14.140625" style="155" customWidth="1"/>
    <col min="1549" max="1796" width="11.42578125" style="155"/>
    <col min="1797" max="1797" width="20.85546875" style="155" customWidth="1"/>
    <col min="1798" max="1798" width="24.85546875" style="155" customWidth="1"/>
    <col min="1799" max="1800" width="11.42578125" style="155"/>
    <col min="1801" max="1801" width="6" style="155" bestFit="1" customWidth="1"/>
    <col min="1802" max="1802" width="15.5703125" style="155" bestFit="1" customWidth="1"/>
    <col min="1803" max="1803" width="11.42578125" style="155"/>
    <col min="1804" max="1804" width="14.140625" style="155" customWidth="1"/>
    <col min="1805" max="2052" width="11.42578125" style="155"/>
    <col min="2053" max="2053" width="20.85546875" style="155" customWidth="1"/>
    <col min="2054" max="2054" width="24.85546875" style="155" customWidth="1"/>
    <col min="2055" max="2056" width="11.42578125" style="155"/>
    <col min="2057" max="2057" width="6" style="155" bestFit="1" customWidth="1"/>
    <col min="2058" max="2058" width="15.5703125" style="155" bestFit="1" customWidth="1"/>
    <col min="2059" max="2059" width="11.42578125" style="155"/>
    <col min="2060" max="2060" width="14.140625" style="155" customWidth="1"/>
    <col min="2061" max="2308" width="11.42578125" style="155"/>
    <col min="2309" max="2309" width="20.85546875" style="155" customWidth="1"/>
    <col min="2310" max="2310" width="24.85546875" style="155" customWidth="1"/>
    <col min="2311" max="2312" width="11.42578125" style="155"/>
    <col min="2313" max="2313" width="6" style="155" bestFit="1" customWidth="1"/>
    <col min="2314" max="2314" width="15.5703125" style="155" bestFit="1" customWidth="1"/>
    <col min="2315" max="2315" width="11.42578125" style="155"/>
    <col min="2316" max="2316" width="14.140625" style="155" customWidth="1"/>
    <col min="2317" max="2564" width="11.42578125" style="155"/>
    <col min="2565" max="2565" width="20.85546875" style="155" customWidth="1"/>
    <col min="2566" max="2566" width="24.85546875" style="155" customWidth="1"/>
    <col min="2567" max="2568" width="11.42578125" style="155"/>
    <col min="2569" max="2569" width="6" style="155" bestFit="1" customWidth="1"/>
    <col min="2570" max="2570" width="15.5703125" style="155" bestFit="1" customWidth="1"/>
    <col min="2571" max="2571" width="11.42578125" style="155"/>
    <col min="2572" max="2572" width="14.140625" style="155" customWidth="1"/>
    <col min="2573" max="2820" width="11.42578125" style="155"/>
    <col min="2821" max="2821" width="20.85546875" style="155" customWidth="1"/>
    <col min="2822" max="2822" width="24.85546875" style="155" customWidth="1"/>
    <col min="2823" max="2824" width="11.42578125" style="155"/>
    <col min="2825" max="2825" width="6" style="155" bestFit="1" customWidth="1"/>
    <col min="2826" max="2826" width="15.5703125" style="155" bestFit="1" customWidth="1"/>
    <col min="2827" max="2827" width="11.42578125" style="155"/>
    <col min="2828" max="2828" width="14.140625" style="155" customWidth="1"/>
    <col min="2829" max="3076" width="11.42578125" style="155"/>
    <col min="3077" max="3077" width="20.85546875" style="155" customWidth="1"/>
    <col min="3078" max="3078" width="24.85546875" style="155" customWidth="1"/>
    <col min="3079" max="3080" width="11.42578125" style="155"/>
    <col min="3081" max="3081" width="6" style="155" bestFit="1" customWidth="1"/>
    <col min="3082" max="3082" width="15.5703125" style="155" bestFit="1" customWidth="1"/>
    <col min="3083" max="3083" width="11.42578125" style="155"/>
    <col min="3084" max="3084" width="14.140625" style="155" customWidth="1"/>
    <col min="3085" max="3332" width="11.42578125" style="155"/>
    <col min="3333" max="3333" width="20.85546875" style="155" customWidth="1"/>
    <col min="3334" max="3334" width="24.85546875" style="155" customWidth="1"/>
    <col min="3335" max="3336" width="11.42578125" style="155"/>
    <col min="3337" max="3337" width="6" style="155" bestFit="1" customWidth="1"/>
    <col min="3338" max="3338" width="15.5703125" style="155" bestFit="1" customWidth="1"/>
    <col min="3339" max="3339" width="11.42578125" style="155"/>
    <col min="3340" max="3340" width="14.140625" style="155" customWidth="1"/>
    <col min="3341" max="3588" width="11.42578125" style="155"/>
    <col min="3589" max="3589" width="20.85546875" style="155" customWidth="1"/>
    <col min="3590" max="3590" width="24.85546875" style="155" customWidth="1"/>
    <col min="3591" max="3592" width="11.42578125" style="155"/>
    <col min="3593" max="3593" width="6" style="155" bestFit="1" customWidth="1"/>
    <col min="3594" max="3594" width="15.5703125" style="155" bestFit="1" customWidth="1"/>
    <col min="3595" max="3595" width="11.42578125" style="155"/>
    <col min="3596" max="3596" width="14.140625" style="155" customWidth="1"/>
    <col min="3597" max="3844" width="11.42578125" style="155"/>
    <col min="3845" max="3845" width="20.85546875" style="155" customWidth="1"/>
    <col min="3846" max="3846" width="24.85546875" style="155" customWidth="1"/>
    <col min="3847" max="3848" width="11.42578125" style="155"/>
    <col min="3849" max="3849" width="6" style="155" bestFit="1" customWidth="1"/>
    <col min="3850" max="3850" width="15.5703125" style="155" bestFit="1" customWidth="1"/>
    <col min="3851" max="3851" width="11.42578125" style="155"/>
    <col min="3852" max="3852" width="14.140625" style="155" customWidth="1"/>
    <col min="3853" max="4100" width="11.42578125" style="155"/>
    <col min="4101" max="4101" width="20.85546875" style="155" customWidth="1"/>
    <col min="4102" max="4102" width="24.85546875" style="155" customWidth="1"/>
    <col min="4103" max="4104" width="11.42578125" style="155"/>
    <col min="4105" max="4105" width="6" style="155" bestFit="1" customWidth="1"/>
    <col min="4106" max="4106" width="15.5703125" style="155" bestFit="1" customWidth="1"/>
    <col min="4107" max="4107" width="11.42578125" style="155"/>
    <col min="4108" max="4108" width="14.140625" style="155" customWidth="1"/>
    <col min="4109" max="4356" width="11.42578125" style="155"/>
    <col min="4357" max="4357" width="20.85546875" style="155" customWidth="1"/>
    <col min="4358" max="4358" width="24.85546875" style="155" customWidth="1"/>
    <col min="4359" max="4360" width="11.42578125" style="155"/>
    <col min="4361" max="4361" width="6" style="155" bestFit="1" customWidth="1"/>
    <col min="4362" max="4362" width="15.5703125" style="155" bestFit="1" customWidth="1"/>
    <col min="4363" max="4363" width="11.42578125" style="155"/>
    <col min="4364" max="4364" width="14.140625" style="155" customWidth="1"/>
    <col min="4365" max="4612" width="11.42578125" style="155"/>
    <col min="4613" max="4613" width="20.85546875" style="155" customWidth="1"/>
    <col min="4614" max="4614" width="24.85546875" style="155" customWidth="1"/>
    <col min="4615" max="4616" width="11.42578125" style="155"/>
    <col min="4617" max="4617" width="6" style="155" bestFit="1" customWidth="1"/>
    <col min="4618" max="4618" width="15.5703125" style="155" bestFit="1" customWidth="1"/>
    <col min="4619" max="4619" width="11.42578125" style="155"/>
    <col min="4620" max="4620" width="14.140625" style="155" customWidth="1"/>
    <col min="4621" max="4868" width="11.42578125" style="155"/>
    <col min="4869" max="4869" width="20.85546875" style="155" customWidth="1"/>
    <col min="4870" max="4870" width="24.85546875" style="155" customWidth="1"/>
    <col min="4871" max="4872" width="11.42578125" style="155"/>
    <col min="4873" max="4873" width="6" style="155" bestFit="1" customWidth="1"/>
    <col min="4874" max="4874" width="15.5703125" style="155" bestFit="1" customWidth="1"/>
    <col min="4875" max="4875" width="11.42578125" style="155"/>
    <col min="4876" max="4876" width="14.140625" style="155" customWidth="1"/>
    <col min="4877" max="5124" width="11.42578125" style="155"/>
    <col min="5125" max="5125" width="20.85546875" style="155" customWidth="1"/>
    <col min="5126" max="5126" width="24.85546875" style="155" customWidth="1"/>
    <col min="5127" max="5128" width="11.42578125" style="155"/>
    <col min="5129" max="5129" width="6" style="155" bestFit="1" customWidth="1"/>
    <col min="5130" max="5130" width="15.5703125" style="155" bestFit="1" customWidth="1"/>
    <col min="5131" max="5131" width="11.42578125" style="155"/>
    <col min="5132" max="5132" width="14.140625" style="155" customWidth="1"/>
    <col min="5133" max="5380" width="11.42578125" style="155"/>
    <col min="5381" max="5381" width="20.85546875" style="155" customWidth="1"/>
    <col min="5382" max="5382" width="24.85546875" style="155" customWidth="1"/>
    <col min="5383" max="5384" width="11.42578125" style="155"/>
    <col min="5385" max="5385" width="6" style="155" bestFit="1" customWidth="1"/>
    <col min="5386" max="5386" width="15.5703125" style="155" bestFit="1" customWidth="1"/>
    <col min="5387" max="5387" width="11.42578125" style="155"/>
    <col min="5388" max="5388" width="14.140625" style="155" customWidth="1"/>
    <col min="5389" max="5636" width="11.42578125" style="155"/>
    <col min="5637" max="5637" width="20.85546875" style="155" customWidth="1"/>
    <col min="5638" max="5638" width="24.85546875" style="155" customWidth="1"/>
    <col min="5639" max="5640" width="11.42578125" style="155"/>
    <col min="5641" max="5641" width="6" style="155" bestFit="1" customWidth="1"/>
    <col min="5642" max="5642" width="15.5703125" style="155" bestFit="1" customWidth="1"/>
    <col min="5643" max="5643" width="11.42578125" style="155"/>
    <col min="5644" max="5644" width="14.140625" style="155" customWidth="1"/>
    <col min="5645" max="5892" width="11.42578125" style="155"/>
    <col min="5893" max="5893" width="20.85546875" style="155" customWidth="1"/>
    <col min="5894" max="5894" width="24.85546875" style="155" customWidth="1"/>
    <col min="5895" max="5896" width="11.42578125" style="155"/>
    <col min="5897" max="5897" width="6" style="155" bestFit="1" customWidth="1"/>
    <col min="5898" max="5898" width="15.5703125" style="155" bestFit="1" customWidth="1"/>
    <col min="5899" max="5899" width="11.42578125" style="155"/>
    <col min="5900" max="5900" width="14.140625" style="155" customWidth="1"/>
    <col min="5901" max="6148" width="11.42578125" style="155"/>
    <col min="6149" max="6149" width="20.85546875" style="155" customWidth="1"/>
    <col min="6150" max="6150" width="24.85546875" style="155" customWidth="1"/>
    <col min="6151" max="6152" width="11.42578125" style="155"/>
    <col min="6153" max="6153" width="6" style="155" bestFit="1" customWidth="1"/>
    <col min="6154" max="6154" width="15.5703125" style="155" bestFit="1" customWidth="1"/>
    <col min="6155" max="6155" width="11.42578125" style="155"/>
    <col min="6156" max="6156" width="14.140625" style="155" customWidth="1"/>
    <col min="6157" max="6404" width="11.42578125" style="155"/>
    <col min="6405" max="6405" width="20.85546875" style="155" customWidth="1"/>
    <col min="6406" max="6406" width="24.85546875" style="155" customWidth="1"/>
    <col min="6407" max="6408" width="11.42578125" style="155"/>
    <col min="6409" max="6409" width="6" style="155" bestFit="1" customWidth="1"/>
    <col min="6410" max="6410" width="15.5703125" style="155" bestFit="1" customWidth="1"/>
    <col min="6411" max="6411" width="11.42578125" style="155"/>
    <col min="6412" max="6412" width="14.140625" style="155" customWidth="1"/>
    <col min="6413" max="6660" width="11.42578125" style="155"/>
    <col min="6661" max="6661" width="20.85546875" style="155" customWidth="1"/>
    <col min="6662" max="6662" width="24.85546875" style="155" customWidth="1"/>
    <col min="6663" max="6664" width="11.42578125" style="155"/>
    <col min="6665" max="6665" width="6" style="155" bestFit="1" customWidth="1"/>
    <col min="6666" max="6666" width="15.5703125" style="155" bestFit="1" customWidth="1"/>
    <col min="6667" max="6667" width="11.42578125" style="155"/>
    <col min="6668" max="6668" width="14.140625" style="155" customWidth="1"/>
    <col min="6669" max="6916" width="11.42578125" style="155"/>
    <col min="6917" max="6917" width="20.85546875" style="155" customWidth="1"/>
    <col min="6918" max="6918" width="24.85546875" style="155" customWidth="1"/>
    <col min="6919" max="6920" width="11.42578125" style="155"/>
    <col min="6921" max="6921" width="6" style="155" bestFit="1" customWidth="1"/>
    <col min="6922" max="6922" width="15.5703125" style="155" bestFit="1" customWidth="1"/>
    <col min="6923" max="6923" width="11.42578125" style="155"/>
    <col min="6924" max="6924" width="14.140625" style="155" customWidth="1"/>
    <col min="6925" max="7172" width="11.42578125" style="155"/>
    <col min="7173" max="7173" width="20.85546875" style="155" customWidth="1"/>
    <col min="7174" max="7174" width="24.85546875" style="155" customWidth="1"/>
    <col min="7175" max="7176" width="11.42578125" style="155"/>
    <col min="7177" max="7177" width="6" style="155" bestFit="1" customWidth="1"/>
    <col min="7178" max="7178" width="15.5703125" style="155" bestFit="1" customWidth="1"/>
    <col min="7179" max="7179" width="11.42578125" style="155"/>
    <col min="7180" max="7180" width="14.140625" style="155" customWidth="1"/>
    <col min="7181" max="7428" width="11.42578125" style="155"/>
    <col min="7429" max="7429" width="20.85546875" style="155" customWidth="1"/>
    <col min="7430" max="7430" width="24.85546875" style="155" customWidth="1"/>
    <col min="7431" max="7432" width="11.42578125" style="155"/>
    <col min="7433" max="7433" width="6" style="155" bestFit="1" customWidth="1"/>
    <col min="7434" max="7434" width="15.5703125" style="155" bestFit="1" customWidth="1"/>
    <col min="7435" max="7435" width="11.42578125" style="155"/>
    <col min="7436" max="7436" width="14.140625" style="155" customWidth="1"/>
    <col min="7437" max="7684" width="11.42578125" style="155"/>
    <col min="7685" max="7685" width="20.85546875" style="155" customWidth="1"/>
    <col min="7686" max="7686" width="24.85546875" style="155" customWidth="1"/>
    <col min="7687" max="7688" width="11.42578125" style="155"/>
    <col min="7689" max="7689" width="6" style="155" bestFit="1" customWidth="1"/>
    <col min="7690" max="7690" width="15.5703125" style="155" bestFit="1" customWidth="1"/>
    <col min="7691" max="7691" width="11.42578125" style="155"/>
    <col min="7692" max="7692" width="14.140625" style="155" customWidth="1"/>
    <col min="7693" max="7940" width="11.42578125" style="155"/>
    <col min="7941" max="7941" width="20.85546875" style="155" customWidth="1"/>
    <col min="7942" max="7942" width="24.85546875" style="155" customWidth="1"/>
    <col min="7943" max="7944" width="11.42578125" style="155"/>
    <col min="7945" max="7945" width="6" style="155" bestFit="1" customWidth="1"/>
    <col min="7946" max="7946" width="15.5703125" style="155" bestFit="1" customWidth="1"/>
    <col min="7947" max="7947" width="11.42578125" style="155"/>
    <col min="7948" max="7948" width="14.140625" style="155" customWidth="1"/>
    <col min="7949" max="8196" width="11.42578125" style="155"/>
    <col min="8197" max="8197" width="20.85546875" style="155" customWidth="1"/>
    <col min="8198" max="8198" width="24.85546875" style="155" customWidth="1"/>
    <col min="8199" max="8200" width="11.42578125" style="155"/>
    <col min="8201" max="8201" width="6" style="155" bestFit="1" customWidth="1"/>
    <col min="8202" max="8202" width="15.5703125" style="155" bestFit="1" customWidth="1"/>
    <col min="8203" max="8203" width="11.42578125" style="155"/>
    <col min="8204" max="8204" width="14.140625" style="155" customWidth="1"/>
    <col min="8205" max="8452" width="11.42578125" style="155"/>
    <col min="8453" max="8453" width="20.85546875" style="155" customWidth="1"/>
    <col min="8454" max="8454" width="24.85546875" style="155" customWidth="1"/>
    <col min="8455" max="8456" width="11.42578125" style="155"/>
    <col min="8457" max="8457" width="6" style="155" bestFit="1" customWidth="1"/>
    <col min="8458" max="8458" width="15.5703125" style="155" bestFit="1" customWidth="1"/>
    <col min="8459" max="8459" width="11.42578125" style="155"/>
    <col min="8460" max="8460" width="14.140625" style="155" customWidth="1"/>
    <col min="8461" max="8708" width="11.42578125" style="155"/>
    <col min="8709" max="8709" width="20.85546875" style="155" customWidth="1"/>
    <col min="8710" max="8710" width="24.85546875" style="155" customWidth="1"/>
    <col min="8711" max="8712" width="11.42578125" style="155"/>
    <col min="8713" max="8713" width="6" style="155" bestFit="1" customWidth="1"/>
    <col min="8714" max="8714" width="15.5703125" style="155" bestFit="1" customWidth="1"/>
    <col min="8715" max="8715" width="11.42578125" style="155"/>
    <col min="8716" max="8716" width="14.140625" style="155" customWidth="1"/>
    <col min="8717" max="8964" width="11.42578125" style="155"/>
    <col min="8965" max="8965" width="20.85546875" style="155" customWidth="1"/>
    <col min="8966" max="8966" width="24.85546875" style="155" customWidth="1"/>
    <col min="8967" max="8968" width="11.42578125" style="155"/>
    <col min="8969" max="8969" width="6" style="155" bestFit="1" customWidth="1"/>
    <col min="8970" max="8970" width="15.5703125" style="155" bestFit="1" customWidth="1"/>
    <col min="8971" max="8971" width="11.42578125" style="155"/>
    <col min="8972" max="8972" width="14.140625" style="155" customWidth="1"/>
    <col min="8973" max="9220" width="11.42578125" style="155"/>
    <col min="9221" max="9221" width="20.85546875" style="155" customWidth="1"/>
    <col min="9222" max="9222" width="24.85546875" style="155" customWidth="1"/>
    <col min="9223" max="9224" width="11.42578125" style="155"/>
    <col min="9225" max="9225" width="6" style="155" bestFit="1" customWidth="1"/>
    <col min="9226" max="9226" width="15.5703125" style="155" bestFit="1" customWidth="1"/>
    <col min="9227" max="9227" width="11.42578125" style="155"/>
    <col min="9228" max="9228" width="14.140625" style="155" customWidth="1"/>
    <col min="9229" max="9476" width="11.42578125" style="155"/>
    <col min="9477" max="9477" width="20.85546875" style="155" customWidth="1"/>
    <col min="9478" max="9478" width="24.85546875" style="155" customWidth="1"/>
    <col min="9479" max="9480" width="11.42578125" style="155"/>
    <col min="9481" max="9481" width="6" style="155" bestFit="1" customWidth="1"/>
    <col min="9482" max="9482" width="15.5703125" style="155" bestFit="1" customWidth="1"/>
    <col min="9483" max="9483" width="11.42578125" style="155"/>
    <col min="9484" max="9484" width="14.140625" style="155" customWidth="1"/>
    <col min="9485" max="9732" width="11.42578125" style="155"/>
    <col min="9733" max="9733" width="20.85546875" style="155" customWidth="1"/>
    <col min="9734" max="9734" width="24.85546875" style="155" customWidth="1"/>
    <col min="9735" max="9736" width="11.42578125" style="155"/>
    <col min="9737" max="9737" width="6" style="155" bestFit="1" customWidth="1"/>
    <col min="9738" max="9738" width="15.5703125" style="155" bestFit="1" customWidth="1"/>
    <col min="9739" max="9739" width="11.42578125" style="155"/>
    <col min="9740" max="9740" width="14.140625" style="155" customWidth="1"/>
    <col min="9741" max="9988" width="11.42578125" style="155"/>
    <col min="9989" max="9989" width="20.85546875" style="155" customWidth="1"/>
    <col min="9990" max="9990" width="24.85546875" style="155" customWidth="1"/>
    <col min="9991" max="9992" width="11.42578125" style="155"/>
    <col min="9993" max="9993" width="6" style="155" bestFit="1" customWidth="1"/>
    <col min="9994" max="9994" width="15.5703125" style="155" bestFit="1" customWidth="1"/>
    <col min="9995" max="9995" width="11.42578125" style="155"/>
    <col min="9996" max="9996" width="14.140625" style="155" customWidth="1"/>
    <col min="9997" max="10244" width="11.42578125" style="155"/>
    <col min="10245" max="10245" width="20.85546875" style="155" customWidth="1"/>
    <col min="10246" max="10246" width="24.85546875" style="155" customWidth="1"/>
    <col min="10247" max="10248" width="11.42578125" style="155"/>
    <col min="10249" max="10249" width="6" style="155" bestFit="1" customWidth="1"/>
    <col min="10250" max="10250" width="15.5703125" style="155" bestFit="1" customWidth="1"/>
    <col min="10251" max="10251" width="11.42578125" style="155"/>
    <col min="10252" max="10252" width="14.140625" style="155" customWidth="1"/>
    <col min="10253" max="10500" width="11.42578125" style="155"/>
    <col min="10501" max="10501" width="20.85546875" style="155" customWidth="1"/>
    <col min="10502" max="10502" width="24.85546875" style="155" customWidth="1"/>
    <col min="10503" max="10504" width="11.42578125" style="155"/>
    <col min="10505" max="10505" width="6" style="155" bestFit="1" customWidth="1"/>
    <col min="10506" max="10506" width="15.5703125" style="155" bestFit="1" customWidth="1"/>
    <col min="10507" max="10507" width="11.42578125" style="155"/>
    <col min="10508" max="10508" width="14.140625" style="155" customWidth="1"/>
    <col min="10509" max="10756" width="11.42578125" style="155"/>
    <col min="10757" max="10757" width="20.85546875" style="155" customWidth="1"/>
    <col min="10758" max="10758" width="24.85546875" style="155" customWidth="1"/>
    <col min="10759" max="10760" width="11.42578125" style="155"/>
    <col min="10761" max="10761" width="6" style="155" bestFit="1" customWidth="1"/>
    <col min="10762" max="10762" width="15.5703125" style="155" bestFit="1" customWidth="1"/>
    <col min="10763" max="10763" width="11.42578125" style="155"/>
    <col min="10764" max="10764" width="14.140625" style="155" customWidth="1"/>
    <col min="10765" max="11012" width="11.42578125" style="155"/>
    <col min="11013" max="11013" width="20.85546875" style="155" customWidth="1"/>
    <col min="11014" max="11014" width="24.85546875" style="155" customWidth="1"/>
    <col min="11015" max="11016" width="11.42578125" style="155"/>
    <col min="11017" max="11017" width="6" style="155" bestFit="1" customWidth="1"/>
    <col min="11018" max="11018" width="15.5703125" style="155" bestFit="1" customWidth="1"/>
    <col min="11019" max="11019" width="11.42578125" style="155"/>
    <col min="11020" max="11020" width="14.140625" style="155" customWidth="1"/>
    <col min="11021" max="11268" width="11.42578125" style="155"/>
    <col min="11269" max="11269" width="20.85546875" style="155" customWidth="1"/>
    <col min="11270" max="11270" width="24.85546875" style="155" customWidth="1"/>
    <col min="11271" max="11272" width="11.42578125" style="155"/>
    <col min="11273" max="11273" width="6" style="155" bestFit="1" customWidth="1"/>
    <col min="11274" max="11274" width="15.5703125" style="155" bestFit="1" customWidth="1"/>
    <col min="11275" max="11275" width="11.42578125" style="155"/>
    <col min="11276" max="11276" width="14.140625" style="155" customWidth="1"/>
    <col min="11277" max="11524" width="11.42578125" style="155"/>
    <col min="11525" max="11525" width="20.85546875" style="155" customWidth="1"/>
    <col min="11526" max="11526" width="24.85546875" style="155" customWidth="1"/>
    <col min="11527" max="11528" width="11.42578125" style="155"/>
    <col min="11529" max="11529" width="6" style="155" bestFit="1" customWidth="1"/>
    <col min="11530" max="11530" width="15.5703125" style="155" bestFit="1" customWidth="1"/>
    <col min="11531" max="11531" width="11.42578125" style="155"/>
    <col min="11532" max="11532" width="14.140625" style="155" customWidth="1"/>
    <col min="11533" max="11780" width="11.42578125" style="155"/>
    <col min="11781" max="11781" width="20.85546875" style="155" customWidth="1"/>
    <col min="11782" max="11782" width="24.85546875" style="155" customWidth="1"/>
    <col min="11783" max="11784" width="11.42578125" style="155"/>
    <col min="11785" max="11785" width="6" style="155" bestFit="1" customWidth="1"/>
    <col min="11786" max="11786" width="15.5703125" style="155" bestFit="1" customWidth="1"/>
    <col min="11787" max="11787" width="11.42578125" style="155"/>
    <col min="11788" max="11788" width="14.140625" style="155" customWidth="1"/>
    <col min="11789" max="12036" width="11.42578125" style="155"/>
    <col min="12037" max="12037" width="20.85546875" style="155" customWidth="1"/>
    <col min="12038" max="12038" width="24.85546875" style="155" customWidth="1"/>
    <col min="12039" max="12040" width="11.42578125" style="155"/>
    <col min="12041" max="12041" width="6" style="155" bestFit="1" customWidth="1"/>
    <col min="12042" max="12042" width="15.5703125" style="155" bestFit="1" customWidth="1"/>
    <col min="12043" max="12043" width="11.42578125" style="155"/>
    <col min="12044" max="12044" width="14.140625" style="155" customWidth="1"/>
    <col min="12045" max="12292" width="11.42578125" style="155"/>
    <col min="12293" max="12293" width="20.85546875" style="155" customWidth="1"/>
    <col min="12294" max="12294" width="24.85546875" style="155" customWidth="1"/>
    <col min="12295" max="12296" width="11.42578125" style="155"/>
    <col min="12297" max="12297" width="6" style="155" bestFit="1" customWidth="1"/>
    <col min="12298" max="12298" width="15.5703125" style="155" bestFit="1" customWidth="1"/>
    <col min="12299" max="12299" width="11.42578125" style="155"/>
    <col min="12300" max="12300" width="14.140625" style="155" customWidth="1"/>
    <col min="12301" max="12548" width="11.42578125" style="155"/>
    <col min="12549" max="12549" width="20.85546875" style="155" customWidth="1"/>
    <col min="12550" max="12550" width="24.85546875" style="155" customWidth="1"/>
    <col min="12551" max="12552" width="11.42578125" style="155"/>
    <col min="12553" max="12553" width="6" style="155" bestFit="1" customWidth="1"/>
    <col min="12554" max="12554" width="15.5703125" style="155" bestFit="1" customWidth="1"/>
    <col min="12555" max="12555" width="11.42578125" style="155"/>
    <col min="12556" max="12556" width="14.140625" style="155" customWidth="1"/>
    <col min="12557" max="12804" width="11.42578125" style="155"/>
    <col min="12805" max="12805" width="20.85546875" style="155" customWidth="1"/>
    <col min="12806" max="12806" width="24.85546875" style="155" customWidth="1"/>
    <col min="12807" max="12808" width="11.42578125" style="155"/>
    <col min="12809" max="12809" width="6" style="155" bestFit="1" customWidth="1"/>
    <col min="12810" max="12810" width="15.5703125" style="155" bestFit="1" customWidth="1"/>
    <col min="12811" max="12811" width="11.42578125" style="155"/>
    <col min="12812" max="12812" width="14.140625" style="155" customWidth="1"/>
    <col min="12813" max="13060" width="11.42578125" style="155"/>
    <col min="13061" max="13061" width="20.85546875" style="155" customWidth="1"/>
    <col min="13062" max="13062" width="24.85546875" style="155" customWidth="1"/>
    <col min="13063" max="13064" width="11.42578125" style="155"/>
    <col min="13065" max="13065" width="6" style="155" bestFit="1" customWidth="1"/>
    <col min="13066" max="13066" width="15.5703125" style="155" bestFit="1" customWidth="1"/>
    <col min="13067" max="13067" width="11.42578125" style="155"/>
    <col min="13068" max="13068" width="14.140625" style="155" customWidth="1"/>
    <col min="13069" max="13316" width="11.42578125" style="155"/>
    <col min="13317" max="13317" width="20.85546875" style="155" customWidth="1"/>
    <col min="13318" max="13318" width="24.85546875" style="155" customWidth="1"/>
    <col min="13319" max="13320" width="11.42578125" style="155"/>
    <col min="13321" max="13321" width="6" style="155" bestFit="1" customWidth="1"/>
    <col min="13322" max="13322" width="15.5703125" style="155" bestFit="1" customWidth="1"/>
    <col min="13323" max="13323" width="11.42578125" style="155"/>
    <col min="13324" max="13324" width="14.140625" style="155" customWidth="1"/>
    <col min="13325" max="13572" width="11.42578125" style="155"/>
    <col min="13573" max="13573" width="20.85546875" style="155" customWidth="1"/>
    <col min="13574" max="13574" width="24.85546875" style="155" customWidth="1"/>
    <col min="13575" max="13576" width="11.42578125" style="155"/>
    <col min="13577" max="13577" width="6" style="155" bestFit="1" customWidth="1"/>
    <col min="13578" max="13578" width="15.5703125" style="155" bestFit="1" customWidth="1"/>
    <col min="13579" max="13579" width="11.42578125" style="155"/>
    <col min="13580" max="13580" width="14.140625" style="155" customWidth="1"/>
    <col min="13581" max="13828" width="11.42578125" style="155"/>
    <col min="13829" max="13829" width="20.85546875" style="155" customWidth="1"/>
    <col min="13830" max="13830" width="24.85546875" style="155" customWidth="1"/>
    <col min="13831" max="13832" width="11.42578125" style="155"/>
    <col min="13833" max="13833" width="6" style="155" bestFit="1" customWidth="1"/>
    <col min="13834" max="13834" width="15.5703125" style="155" bestFit="1" customWidth="1"/>
    <col min="13835" max="13835" width="11.42578125" style="155"/>
    <col min="13836" max="13836" width="14.140625" style="155" customWidth="1"/>
    <col min="13837" max="14084" width="11.42578125" style="155"/>
    <col min="14085" max="14085" width="20.85546875" style="155" customWidth="1"/>
    <col min="14086" max="14086" width="24.85546875" style="155" customWidth="1"/>
    <col min="14087" max="14088" width="11.42578125" style="155"/>
    <col min="14089" max="14089" width="6" style="155" bestFit="1" customWidth="1"/>
    <col min="14090" max="14090" width="15.5703125" style="155" bestFit="1" customWidth="1"/>
    <col min="14091" max="14091" width="11.42578125" style="155"/>
    <col min="14092" max="14092" width="14.140625" style="155" customWidth="1"/>
    <col min="14093" max="14340" width="11.42578125" style="155"/>
    <col min="14341" max="14341" width="20.85546875" style="155" customWidth="1"/>
    <col min="14342" max="14342" width="24.85546875" style="155" customWidth="1"/>
    <col min="14343" max="14344" width="11.42578125" style="155"/>
    <col min="14345" max="14345" width="6" style="155" bestFit="1" customWidth="1"/>
    <col min="14346" max="14346" width="15.5703125" style="155" bestFit="1" customWidth="1"/>
    <col min="14347" max="14347" width="11.42578125" style="155"/>
    <col min="14348" max="14348" width="14.140625" style="155" customWidth="1"/>
    <col min="14349" max="14596" width="11.42578125" style="155"/>
    <col min="14597" max="14597" width="20.85546875" style="155" customWidth="1"/>
    <col min="14598" max="14598" width="24.85546875" style="155" customWidth="1"/>
    <col min="14599" max="14600" width="11.42578125" style="155"/>
    <col min="14601" max="14601" width="6" style="155" bestFit="1" customWidth="1"/>
    <col min="14602" max="14602" width="15.5703125" style="155" bestFit="1" customWidth="1"/>
    <col min="14603" max="14603" width="11.42578125" style="155"/>
    <col min="14604" max="14604" width="14.140625" style="155" customWidth="1"/>
    <col min="14605" max="14852" width="11.42578125" style="155"/>
    <col min="14853" max="14853" width="20.85546875" style="155" customWidth="1"/>
    <col min="14854" max="14854" width="24.85546875" style="155" customWidth="1"/>
    <col min="14855" max="14856" width="11.42578125" style="155"/>
    <col min="14857" max="14857" width="6" style="155" bestFit="1" customWidth="1"/>
    <col min="14858" max="14858" width="15.5703125" style="155" bestFit="1" customWidth="1"/>
    <col min="14859" max="14859" width="11.42578125" style="155"/>
    <col min="14860" max="14860" width="14.140625" style="155" customWidth="1"/>
    <col min="14861" max="15108" width="11.42578125" style="155"/>
    <col min="15109" max="15109" width="20.85546875" style="155" customWidth="1"/>
    <col min="15110" max="15110" width="24.85546875" style="155" customWidth="1"/>
    <col min="15111" max="15112" width="11.42578125" style="155"/>
    <col min="15113" max="15113" width="6" style="155" bestFit="1" customWidth="1"/>
    <col min="15114" max="15114" width="15.5703125" style="155" bestFit="1" customWidth="1"/>
    <col min="15115" max="15115" width="11.42578125" style="155"/>
    <col min="15116" max="15116" width="14.140625" style="155" customWidth="1"/>
    <col min="15117" max="15364" width="11.42578125" style="155"/>
    <col min="15365" max="15365" width="20.85546875" style="155" customWidth="1"/>
    <col min="15366" max="15366" width="24.85546875" style="155" customWidth="1"/>
    <col min="15367" max="15368" width="11.42578125" style="155"/>
    <col min="15369" max="15369" width="6" style="155" bestFit="1" customWidth="1"/>
    <col min="15370" max="15370" width="15.5703125" style="155" bestFit="1" customWidth="1"/>
    <col min="15371" max="15371" width="11.42578125" style="155"/>
    <col min="15372" max="15372" width="14.140625" style="155" customWidth="1"/>
    <col min="15373" max="15620" width="11.42578125" style="155"/>
    <col min="15621" max="15621" width="20.85546875" style="155" customWidth="1"/>
    <col min="15622" max="15622" width="24.85546875" style="155" customWidth="1"/>
    <col min="15623" max="15624" width="11.42578125" style="155"/>
    <col min="15625" max="15625" width="6" style="155" bestFit="1" customWidth="1"/>
    <col min="15626" max="15626" width="15.5703125" style="155" bestFit="1" customWidth="1"/>
    <col min="15627" max="15627" width="11.42578125" style="155"/>
    <col min="15628" max="15628" width="14.140625" style="155" customWidth="1"/>
    <col min="15629" max="15876" width="11.42578125" style="155"/>
    <col min="15877" max="15877" width="20.85546875" style="155" customWidth="1"/>
    <col min="15878" max="15878" width="24.85546875" style="155" customWidth="1"/>
    <col min="15879" max="15880" width="11.42578125" style="155"/>
    <col min="15881" max="15881" width="6" style="155" bestFit="1" customWidth="1"/>
    <col min="15882" max="15882" width="15.5703125" style="155" bestFit="1" customWidth="1"/>
    <col min="15883" max="15883" width="11.42578125" style="155"/>
    <col min="15884" max="15884" width="14.140625" style="155" customWidth="1"/>
    <col min="15885" max="16132" width="11.42578125" style="155"/>
    <col min="16133" max="16133" width="20.85546875" style="155" customWidth="1"/>
    <col min="16134" max="16134" width="24.85546875" style="155" customWidth="1"/>
    <col min="16135" max="16136" width="11.42578125" style="155"/>
    <col min="16137" max="16137" width="6" style="155" bestFit="1" customWidth="1"/>
    <col min="16138" max="16138" width="15.5703125" style="155" bestFit="1" customWidth="1"/>
    <col min="16139" max="16139" width="11.42578125" style="155"/>
    <col min="16140" max="16140" width="14.140625" style="155" customWidth="1"/>
    <col min="16141" max="16384" width="11.42578125" style="155"/>
  </cols>
  <sheetData>
    <row r="2" spans="2:13" x14ac:dyDescent="0.2">
      <c r="B2" s="413" t="s">
        <v>306</v>
      </c>
      <c r="C2" s="414"/>
      <c r="D2" s="414"/>
      <c r="E2" s="414"/>
      <c r="F2" s="414"/>
      <c r="G2" s="414"/>
      <c r="H2" s="414"/>
      <c r="I2" s="414"/>
      <c r="J2" s="414"/>
      <c r="K2" s="414"/>
      <c r="L2" s="414"/>
      <c r="M2" s="415"/>
    </row>
    <row r="3" spans="2:13" x14ac:dyDescent="0.2">
      <c r="B3" s="416"/>
      <c r="C3" s="417"/>
      <c r="D3" s="417"/>
      <c r="E3" s="417"/>
      <c r="F3" s="417"/>
      <c r="G3" s="417"/>
      <c r="H3" s="417"/>
      <c r="I3" s="417"/>
      <c r="J3" s="417"/>
      <c r="K3" s="417"/>
      <c r="L3" s="417"/>
      <c r="M3" s="418"/>
    </row>
    <row r="4" spans="2:13" x14ac:dyDescent="0.2">
      <c r="B4" s="416"/>
      <c r="C4" s="417"/>
      <c r="D4" s="417"/>
      <c r="E4" s="417"/>
      <c r="F4" s="417"/>
      <c r="G4" s="417"/>
      <c r="H4" s="417"/>
      <c r="I4" s="417"/>
      <c r="J4" s="417"/>
      <c r="K4" s="417"/>
      <c r="L4" s="417"/>
      <c r="M4" s="418"/>
    </row>
    <row r="5" spans="2:13" x14ac:dyDescent="0.2">
      <c r="B5" s="416"/>
      <c r="C5" s="417"/>
      <c r="D5" s="417"/>
      <c r="E5" s="417"/>
      <c r="F5" s="417"/>
      <c r="G5" s="417"/>
      <c r="H5" s="417"/>
      <c r="I5" s="417"/>
      <c r="J5" s="417"/>
      <c r="K5" s="417"/>
      <c r="L5" s="417"/>
      <c r="M5" s="418"/>
    </row>
    <row r="6" spans="2:13" x14ac:dyDescent="0.2">
      <c r="B6" s="416"/>
      <c r="C6" s="417"/>
      <c r="D6" s="417"/>
      <c r="E6" s="417"/>
      <c r="F6" s="417"/>
      <c r="G6" s="417"/>
      <c r="H6" s="417"/>
      <c r="I6" s="417"/>
      <c r="J6" s="417"/>
      <c r="K6" s="417"/>
      <c r="L6" s="417"/>
      <c r="M6" s="418"/>
    </row>
    <row r="7" spans="2:13" x14ac:dyDescent="0.2">
      <c r="B7" s="416"/>
      <c r="C7" s="417"/>
      <c r="D7" s="417"/>
      <c r="E7" s="417"/>
      <c r="F7" s="417"/>
      <c r="G7" s="417"/>
      <c r="H7" s="417"/>
      <c r="I7" s="417"/>
      <c r="J7" s="417"/>
      <c r="K7" s="417"/>
      <c r="L7" s="417"/>
      <c r="M7" s="418"/>
    </row>
    <row r="8" spans="2:13" x14ac:dyDescent="0.2">
      <c r="B8" s="419"/>
      <c r="C8" s="420"/>
      <c r="D8" s="420"/>
      <c r="E8" s="420"/>
      <c r="F8" s="420"/>
      <c r="G8" s="420"/>
      <c r="H8" s="420"/>
      <c r="I8" s="420"/>
      <c r="J8" s="420"/>
      <c r="K8" s="420"/>
      <c r="L8" s="420"/>
      <c r="M8" s="421"/>
    </row>
    <row r="10" spans="2:13" ht="15.75" customHeight="1" thickBot="1" x14ac:dyDescent="0.25"/>
    <row r="11" spans="2:13" x14ac:dyDescent="0.2">
      <c r="B11" s="233" t="s">
        <v>299</v>
      </c>
      <c r="D11" s="227" t="s">
        <v>300</v>
      </c>
      <c r="E11" s="227" t="s">
        <v>214</v>
      </c>
      <c r="F11" s="229" t="s">
        <v>299</v>
      </c>
      <c r="G11" s="229"/>
      <c r="I11" s="422" t="s">
        <v>309</v>
      </c>
      <c r="J11" s="423"/>
      <c r="K11" s="177"/>
      <c r="L11" s="169" t="s">
        <v>308</v>
      </c>
      <c r="M11" s="177"/>
    </row>
    <row r="12" spans="2:13" x14ac:dyDescent="0.2">
      <c r="B12" s="234">
        <v>16.100000000000001</v>
      </c>
      <c r="D12" s="224">
        <v>14.9</v>
      </c>
      <c r="E12" s="224">
        <v>1</v>
      </c>
      <c r="F12" s="224"/>
      <c r="G12" s="224"/>
      <c r="I12" s="238" t="s">
        <v>301</v>
      </c>
      <c r="J12" s="239">
        <f>(17-14)/(6*G17)</f>
        <v>1.1274227184484245</v>
      </c>
      <c r="K12" s="177"/>
      <c r="L12" s="209">
        <f>AVERAGE(B12:B111)-NORMSINV(1-0.05/2)*STDEVA(B12:B111)</f>
        <v>15.452776791850257</v>
      </c>
      <c r="M12" s="177"/>
    </row>
    <row r="13" spans="2:13" x14ac:dyDescent="0.2">
      <c r="B13" s="235">
        <v>16.2</v>
      </c>
      <c r="D13" s="224">
        <v>15.13</v>
      </c>
      <c r="E13" s="224">
        <v>1</v>
      </c>
      <c r="F13" s="224" t="s">
        <v>35</v>
      </c>
      <c r="G13" s="224">
        <v>16.322000000000003</v>
      </c>
      <c r="I13" s="240" t="s">
        <v>302</v>
      </c>
      <c r="J13" s="241">
        <f>MIN(17-G13,G13-14)/(3*G17)</f>
        <v>0.50959506873868587</v>
      </c>
      <c r="K13" s="177"/>
      <c r="L13" s="205">
        <f>AVERAGE(B12:B111)+NORMSINV(1-0.05/2)*STDEVA(B12:B111)</f>
        <v>17.191223208149751</v>
      </c>
      <c r="M13" s="177"/>
    </row>
    <row r="14" spans="2:13" x14ac:dyDescent="0.2">
      <c r="B14" s="235">
        <v>15.9</v>
      </c>
      <c r="D14" s="224">
        <v>15.36</v>
      </c>
      <c r="E14" s="224">
        <v>1</v>
      </c>
      <c r="F14" s="224" t="s">
        <v>36</v>
      </c>
      <c r="G14" s="224">
        <v>4.4348937786893923E-2</v>
      </c>
      <c r="I14" s="240" t="s">
        <v>303</v>
      </c>
      <c r="J14" s="241">
        <f>((17-14)/2)/(3*SQRT(G18+(G13-16)^2))</f>
        <v>0.91231332902335649</v>
      </c>
      <c r="K14" s="177"/>
      <c r="L14" s="177"/>
      <c r="M14" s="177"/>
    </row>
    <row r="15" spans="2:13" x14ac:dyDescent="0.2">
      <c r="B15" s="235">
        <v>16</v>
      </c>
      <c r="D15" s="224">
        <v>15.59</v>
      </c>
      <c r="E15" s="224">
        <v>1</v>
      </c>
      <c r="F15" s="224" t="s">
        <v>37</v>
      </c>
      <c r="G15" s="224">
        <v>16.2</v>
      </c>
      <c r="I15" s="242" t="s">
        <v>304</v>
      </c>
      <c r="J15" s="243">
        <f>1/J12</f>
        <v>0.88697875573787843</v>
      </c>
      <c r="K15" s="177"/>
      <c r="L15" s="177"/>
      <c r="M15" s="177"/>
    </row>
    <row r="16" spans="2:13" x14ac:dyDescent="0.2">
      <c r="B16" s="235">
        <v>16.100000000000001</v>
      </c>
      <c r="D16" s="224">
        <v>15.82</v>
      </c>
      <c r="E16" s="224">
        <v>6</v>
      </c>
      <c r="F16" s="224" t="s">
        <v>38</v>
      </c>
      <c r="G16" s="224">
        <v>16.100000000000001</v>
      </c>
    </row>
    <row r="17" spans="2:13" ht="12.75" customHeight="1" x14ac:dyDescent="0.2">
      <c r="B17" s="235">
        <v>16.2</v>
      </c>
      <c r="D17" s="224">
        <v>16.05</v>
      </c>
      <c r="E17" s="224">
        <v>7</v>
      </c>
      <c r="F17" s="224" t="s">
        <v>39</v>
      </c>
      <c r="G17" s="224">
        <v>0.44348937786893922</v>
      </c>
      <c r="I17" s="424" t="s">
        <v>307</v>
      </c>
      <c r="J17" s="425"/>
      <c r="K17" s="425"/>
      <c r="L17" s="425"/>
      <c r="M17" s="426"/>
    </row>
    <row r="18" spans="2:13" x14ac:dyDescent="0.2">
      <c r="B18" s="235">
        <v>16.399999999999999</v>
      </c>
      <c r="D18" s="224">
        <v>16.28</v>
      </c>
      <c r="E18" s="224">
        <v>36</v>
      </c>
      <c r="F18" s="224" t="s">
        <v>40</v>
      </c>
      <c r="G18" s="224">
        <v>0.19668282828257874</v>
      </c>
      <c r="I18" s="427"/>
      <c r="J18" s="428"/>
      <c r="K18" s="428"/>
      <c r="L18" s="428"/>
      <c r="M18" s="429"/>
    </row>
    <row r="19" spans="2:13" x14ac:dyDescent="0.2">
      <c r="B19" s="235">
        <v>15.8</v>
      </c>
      <c r="D19" s="224">
        <v>16.510000000000002</v>
      </c>
      <c r="E19" s="224">
        <v>20</v>
      </c>
      <c r="F19" s="230" t="s">
        <v>41</v>
      </c>
      <c r="G19" s="230">
        <v>0.8914159978172016</v>
      </c>
      <c r="I19" s="427"/>
      <c r="J19" s="428"/>
      <c r="K19" s="428"/>
      <c r="L19" s="428"/>
      <c r="M19" s="429"/>
    </row>
    <row r="20" spans="2:13" x14ac:dyDescent="0.2">
      <c r="B20" s="235">
        <v>16.100000000000001</v>
      </c>
      <c r="D20" s="224">
        <v>16.739999999999998</v>
      </c>
      <c r="E20" s="224">
        <v>6</v>
      </c>
      <c r="F20" s="230" t="s">
        <v>42</v>
      </c>
      <c r="G20" s="230">
        <v>-0.37696902502210078</v>
      </c>
      <c r="I20" s="427"/>
      <c r="J20" s="428"/>
      <c r="K20" s="428"/>
      <c r="L20" s="428"/>
      <c r="M20" s="429"/>
    </row>
    <row r="21" spans="2:13" x14ac:dyDescent="0.2">
      <c r="B21" s="235">
        <v>16.2</v>
      </c>
      <c r="D21" s="224">
        <v>16.97</v>
      </c>
      <c r="E21" s="224">
        <v>12</v>
      </c>
      <c r="F21" s="224" t="s">
        <v>43</v>
      </c>
      <c r="G21" s="224">
        <v>2.2999999999999998</v>
      </c>
      <c r="I21" s="427"/>
      <c r="J21" s="428"/>
      <c r="K21" s="428"/>
      <c r="L21" s="428"/>
      <c r="M21" s="429"/>
    </row>
    <row r="22" spans="2:13" ht="13.5" thickBot="1" x14ac:dyDescent="0.25">
      <c r="B22" s="235">
        <v>16</v>
      </c>
      <c r="D22" s="237" t="s">
        <v>305</v>
      </c>
      <c r="E22" s="231">
        <v>9</v>
      </c>
      <c r="F22" s="224" t="s">
        <v>44</v>
      </c>
      <c r="G22" s="224">
        <v>14.9</v>
      </c>
      <c r="I22" s="427"/>
      <c r="J22" s="428"/>
      <c r="K22" s="428"/>
      <c r="L22" s="428"/>
      <c r="M22" s="429"/>
    </row>
    <row r="23" spans="2:13" x14ac:dyDescent="0.2">
      <c r="B23" s="235">
        <v>16.100000000000001</v>
      </c>
      <c r="F23" s="224" t="s">
        <v>45</v>
      </c>
      <c r="G23" s="224">
        <v>17.2</v>
      </c>
      <c r="I23" s="427"/>
      <c r="J23" s="428"/>
      <c r="K23" s="428"/>
      <c r="L23" s="428"/>
      <c r="M23" s="429"/>
    </row>
    <row r="24" spans="2:13" x14ac:dyDescent="0.2">
      <c r="B24" s="235">
        <v>15.7</v>
      </c>
      <c r="F24" s="224" t="s">
        <v>46</v>
      </c>
      <c r="G24" s="224">
        <v>1632.2</v>
      </c>
      <c r="I24" s="427"/>
      <c r="J24" s="428"/>
      <c r="K24" s="428"/>
      <c r="L24" s="428"/>
      <c r="M24" s="429"/>
    </row>
    <row r="25" spans="2:13" x14ac:dyDescent="0.2">
      <c r="B25" s="235">
        <v>16.3</v>
      </c>
      <c r="F25" s="224" t="s">
        <v>47</v>
      </c>
      <c r="G25" s="224">
        <v>100</v>
      </c>
      <c r="I25" s="427"/>
      <c r="J25" s="428"/>
      <c r="K25" s="428"/>
      <c r="L25" s="428"/>
      <c r="M25" s="429"/>
    </row>
    <row r="26" spans="2:13" ht="13.5" thickBot="1" x14ac:dyDescent="0.25">
      <c r="B26" s="235">
        <v>16.100000000000001</v>
      </c>
      <c r="F26" s="232" t="s">
        <v>124</v>
      </c>
      <c r="G26" s="232">
        <v>8.7997929860223728E-2</v>
      </c>
      <c r="I26" s="430"/>
      <c r="J26" s="431"/>
      <c r="K26" s="431"/>
      <c r="L26" s="431"/>
      <c r="M26" s="432"/>
    </row>
    <row r="27" spans="2:13" x14ac:dyDescent="0.2">
      <c r="B27" s="235">
        <v>16.100000000000001</v>
      </c>
    </row>
    <row r="28" spans="2:13" x14ac:dyDescent="0.2">
      <c r="B28" s="235">
        <v>16.2</v>
      </c>
    </row>
    <row r="29" spans="2:13" x14ac:dyDescent="0.2">
      <c r="B29" s="235">
        <v>15.9</v>
      </c>
    </row>
    <row r="30" spans="2:13" x14ac:dyDescent="0.2">
      <c r="B30" s="235">
        <v>16.399999999999999</v>
      </c>
    </row>
    <row r="31" spans="2:13" x14ac:dyDescent="0.2">
      <c r="B31" s="235">
        <v>16.600000000000001</v>
      </c>
    </row>
    <row r="32" spans="2:13" x14ac:dyDescent="0.2">
      <c r="B32" s="235">
        <v>16.5</v>
      </c>
    </row>
    <row r="33" spans="2:2" x14ac:dyDescent="0.2">
      <c r="B33" s="235">
        <v>16.100000000000001</v>
      </c>
    </row>
    <row r="34" spans="2:2" x14ac:dyDescent="0.2">
      <c r="B34" s="235">
        <v>16.5</v>
      </c>
    </row>
    <row r="35" spans="2:2" x14ac:dyDescent="0.2">
      <c r="B35" s="235">
        <v>16.399999999999999</v>
      </c>
    </row>
    <row r="36" spans="2:2" x14ac:dyDescent="0.2">
      <c r="B36" s="235">
        <v>16.2</v>
      </c>
    </row>
    <row r="37" spans="2:2" x14ac:dyDescent="0.2">
      <c r="B37" s="235">
        <v>16.8</v>
      </c>
    </row>
    <row r="38" spans="2:2" x14ac:dyDescent="0.2">
      <c r="B38" s="235">
        <v>16.899999999999999</v>
      </c>
    </row>
    <row r="39" spans="2:2" x14ac:dyDescent="0.2">
      <c r="B39" s="235">
        <v>16.100000000000001</v>
      </c>
    </row>
    <row r="40" spans="2:2" x14ac:dyDescent="0.2">
      <c r="B40" s="235">
        <v>16.3</v>
      </c>
    </row>
    <row r="41" spans="2:2" x14ac:dyDescent="0.2">
      <c r="B41" s="235">
        <v>16.399999999999999</v>
      </c>
    </row>
    <row r="42" spans="2:2" x14ac:dyDescent="0.2">
      <c r="B42" s="235">
        <v>16.100000000000001</v>
      </c>
    </row>
    <row r="43" spans="2:2" x14ac:dyDescent="0.2">
      <c r="B43" s="235">
        <v>15.9</v>
      </c>
    </row>
    <row r="44" spans="2:2" x14ac:dyDescent="0.2">
      <c r="B44" s="235">
        <v>16.2</v>
      </c>
    </row>
    <row r="45" spans="2:2" x14ac:dyDescent="0.2">
      <c r="B45" s="235">
        <v>16.5</v>
      </c>
    </row>
    <row r="46" spans="2:2" x14ac:dyDescent="0.2">
      <c r="B46" s="235">
        <v>16.5</v>
      </c>
    </row>
    <row r="47" spans="2:2" x14ac:dyDescent="0.2">
      <c r="B47" s="235">
        <v>15.9</v>
      </c>
    </row>
    <row r="48" spans="2:2" x14ac:dyDescent="0.2">
      <c r="B48" s="235">
        <v>16.2</v>
      </c>
    </row>
    <row r="49" spans="2:2" x14ac:dyDescent="0.2">
      <c r="B49" s="235">
        <v>16.8</v>
      </c>
    </row>
    <row r="50" spans="2:2" x14ac:dyDescent="0.2">
      <c r="B50" s="235">
        <v>16.100000000000001</v>
      </c>
    </row>
    <row r="51" spans="2:2" x14ac:dyDescent="0.2">
      <c r="B51" s="235">
        <v>16.399999999999999</v>
      </c>
    </row>
    <row r="52" spans="2:2" x14ac:dyDescent="0.2">
      <c r="B52" s="235">
        <v>15.7</v>
      </c>
    </row>
    <row r="53" spans="2:2" x14ac:dyDescent="0.2">
      <c r="B53" s="235">
        <v>16.7</v>
      </c>
    </row>
    <row r="54" spans="2:2" x14ac:dyDescent="0.2">
      <c r="B54" s="235">
        <v>16.100000000000001</v>
      </c>
    </row>
    <row r="55" spans="2:2" x14ac:dyDescent="0.2">
      <c r="B55" s="235">
        <v>16.399999999999999</v>
      </c>
    </row>
    <row r="56" spans="2:2" x14ac:dyDescent="0.2">
      <c r="B56" s="235">
        <v>16.8</v>
      </c>
    </row>
    <row r="57" spans="2:2" x14ac:dyDescent="0.2">
      <c r="B57" s="235">
        <v>16.2</v>
      </c>
    </row>
    <row r="58" spans="2:2" x14ac:dyDescent="0.2">
      <c r="B58" s="235">
        <v>16.899999999999999</v>
      </c>
    </row>
    <row r="59" spans="2:2" x14ac:dyDescent="0.2">
      <c r="B59" s="235">
        <v>16.100000000000001</v>
      </c>
    </row>
    <row r="60" spans="2:2" x14ac:dyDescent="0.2">
      <c r="B60" s="235">
        <v>17</v>
      </c>
    </row>
    <row r="61" spans="2:2" x14ac:dyDescent="0.2">
      <c r="B61" s="235">
        <v>16.399999999999999</v>
      </c>
    </row>
    <row r="62" spans="2:2" x14ac:dyDescent="0.2">
      <c r="B62" s="235">
        <v>16.399999999999999</v>
      </c>
    </row>
    <row r="63" spans="2:2" x14ac:dyDescent="0.2">
      <c r="B63" s="235">
        <v>16.899999999999999</v>
      </c>
    </row>
    <row r="64" spans="2:2" x14ac:dyDescent="0.2">
      <c r="B64" s="235">
        <v>17.100000000000001</v>
      </c>
    </row>
    <row r="65" spans="2:2" x14ac:dyDescent="0.2">
      <c r="B65" s="235">
        <v>16.2</v>
      </c>
    </row>
    <row r="66" spans="2:2" x14ac:dyDescent="0.2">
      <c r="B66" s="235">
        <v>16.100000000000001</v>
      </c>
    </row>
    <row r="67" spans="2:2" x14ac:dyDescent="0.2">
      <c r="B67" s="235">
        <v>16.5</v>
      </c>
    </row>
    <row r="68" spans="2:2" x14ac:dyDescent="0.2">
      <c r="B68" s="235">
        <v>16.899999999999999</v>
      </c>
    </row>
    <row r="69" spans="2:2" x14ac:dyDescent="0.2">
      <c r="B69" s="235">
        <v>17.2</v>
      </c>
    </row>
    <row r="70" spans="2:2" x14ac:dyDescent="0.2">
      <c r="B70" s="235">
        <v>16.100000000000001</v>
      </c>
    </row>
    <row r="71" spans="2:2" x14ac:dyDescent="0.2">
      <c r="B71" s="235">
        <v>16.399999999999999</v>
      </c>
    </row>
    <row r="72" spans="2:2" x14ac:dyDescent="0.2">
      <c r="B72" s="235">
        <v>16.7</v>
      </c>
    </row>
    <row r="73" spans="2:2" x14ac:dyDescent="0.2">
      <c r="B73" s="235">
        <v>16.2</v>
      </c>
    </row>
    <row r="74" spans="2:2" x14ac:dyDescent="0.2">
      <c r="B74" s="235">
        <v>16.399999999999999</v>
      </c>
    </row>
    <row r="75" spans="2:2" x14ac:dyDescent="0.2">
      <c r="B75" s="235">
        <v>15.8</v>
      </c>
    </row>
    <row r="76" spans="2:2" x14ac:dyDescent="0.2">
      <c r="B76" s="235">
        <v>16.600000000000001</v>
      </c>
    </row>
    <row r="77" spans="2:2" x14ac:dyDescent="0.2">
      <c r="B77" s="235">
        <v>17.100000000000001</v>
      </c>
    </row>
    <row r="78" spans="2:2" x14ac:dyDescent="0.2">
      <c r="B78" s="235">
        <v>16.2</v>
      </c>
    </row>
    <row r="79" spans="2:2" x14ac:dyDescent="0.2">
      <c r="B79" s="235">
        <v>17</v>
      </c>
    </row>
    <row r="80" spans="2:2" x14ac:dyDescent="0.2">
      <c r="B80" s="235">
        <v>16.899999999999999</v>
      </c>
    </row>
    <row r="81" spans="2:2" x14ac:dyDescent="0.2">
      <c r="B81" s="235">
        <v>16.100000000000001</v>
      </c>
    </row>
    <row r="82" spans="2:2" x14ac:dyDescent="0.2">
      <c r="B82" s="235">
        <v>17</v>
      </c>
    </row>
    <row r="83" spans="2:2" x14ac:dyDescent="0.2">
      <c r="B83" s="235">
        <v>16.8</v>
      </c>
    </row>
    <row r="84" spans="2:2" x14ac:dyDescent="0.2">
      <c r="B84" s="235">
        <v>16.399999999999999</v>
      </c>
    </row>
    <row r="85" spans="2:2" x14ac:dyDescent="0.2">
      <c r="B85" s="235">
        <v>16.5</v>
      </c>
    </row>
    <row r="86" spans="2:2" x14ac:dyDescent="0.2">
      <c r="B86" s="235">
        <v>16.2</v>
      </c>
    </row>
    <row r="87" spans="2:2" x14ac:dyDescent="0.2">
      <c r="B87" s="235">
        <v>16.2</v>
      </c>
    </row>
    <row r="88" spans="2:2" x14ac:dyDescent="0.2">
      <c r="B88" s="235">
        <v>15.7</v>
      </c>
    </row>
    <row r="89" spans="2:2" x14ac:dyDescent="0.2">
      <c r="B89" s="235">
        <v>16.600000000000001</v>
      </c>
    </row>
    <row r="90" spans="2:2" x14ac:dyDescent="0.2">
      <c r="B90" s="235">
        <v>16.2</v>
      </c>
    </row>
    <row r="91" spans="2:2" x14ac:dyDescent="0.2">
      <c r="B91" s="235">
        <v>17</v>
      </c>
    </row>
    <row r="92" spans="2:2" x14ac:dyDescent="0.2">
      <c r="B92" s="235">
        <v>17.100000000000001</v>
      </c>
    </row>
    <row r="93" spans="2:2" x14ac:dyDescent="0.2">
      <c r="B93" s="235">
        <v>16.899999999999999</v>
      </c>
    </row>
    <row r="94" spans="2:2" x14ac:dyDescent="0.2">
      <c r="B94" s="235">
        <v>16.2</v>
      </c>
    </row>
    <row r="95" spans="2:2" x14ac:dyDescent="0.2">
      <c r="B95" s="235">
        <v>16</v>
      </c>
    </row>
    <row r="96" spans="2:2" x14ac:dyDescent="0.2">
      <c r="B96" s="235">
        <v>16.100000000000001</v>
      </c>
    </row>
    <row r="97" spans="2:2" x14ac:dyDescent="0.2">
      <c r="B97" s="235">
        <v>15.8</v>
      </c>
    </row>
    <row r="98" spans="2:2" x14ac:dyDescent="0.2">
      <c r="B98" s="235">
        <v>16.2</v>
      </c>
    </row>
    <row r="99" spans="2:2" x14ac:dyDescent="0.2">
      <c r="B99" s="235">
        <v>17.100000000000001</v>
      </c>
    </row>
    <row r="100" spans="2:2" x14ac:dyDescent="0.2">
      <c r="B100" s="235">
        <v>16.899999999999999</v>
      </c>
    </row>
    <row r="101" spans="2:2" x14ac:dyDescent="0.2">
      <c r="B101" s="235">
        <v>16.2</v>
      </c>
    </row>
    <row r="102" spans="2:2" x14ac:dyDescent="0.2">
      <c r="B102" s="235">
        <v>16.399999999999999</v>
      </c>
    </row>
    <row r="103" spans="2:2" x14ac:dyDescent="0.2">
      <c r="B103" s="235">
        <v>16.2</v>
      </c>
    </row>
    <row r="104" spans="2:2" x14ac:dyDescent="0.2">
      <c r="B104" s="235">
        <v>16.7</v>
      </c>
    </row>
    <row r="105" spans="2:2" x14ac:dyDescent="0.2">
      <c r="B105" s="235">
        <v>16.8</v>
      </c>
    </row>
    <row r="106" spans="2:2" x14ac:dyDescent="0.2">
      <c r="B106" s="235">
        <v>16.100000000000001</v>
      </c>
    </row>
    <row r="107" spans="2:2" x14ac:dyDescent="0.2">
      <c r="B107" s="235">
        <v>15.4</v>
      </c>
    </row>
    <row r="108" spans="2:2" x14ac:dyDescent="0.2">
      <c r="B108" s="235">
        <v>16.100000000000001</v>
      </c>
    </row>
    <row r="109" spans="2:2" x14ac:dyDescent="0.2">
      <c r="B109" s="235">
        <v>15</v>
      </c>
    </row>
    <row r="110" spans="2:2" x14ac:dyDescent="0.2">
      <c r="B110" s="235">
        <v>15.2</v>
      </c>
    </row>
    <row r="111" spans="2:2" x14ac:dyDescent="0.2">
      <c r="B111" s="236">
        <v>14.9</v>
      </c>
    </row>
  </sheetData>
  <mergeCells count="3">
    <mergeCell ref="B2:M8"/>
    <mergeCell ref="I11:J11"/>
    <mergeCell ref="I17:M26"/>
  </mergeCells>
  <pageMargins left="0.75" right="0.75" top="1" bottom="1" header="0" footer="0"/>
  <headerFooter alignWithMargins="0"/>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16" sqref="L16"/>
    </sheetView>
  </sheetViews>
  <sheetFormatPr baseColWidth="10" defaultColWidth="9.140625" defaultRowHeight="15" x14ac:dyDescent="0.25"/>
  <cols>
    <col min="1" max="16384" width="9.140625" style="1"/>
  </cols>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V18" sqref="V18"/>
    </sheetView>
  </sheetViews>
  <sheetFormatPr baseColWidth="10" defaultColWidth="9.140625" defaultRowHeight="15" x14ac:dyDescent="0.25"/>
  <cols>
    <col min="1" max="16384" width="9.14062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F57"/>
  <sheetViews>
    <sheetView topLeftCell="A28" workbookViewId="0">
      <selection activeCell="A25" sqref="A25:B57"/>
    </sheetView>
  </sheetViews>
  <sheetFormatPr baseColWidth="10" defaultRowHeight="12.75" x14ac:dyDescent="0.2"/>
  <cols>
    <col min="1" max="2" width="3" style="155" bestFit="1" customWidth="1"/>
    <col min="3" max="3" width="3.7109375" style="155" customWidth="1"/>
    <col min="4" max="4" width="9.42578125" style="155" bestFit="1" customWidth="1"/>
    <col min="5" max="5" width="12" style="155" bestFit="1" customWidth="1"/>
    <col min="6" max="6" width="12.85546875" style="155" bestFit="1" customWidth="1"/>
    <col min="7" max="11" width="11.42578125" style="155"/>
    <col min="12" max="12" width="5.42578125" style="155" customWidth="1"/>
    <col min="13" max="13" width="20.42578125" style="155" bestFit="1" customWidth="1"/>
    <col min="14" max="14" width="12" style="155" bestFit="1" customWidth="1"/>
    <col min="15" max="15" width="11.42578125" style="155"/>
    <col min="16" max="16" width="3.42578125" style="155" bestFit="1" customWidth="1"/>
    <col min="17" max="17" width="3.140625" style="155" bestFit="1" customWidth="1"/>
    <col min="18" max="18" width="0.140625" style="155" customWidth="1"/>
    <col min="19" max="19" width="11.5703125" style="155" bestFit="1" customWidth="1"/>
    <col min="20" max="20" width="4.5703125" style="155" bestFit="1" customWidth="1"/>
    <col min="21" max="24" width="3" style="155" bestFit="1" customWidth="1"/>
    <col min="25" max="25" width="11.5703125" style="155" bestFit="1" customWidth="1"/>
    <col min="26" max="26" width="2" style="155" customWidth="1"/>
    <col min="27" max="27" width="13.5703125" style="155" bestFit="1" customWidth="1"/>
    <col min="28" max="28" width="12" style="155" bestFit="1" customWidth="1"/>
    <col min="29" max="29" width="13.5703125" style="155" bestFit="1" customWidth="1"/>
    <col min="30" max="30" width="12" style="155" bestFit="1" customWidth="1"/>
    <col min="31" max="256" width="11.42578125" style="155"/>
    <col min="257" max="258" width="3" style="155" bestFit="1" customWidth="1"/>
    <col min="259" max="259" width="3.7109375" style="155" customWidth="1"/>
    <col min="260" max="260" width="9.42578125" style="155" bestFit="1" customWidth="1"/>
    <col min="261" max="261" width="12" style="155" bestFit="1" customWidth="1"/>
    <col min="262" max="262" width="12.85546875" style="155" bestFit="1" customWidth="1"/>
    <col min="263" max="267" width="11.42578125" style="155"/>
    <col min="268" max="268" width="5.42578125" style="155" customWidth="1"/>
    <col min="269" max="269" width="20.42578125" style="155" bestFit="1" customWidth="1"/>
    <col min="270" max="270" width="12" style="155" bestFit="1" customWidth="1"/>
    <col min="271" max="271" width="11.42578125" style="155"/>
    <col min="272" max="272" width="3.42578125" style="155" bestFit="1" customWidth="1"/>
    <col min="273" max="273" width="3.140625" style="155" bestFit="1" customWidth="1"/>
    <col min="274" max="274" width="0.140625" style="155" customWidth="1"/>
    <col min="275" max="275" width="11.5703125" style="155" bestFit="1" customWidth="1"/>
    <col min="276" max="276" width="4.5703125" style="155" bestFit="1" customWidth="1"/>
    <col min="277" max="280" width="3" style="155" bestFit="1" customWidth="1"/>
    <col min="281" max="281" width="11.5703125" style="155" bestFit="1" customWidth="1"/>
    <col min="282" max="282" width="2" style="155" customWidth="1"/>
    <col min="283" max="283" width="13.5703125" style="155" bestFit="1" customWidth="1"/>
    <col min="284" max="284" width="12" style="155" bestFit="1" customWidth="1"/>
    <col min="285" max="285" width="13.5703125" style="155" bestFit="1" customWidth="1"/>
    <col min="286" max="286" width="12" style="155" bestFit="1" customWidth="1"/>
    <col min="287" max="512" width="11.42578125" style="155"/>
    <col min="513" max="514" width="3" style="155" bestFit="1" customWidth="1"/>
    <col min="515" max="515" width="3.7109375" style="155" customWidth="1"/>
    <col min="516" max="516" width="9.42578125" style="155" bestFit="1" customWidth="1"/>
    <col min="517" max="517" width="12" style="155" bestFit="1" customWidth="1"/>
    <col min="518" max="518" width="12.85546875" style="155" bestFit="1" customWidth="1"/>
    <col min="519" max="523" width="11.42578125" style="155"/>
    <col min="524" max="524" width="5.42578125" style="155" customWidth="1"/>
    <col min="525" max="525" width="20.42578125" style="155" bestFit="1" customWidth="1"/>
    <col min="526" max="526" width="12" style="155" bestFit="1" customWidth="1"/>
    <col min="527" max="527" width="11.42578125" style="155"/>
    <col min="528" max="528" width="3.42578125" style="155" bestFit="1" customWidth="1"/>
    <col min="529" max="529" width="3.140625" style="155" bestFit="1" customWidth="1"/>
    <col min="530" max="530" width="0.140625" style="155" customWidth="1"/>
    <col min="531" max="531" width="11.5703125" style="155" bestFit="1" customWidth="1"/>
    <col min="532" max="532" width="4.5703125" style="155" bestFit="1" customWidth="1"/>
    <col min="533" max="536" width="3" style="155" bestFit="1" customWidth="1"/>
    <col min="537" max="537" width="11.5703125" style="155" bestFit="1" customWidth="1"/>
    <col min="538" max="538" width="2" style="155" customWidth="1"/>
    <col min="539" max="539" width="13.5703125" style="155" bestFit="1" customWidth="1"/>
    <col min="540" max="540" width="12" style="155" bestFit="1" customWidth="1"/>
    <col min="541" max="541" width="13.5703125" style="155" bestFit="1" customWidth="1"/>
    <col min="542" max="542" width="12" style="155" bestFit="1" customWidth="1"/>
    <col min="543" max="768" width="11.42578125" style="155"/>
    <col min="769" max="770" width="3" style="155" bestFit="1" customWidth="1"/>
    <col min="771" max="771" width="3.7109375" style="155" customWidth="1"/>
    <col min="772" max="772" width="9.42578125" style="155" bestFit="1" customWidth="1"/>
    <col min="773" max="773" width="12" style="155" bestFit="1" customWidth="1"/>
    <col min="774" max="774" width="12.85546875" style="155" bestFit="1" customWidth="1"/>
    <col min="775" max="779" width="11.42578125" style="155"/>
    <col min="780" max="780" width="5.42578125" style="155" customWidth="1"/>
    <col min="781" max="781" width="20.42578125" style="155" bestFit="1" customWidth="1"/>
    <col min="782" max="782" width="12" style="155" bestFit="1" customWidth="1"/>
    <col min="783" max="783" width="11.42578125" style="155"/>
    <col min="784" max="784" width="3.42578125" style="155" bestFit="1" customWidth="1"/>
    <col min="785" max="785" width="3.140625" style="155" bestFit="1" customWidth="1"/>
    <col min="786" max="786" width="0.140625" style="155" customWidth="1"/>
    <col min="787" max="787" width="11.5703125" style="155" bestFit="1" customWidth="1"/>
    <col min="788" max="788" width="4.5703125" style="155" bestFit="1" customWidth="1"/>
    <col min="789" max="792" width="3" style="155" bestFit="1" customWidth="1"/>
    <col min="793" max="793" width="11.5703125" style="155" bestFit="1" customWidth="1"/>
    <col min="794" max="794" width="2" style="155" customWidth="1"/>
    <col min="795" max="795" width="13.5703125" style="155" bestFit="1" customWidth="1"/>
    <col min="796" max="796" width="12" style="155" bestFit="1" customWidth="1"/>
    <col min="797" max="797" width="13.5703125" style="155" bestFit="1" customWidth="1"/>
    <col min="798" max="798" width="12" style="155" bestFit="1" customWidth="1"/>
    <col min="799" max="1024" width="11.42578125" style="155"/>
    <col min="1025" max="1026" width="3" style="155" bestFit="1" customWidth="1"/>
    <col min="1027" max="1027" width="3.7109375" style="155" customWidth="1"/>
    <col min="1028" max="1028" width="9.42578125" style="155" bestFit="1" customWidth="1"/>
    <col min="1029" max="1029" width="12" style="155" bestFit="1" customWidth="1"/>
    <col min="1030" max="1030" width="12.85546875" style="155" bestFit="1" customWidth="1"/>
    <col min="1031" max="1035" width="11.42578125" style="155"/>
    <col min="1036" max="1036" width="5.42578125" style="155" customWidth="1"/>
    <col min="1037" max="1037" width="20.42578125" style="155" bestFit="1" customWidth="1"/>
    <col min="1038" max="1038" width="12" style="155" bestFit="1" customWidth="1"/>
    <col min="1039" max="1039" width="11.42578125" style="155"/>
    <col min="1040" max="1040" width="3.42578125" style="155" bestFit="1" customWidth="1"/>
    <col min="1041" max="1041" width="3.140625" style="155" bestFit="1" customWidth="1"/>
    <col min="1042" max="1042" width="0.140625" style="155" customWidth="1"/>
    <col min="1043" max="1043" width="11.5703125" style="155" bestFit="1" customWidth="1"/>
    <col min="1044" max="1044" width="4.5703125" style="155" bestFit="1" customWidth="1"/>
    <col min="1045" max="1048" width="3" style="155" bestFit="1" customWidth="1"/>
    <col min="1049" max="1049" width="11.5703125" style="155" bestFit="1" customWidth="1"/>
    <col min="1050" max="1050" width="2" style="155" customWidth="1"/>
    <col min="1051" max="1051" width="13.5703125" style="155" bestFit="1" customWidth="1"/>
    <col min="1052" max="1052" width="12" style="155" bestFit="1" customWidth="1"/>
    <col min="1053" max="1053" width="13.5703125" style="155" bestFit="1" customWidth="1"/>
    <col min="1054" max="1054" width="12" style="155" bestFit="1" customWidth="1"/>
    <col min="1055" max="1280" width="11.42578125" style="155"/>
    <col min="1281" max="1282" width="3" style="155" bestFit="1" customWidth="1"/>
    <col min="1283" max="1283" width="3.7109375" style="155" customWidth="1"/>
    <col min="1284" max="1284" width="9.42578125" style="155" bestFit="1" customWidth="1"/>
    <col min="1285" max="1285" width="12" style="155" bestFit="1" customWidth="1"/>
    <col min="1286" max="1286" width="12.85546875" style="155" bestFit="1" customWidth="1"/>
    <col min="1287" max="1291" width="11.42578125" style="155"/>
    <col min="1292" max="1292" width="5.42578125" style="155" customWidth="1"/>
    <col min="1293" max="1293" width="20.42578125" style="155" bestFit="1" customWidth="1"/>
    <col min="1294" max="1294" width="12" style="155" bestFit="1" customWidth="1"/>
    <col min="1295" max="1295" width="11.42578125" style="155"/>
    <col min="1296" max="1296" width="3.42578125" style="155" bestFit="1" customWidth="1"/>
    <col min="1297" max="1297" width="3.140625" style="155" bestFit="1" customWidth="1"/>
    <col min="1298" max="1298" width="0.140625" style="155" customWidth="1"/>
    <col min="1299" max="1299" width="11.5703125" style="155" bestFit="1" customWidth="1"/>
    <col min="1300" max="1300" width="4.5703125" style="155" bestFit="1" customWidth="1"/>
    <col min="1301" max="1304" width="3" style="155" bestFit="1" customWidth="1"/>
    <col min="1305" max="1305" width="11.5703125" style="155" bestFit="1" customWidth="1"/>
    <col min="1306" max="1306" width="2" style="155" customWidth="1"/>
    <col min="1307" max="1307" width="13.5703125" style="155" bestFit="1" customWidth="1"/>
    <col min="1308" max="1308" width="12" style="155" bestFit="1" customWidth="1"/>
    <col min="1309" max="1309" width="13.5703125" style="155" bestFit="1" customWidth="1"/>
    <col min="1310" max="1310" width="12" style="155" bestFit="1" customWidth="1"/>
    <col min="1311" max="1536" width="11.42578125" style="155"/>
    <col min="1537" max="1538" width="3" style="155" bestFit="1" customWidth="1"/>
    <col min="1539" max="1539" width="3.7109375" style="155" customWidth="1"/>
    <col min="1540" max="1540" width="9.42578125" style="155" bestFit="1" customWidth="1"/>
    <col min="1541" max="1541" width="12" style="155" bestFit="1" customWidth="1"/>
    <col min="1542" max="1542" width="12.85546875" style="155" bestFit="1" customWidth="1"/>
    <col min="1543" max="1547" width="11.42578125" style="155"/>
    <col min="1548" max="1548" width="5.42578125" style="155" customWidth="1"/>
    <col min="1549" max="1549" width="20.42578125" style="155" bestFit="1" customWidth="1"/>
    <col min="1550" max="1550" width="12" style="155" bestFit="1" customWidth="1"/>
    <col min="1551" max="1551" width="11.42578125" style="155"/>
    <col min="1552" max="1552" width="3.42578125" style="155" bestFit="1" customWidth="1"/>
    <col min="1553" max="1553" width="3.140625" style="155" bestFit="1" customWidth="1"/>
    <col min="1554" max="1554" width="0.140625" style="155" customWidth="1"/>
    <col min="1555" max="1555" width="11.5703125" style="155" bestFit="1" customWidth="1"/>
    <col min="1556" max="1556" width="4.5703125" style="155" bestFit="1" customWidth="1"/>
    <col min="1557" max="1560" width="3" style="155" bestFit="1" customWidth="1"/>
    <col min="1561" max="1561" width="11.5703125" style="155" bestFit="1" customWidth="1"/>
    <col min="1562" max="1562" width="2" style="155" customWidth="1"/>
    <col min="1563" max="1563" width="13.5703125" style="155" bestFit="1" customWidth="1"/>
    <col min="1564" max="1564" width="12" style="155" bestFit="1" customWidth="1"/>
    <col min="1565" max="1565" width="13.5703125" style="155" bestFit="1" customWidth="1"/>
    <col min="1566" max="1566" width="12" style="155" bestFit="1" customWidth="1"/>
    <col min="1567" max="1792" width="11.42578125" style="155"/>
    <col min="1793" max="1794" width="3" style="155" bestFit="1" customWidth="1"/>
    <col min="1795" max="1795" width="3.7109375" style="155" customWidth="1"/>
    <col min="1796" max="1796" width="9.42578125" style="155" bestFit="1" customWidth="1"/>
    <col min="1797" max="1797" width="12" style="155" bestFit="1" customWidth="1"/>
    <col min="1798" max="1798" width="12.85546875" style="155" bestFit="1" customWidth="1"/>
    <col min="1799" max="1803" width="11.42578125" style="155"/>
    <col min="1804" max="1804" width="5.42578125" style="155" customWidth="1"/>
    <col min="1805" max="1805" width="20.42578125" style="155" bestFit="1" customWidth="1"/>
    <col min="1806" max="1806" width="12" style="155" bestFit="1" customWidth="1"/>
    <col min="1807" max="1807" width="11.42578125" style="155"/>
    <col min="1808" max="1808" width="3.42578125" style="155" bestFit="1" customWidth="1"/>
    <col min="1809" max="1809" width="3.140625" style="155" bestFit="1" customWidth="1"/>
    <col min="1810" max="1810" width="0.140625" style="155" customWidth="1"/>
    <col min="1811" max="1811" width="11.5703125" style="155" bestFit="1" customWidth="1"/>
    <col min="1812" max="1812" width="4.5703125" style="155" bestFit="1" customWidth="1"/>
    <col min="1813" max="1816" width="3" style="155" bestFit="1" customWidth="1"/>
    <col min="1817" max="1817" width="11.5703125" style="155" bestFit="1" customWidth="1"/>
    <col min="1818" max="1818" width="2" style="155" customWidth="1"/>
    <col min="1819" max="1819" width="13.5703125" style="155" bestFit="1" customWidth="1"/>
    <col min="1820" max="1820" width="12" style="155" bestFit="1" customWidth="1"/>
    <col min="1821" max="1821" width="13.5703125" style="155" bestFit="1" customWidth="1"/>
    <col min="1822" max="1822" width="12" style="155" bestFit="1" customWidth="1"/>
    <col min="1823" max="2048" width="11.42578125" style="155"/>
    <col min="2049" max="2050" width="3" style="155" bestFit="1" customWidth="1"/>
    <col min="2051" max="2051" width="3.7109375" style="155" customWidth="1"/>
    <col min="2052" max="2052" width="9.42578125" style="155" bestFit="1" customWidth="1"/>
    <col min="2053" max="2053" width="12" style="155" bestFit="1" customWidth="1"/>
    <col min="2054" max="2054" width="12.85546875" style="155" bestFit="1" customWidth="1"/>
    <col min="2055" max="2059" width="11.42578125" style="155"/>
    <col min="2060" max="2060" width="5.42578125" style="155" customWidth="1"/>
    <col min="2061" max="2061" width="20.42578125" style="155" bestFit="1" customWidth="1"/>
    <col min="2062" max="2062" width="12" style="155" bestFit="1" customWidth="1"/>
    <col min="2063" max="2063" width="11.42578125" style="155"/>
    <col min="2064" max="2064" width="3.42578125" style="155" bestFit="1" customWidth="1"/>
    <col min="2065" max="2065" width="3.140625" style="155" bestFit="1" customWidth="1"/>
    <col min="2066" max="2066" width="0.140625" style="155" customWidth="1"/>
    <col min="2067" max="2067" width="11.5703125" style="155" bestFit="1" customWidth="1"/>
    <col min="2068" max="2068" width="4.5703125" style="155" bestFit="1" customWidth="1"/>
    <col min="2069" max="2072" width="3" style="155" bestFit="1" customWidth="1"/>
    <col min="2073" max="2073" width="11.5703125" style="155" bestFit="1" customWidth="1"/>
    <col min="2074" max="2074" width="2" style="155" customWidth="1"/>
    <col min="2075" max="2075" width="13.5703125" style="155" bestFit="1" customWidth="1"/>
    <col min="2076" max="2076" width="12" style="155" bestFit="1" customWidth="1"/>
    <col min="2077" max="2077" width="13.5703125" style="155" bestFit="1" customWidth="1"/>
    <col min="2078" max="2078" width="12" style="155" bestFit="1" customWidth="1"/>
    <col min="2079" max="2304" width="11.42578125" style="155"/>
    <col min="2305" max="2306" width="3" style="155" bestFit="1" customWidth="1"/>
    <col min="2307" max="2307" width="3.7109375" style="155" customWidth="1"/>
    <col min="2308" max="2308" width="9.42578125" style="155" bestFit="1" customWidth="1"/>
    <col min="2309" max="2309" width="12" style="155" bestFit="1" customWidth="1"/>
    <col min="2310" max="2310" width="12.85546875" style="155" bestFit="1" customWidth="1"/>
    <col min="2311" max="2315" width="11.42578125" style="155"/>
    <col min="2316" max="2316" width="5.42578125" style="155" customWidth="1"/>
    <col min="2317" max="2317" width="20.42578125" style="155" bestFit="1" customWidth="1"/>
    <col min="2318" max="2318" width="12" style="155" bestFit="1" customWidth="1"/>
    <col min="2319" max="2319" width="11.42578125" style="155"/>
    <col min="2320" max="2320" width="3.42578125" style="155" bestFit="1" customWidth="1"/>
    <col min="2321" max="2321" width="3.140625" style="155" bestFit="1" customWidth="1"/>
    <col min="2322" max="2322" width="0.140625" style="155" customWidth="1"/>
    <col min="2323" max="2323" width="11.5703125" style="155" bestFit="1" customWidth="1"/>
    <col min="2324" max="2324" width="4.5703125" style="155" bestFit="1" customWidth="1"/>
    <col min="2325" max="2328" width="3" style="155" bestFit="1" customWidth="1"/>
    <col min="2329" max="2329" width="11.5703125" style="155" bestFit="1" customWidth="1"/>
    <col min="2330" max="2330" width="2" style="155" customWidth="1"/>
    <col min="2331" max="2331" width="13.5703125" style="155" bestFit="1" customWidth="1"/>
    <col min="2332" max="2332" width="12" style="155" bestFit="1" customWidth="1"/>
    <col min="2333" max="2333" width="13.5703125" style="155" bestFit="1" customWidth="1"/>
    <col min="2334" max="2334" width="12" style="155" bestFit="1" customWidth="1"/>
    <col min="2335" max="2560" width="11.42578125" style="155"/>
    <col min="2561" max="2562" width="3" style="155" bestFit="1" customWidth="1"/>
    <col min="2563" max="2563" width="3.7109375" style="155" customWidth="1"/>
    <col min="2564" max="2564" width="9.42578125" style="155" bestFit="1" customWidth="1"/>
    <col min="2565" max="2565" width="12" style="155" bestFit="1" customWidth="1"/>
    <col min="2566" max="2566" width="12.85546875" style="155" bestFit="1" customWidth="1"/>
    <col min="2567" max="2571" width="11.42578125" style="155"/>
    <col min="2572" max="2572" width="5.42578125" style="155" customWidth="1"/>
    <col min="2573" max="2573" width="20.42578125" style="155" bestFit="1" customWidth="1"/>
    <col min="2574" max="2574" width="12" style="155" bestFit="1" customWidth="1"/>
    <col min="2575" max="2575" width="11.42578125" style="155"/>
    <col min="2576" max="2576" width="3.42578125" style="155" bestFit="1" customWidth="1"/>
    <col min="2577" max="2577" width="3.140625" style="155" bestFit="1" customWidth="1"/>
    <col min="2578" max="2578" width="0.140625" style="155" customWidth="1"/>
    <col min="2579" max="2579" width="11.5703125" style="155" bestFit="1" customWidth="1"/>
    <col min="2580" max="2580" width="4.5703125" style="155" bestFit="1" customWidth="1"/>
    <col min="2581" max="2584" width="3" style="155" bestFit="1" customWidth="1"/>
    <col min="2585" max="2585" width="11.5703125" style="155" bestFit="1" customWidth="1"/>
    <col min="2586" max="2586" width="2" style="155" customWidth="1"/>
    <col min="2587" max="2587" width="13.5703125" style="155" bestFit="1" customWidth="1"/>
    <col min="2588" max="2588" width="12" style="155" bestFit="1" customWidth="1"/>
    <col min="2589" max="2589" width="13.5703125" style="155" bestFit="1" customWidth="1"/>
    <col min="2590" max="2590" width="12" style="155" bestFit="1" customWidth="1"/>
    <col min="2591" max="2816" width="11.42578125" style="155"/>
    <col min="2817" max="2818" width="3" style="155" bestFit="1" customWidth="1"/>
    <col min="2819" max="2819" width="3.7109375" style="155" customWidth="1"/>
    <col min="2820" max="2820" width="9.42578125" style="155" bestFit="1" customWidth="1"/>
    <col min="2821" max="2821" width="12" style="155" bestFit="1" customWidth="1"/>
    <col min="2822" max="2822" width="12.85546875" style="155" bestFit="1" customWidth="1"/>
    <col min="2823" max="2827" width="11.42578125" style="155"/>
    <col min="2828" max="2828" width="5.42578125" style="155" customWidth="1"/>
    <col min="2829" max="2829" width="20.42578125" style="155" bestFit="1" customWidth="1"/>
    <col min="2830" max="2830" width="12" style="155" bestFit="1" customWidth="1"/>
    <col min="2831" max="2831" width="11.42578125" style="155"/>
    <col min="2832" max="2832" width="3.42578125" style="155" bestFit="1" customWidth="1"/>
    <col min="2833" max="2833" width="3.140625" style="155" bestFit="1" customWidth="1"/>
    <col min="2834" max="2834" width="0.140625" style="155" customWidth="1"/>
    <col min="2835" max="2835" width="11.5703125" style="155" bestFit="1" customWidth="1"/>
    <col min="2836" max="2836" width="4.5703125" style="155" bestFit="1" customWidth="1"/>
    <col min="2837" max="2840" width="3" style="155" bestFit="1" customWidth="1"/>
    <col min="2841" max="2841" width="11.5703125" style="155" bestFit="1" customWidth="1"/>
    <col min="2842" max="2842" width="2" style="155" customWidth="1"/>
    <col min="2843" max="2843" width="13.5703125" style="155" bestFit="1" customWidth="1"/>
    <col min="2844" max="2844" width="12" style="155" bestFit="1" customWidth="1"/>
    <col min="2845" max="2845" width="13.5703125" style="155" bestFit="1" customWidth="1"/>
    <col min="2846" max="2846" width="12" style="155" bestFit="1" customWidth="1"/>
    <col min="2847" max="3072" width="11.42578125" style="155"/>
    <col min="3073" max="3074" width="3" style="155" bestFit="1" customWidth="1"/>
    <col min="3075" max="3075" width="3.7109375" style="155" customWidth="1"/>
    <col min="3076" max="3076" width="9.42578125" style="155" bestFit="1" customWidth="1"/>
    <col min="3077" max="3077" width="12" style="155" bestFit="1" customWidth="1"/>
    <col min="3078" max="3078" width="12.85546875" style="155" bestFit="1" customWidth="1"/>
    <col min="3079" max="3083" width="11.42578125" style="155"/>
    <col min="3084" max="3084" width="5.42578125" style="155" customWidth="1"/>
    <col min="3085" max="3085" width="20.42578125" style="155" bestFit="1" customWidth="1"/>
    <col min="3086" max="3086" width="12" style="155" bestFit="1" customWidth="1"/>
    <col min="3087" max="3087" width="11.42578125" style="155"/>
    <col min="3088" max="3088" width="3.42578125" style="155" bestFit="1" customWidth="1"/>
    <col min="3089" max="3089" width="3.140625" style="155" bestFit="1" customWidth="1"/>
    <col min="3090" max="3090" width="0.140625" style="155" customWidth="1"/>
    <col min="3091" max="3091" width="11.5703125" style="155" bestFit="1" customWidth="1"/>
    <col min="3092" max="3092" width="4.5703125" style="155" bestFit="1" customWidth="1"/>
    <col min="3093" max="3096" width="3" style="155" bestFit="1" customWidth="1"/>
    <col min="3097" max="3097" width="11.5703125" style="155" bestFit="1" customWidth="1"/>
    <col min="3098" max="3098" width="2" style="155" customWidth="1"/>
    <col min="3099" max="3099" width="13.5703125" style="155" bestFit="1" customWidth="1"/>
    <col min="3100" max="3100" width="12" style="155" bestFit="1" customWidth="1"/>
    <col min="3101" max="3101" width="13.5703125" style="155" bestFit="1" customWidth="1"/>
    <col min="3102" max="3102" width="12" style="155" bestFit="1" customWidth="1"/>
    <col min="3103" max="3328" width="11.42578125" style="155"/>
    <col min="3329" max="3330" width="3" style="155" bestFit="1" customWidth="1"/>
    <col min="3331" max="3331" width="3.7109375" style="155" customWidth="1"/>
    <col min="3332" max="3332" width="9.42578125" style="155" bestFit="1" customWidth="1"/>
    <col min="3333" max="3333" width="12" style="155" bestFit="1" customWidth="1"/>
    <col min="3334" max="3334" width="12.85546875" style="155" bestFit="1" customWidth="1"/>
    <col min="3335" max="3339" width="11.42578125" style="155"/>
    <col min="3340" max="3340" width="5.42578125" style="155" customWidth="1"/>
    <col min="3341" max="3341" width="20.42578125" style="155" bestFit="1" customWidth="1"/>
    <col min="3342" max="3342" width="12" style="155" bestFit="1" customWidth="1"/>
    <col min="3343" max="3343" width="11.42578125" style="155"/>
    <col min="3344" max="3344" width="3.42578125" style="155" bestFit="1" customWidth="1"/>
    <col min="3345" max="3345" width="3.140625" style="155" bestFit="1" customWidth="1"/>
    <col min="3346" max="3346" width="0.140625" style="155" customWidth="1"/>
    <col min="3347" max="3347" width="11.5703125" style="155" bestFit="1" customWidth="1"/>
    <col min="3348" max="3348" width="4.5703125" style="155" bestFit="1" customWidth="1"/>
    <col min="3349" max="3352" width="3" style="155" bestFit="1" customWidth="1"/>
    <col min="3353" max="3353" width="11.5703125" style="155" bestFit="1" customWidth="1"/>
    <col min="3354" max="3354" width="2" style="155" customWidth="1"/>
    <col min="3355" max="3355" width="13.5703125" style="155" bestFit="1" customWidth="1"/>
    <col min="3356" max="3356" width="12" style="155" bestFit="1" customWidth="1"/>
    <col min="3357" max="3357" width="13.5703125" style="155" bestFit="1" customWidth="1"/>
    <col min="3358" max="3358" width="12" style="155" bestFit="1" customWidth="1"/>
    <col min="3359" max="3584" width="11.42578125" style="155"/>
    <col min="3585" max="3586" width="3" style="155" bestFit="1" customWidth="1"/>
    <col min="3587" max="3587" width="3.7109375" style="155" customWidth="1"/>
    <col min="3588" max="3588" width="9.42578125" style="155" bestFit="1" customWidth="1"/>
    <col min="3589" max="3589" width="12" style="155" bestFit="1" customWidth="1"/>
    <col min="3590" max="3590" width="12.85546875" style="155" bestFit="1" customWidth="1"/>
    <col min="3591" max="3595" width="11.42578125" style="155"/>
    <col min="3596" max="3596" width="5.42578125" style="155" customWidth="1"/>
    <col min="3597" max="3597" width="20.42578125" style="155" bestFit="1" customWidth="1"/>
    <col min="3598" max="3598" width="12" style="155" bestFit="1" customWidth="1"/>
    <col min="3599" max="3599" width="11.42578125" style="155"/>
    <col min="3600" max="3600" width="3.42578125" style="155" bestFit="1" customWidth="1"/>
    <col min="3601" max="3601" width="3.140625" style="155" bestFit="1" customWidth="1"/>
    <col min="3602" max="3602" width="0.140625" style="155" customWidth="1"/>
    <col min="3603" max="3603" width="11.5703125" style="155" bestFit="1" customWidth="1"/>
    <col min="3604" max="3604" width="4.5703125" style="155" bestFit="1" customWidth="1"/>
    <col min="3605" max="3608" width="3" style="155" bestFit="1" customWidth="1"/>
    <col min="3609" max="3609" width="11.5703125" style="155" bestFit="1" customWidth="1"/>
    <col min="3610" max="3610" width="2" style="155" customWidth="1"/>
    <col min="3611" max="3611" width="13.5703125" style="155" bestFit="1" customWidth="1"/>
    <col min="3612" max="3612" width="12" style="155" bestFit="1" customWidth="1"/>
    <col min="3613" max="3613" width="13.5703125" style="155" bestFit="1" customWidth="1"/>
    <col min="3614" max="3614" width="12" style="155" bestFit="1" customWidth="1"/>
    <col min="3615" max="3840" width="11.42578125" style="155"/>
    <col min="3841" max="3842" width="3" style="155" bestFit="1" customWidth="1"/>
    <col min="3843" max="3843" width="3.7109375" style="155" customWidth="1"/>
    <col min="3844" max="3844" width="9.42578125" style="155" bestFit="1" customWidth="1"/>
    <col min="3845" max="3845" width="12" style="155" bestFit="1" customWidth="1"/>
    <col min="3846" max="3846" width="12.85546875" style="155" bestFit="1" customWidth="1"/>
    <col min="3847" max="3851" width="11.42578125" style="155"/>
    <col min="3852" max="3852" width="5.42578125" style="155" customWidth="1"/>
    <col min="3853" max="3853" width="20.42578125" style="155" bestFit="1" customWidth="1"/>
    <col min="3854" max="3854" width="12" style="155" bestFit="1" customWidth="1"/>
    <col min="3855" max="3855" width="11.42578125" style="155"/>
    <col min="3856" max="3856" width="3.42578125" style="155" bestFit="1" customWidth="1"/>
    <col min="3857" max="3857" width="3.140625" style="155" bestFit="1" customWidth="1"/>
    <col min="3858" max="3858" width="0.140625" style="155" customWidth="1"/>
    <col min="3859" max="3859" width="11.5703125" style="155" bestFit="1" customWidth="1"/>
    <col min="3860" max="3860" width="4.5703125" style="155" bestFit="1" customWidth="1"/>
    <col min="3861" max="3864" width="3" style="155" bestFit="1" customWidth="1"/>
    <col min="3865" max="3865" width="11.5703125" style="155" bestFit="1" customWidth="1"/>
    <col min="3866" max="3866" width="2" style="155" customWidth="1"/>
    <col min="3867" max="3867" width="13.5703125" style="155" bestFit="1" customWidth="1"/>
    <col min="3868" max="3868" width="12" style="155" bestFit="1" customWidth="1"/>
    <col min="3869" max="3869" width="13.5703125" style="155" bestFit="1" customWidth="1"/>
    <col min="3870" max="3870" width="12" style="155" bestFit="1" customWidth="1"/>
    <col min="3871" max="4096" width="11.42578125" style="155"/>
    <col min="4097" max="4098" width="3" style="155" bestFit="1" customWidth="1"/>
    <col min="4099" max="4099" width="3.7109375" style="155" customWidth="1"/>
    <col min="4100" max="4100" width="9.42578125" style="155" bestFit="1" customWidth="1"/>
    <col min="4101" max="4101" width="12" style="155" bestFit="1" customWidth="1"/>
    <col min="4102" max="4102" width="12.85546875" style="155" bestFit="1" customWidth="1"/>
    <col min="4103" max="4107" width="11.42578125" style="155"/>
    <col min="4108" max="4108" width="5.42578125" style="155" customWidth="1"/>
    <col min="4109" max="4109" width="20.42578125" style="155" bestFit="1" customWidth="1"/>
    <col min="4110" max="4110" width="12" style="155" bestFit="1" customWidth="1"/>
    <col min="4111" max="4111" width="11.42578125" style="155"/>
    <col min="4112" max="4112" width="3.42578125" style="155" bestFit="1" customWidth="1"/>
    <col min="4113" max="4113" width="3.140625" style="155" bestFit="1" customWidth="1"/>
    <col min="4114" max="4114" width="0.140625" style="155" customWidth="1"/>
    <col min="4115" max="4115" width="11.5703125" style="155" bestFit="1" customWidth="1"/>
    <col min="4116" max="4116" width="4.5703125" style="155" bestFit="1" customWidth="1"/>
    <col min="4117" max="4120" width="3" style="155" bestFit="1" customWidth="1"/>
    <col min="4121" max="4121" width="11.5703125" style="155" bestFit="1" customWidth="1"/>
    <col min="4122" max="4122" width="2" style="155" customWidth="1"/>
    <col min="4123" max="4123" width="13.5703125" style="155" bestFit="1" customWidth="1"/>
    <col min="4124" max="4124" width="12" style="155" bestFit="1" customWidth="1"/>
    <col min="4125" max="4125" width="13.5703125" style="155" bestFit="1" customWidth="1"/>
    <col min="4126" max="4126" width="12" style="155" bestFit="1" customWidth="1"/>
    <col min="4127" max="4352" width="11.42578125" style="155"/>
    <col min="4353" max="4354" width="3" style="155" bestFit="1" customWidth="1"/>
    <col min="4355" max="4355" width="3.7109375" style="155" customWidth="1"/>
    <col min="4356" max="4356" width="9.42578125" style="155" bestFit="1" customWidth="1"/>
    <col min="4357" max="4357" width="12" style="155" bestFit="1" customWidth="1"/>
    <col min="4358" max="4358" width="12.85546875" style="155" bestFit="1" customWidth="1"/>
    <col min="4359" max="4363" width="11.42578125" style="155"/>
    <col min="4364" max="4364" width="5.42578125" style="155" customWidth="1"/>
    <col min="4365" max="4365" width="20.42578125" style="155" bestFit="1" customWidth="1"/>
    <col min="4366" max="4366" width="12" style="155" bestFit="1" customWidth="1"/>
    <col min="4367" max="4367" width="11.42578125" style="155"/>
    <col min="4368" max="4368" width="3.42578125" style="155" bestFit="1" customWidth="1"/>
    <col min="4369" max="4369" width="3.140625" style="155" bestFit="1" customWidth="1"/>
    <col min="4370" max="4370" width="0.140625" style="155" customWidth="1"/>
    <col min="4371" max="4371" width="11.5703125" style="155" bestFit="1" customWidth="1"/>
    <col min="4372" max="4372" width="4.5703125" style="155" bestFit="1" customWidth="1"/>
    <col min="4373" max="4376" width="3" style="155" bestFit="1" customWidth="1"/>
    <col min="4377" max="4377" width="11.5703125" style="155" bestFit="1" customWidth="1"/>
    <col min="4378" max="4378" width="2" style="155" customWidth="1"/>
    <col min="4379" max="4379" width="13.5703125" style="155" bestFit="1" customWidth="1"/>
    <col min="4380" max="4380" width="12" style="155" bestFit="1" customWidth="1"/>
    <col min="4381" max="4381" width="13.5703125" style="155" bestFit="1" customWidth="1"/>
    <col min="4382" max="4382" width="12" style="155" bestFit="1" customWidth="1"/>
    <col min="4383" max="4608" width="11.42578125" style="155"/>
    <col min="4609" max="4610" width="3" style="155" bestFit="1" customWidth="1"/>
    <col min="4611" max="4611" width="3.7109375" style="155" customWidth="1"/>
    <col min="4612" max="4612" width="9.42578125" style="155" bestFit="1" customWidth="1"/>
    <col min="4613" max="4613" width="12" style="155" bestFit="1" customWidth="1"/>
    <col min="4614" max="4614" width="12.85546875" style="155" bestFit="1" customWidth="1"/>
    <col min="4615" max="4619" width="11.42578125" style="155"/>
    <col min="4620" max="4620" width="5.42578125" style="155" customWidth="1"/>
    <col min="4621" max="4621" width="20.42578125" style="155" bestFit="1" customWidth="1"/>
    <col min="4622" max="4622" width="12" style="155" bestFit="1" customWidth="1"/>
    <col min="4623" max="4623" width="11.42578125" style="155"/>
    <col min="4624" max="4624" width="3.42578125" style="155" bestFit="1" customWidth="1"/>
    <col min="4625" max="4625" width="3.140625" style="155" bestFit="1" customWidth="1"/>
    <col min="4626" max="4626" width="0.140625" style="155" customWidth="1"/>
    <col min="4627" max="4627" width="11.5703125" style="155" bestFit="1" customWidth="1"/>
    <col min="4628" max="4628" width="4.5703125" style="155" bestFit="1" customWidth="1"/>
    <col min="4629" max="4632" width="3" style="155" bestFit="1" customWidth="1"/>
    <col min="4633" max="4633" width="11.5703125" style="155" bestFit="1" customWidth="1"/>
    <col min="4634" max="4634" width="2" style="155" customWidth="1"/>
    <col min="4635" max="4635" width="13.5703125" style="155" bestFit="1" customWidth="1"/>
    <col min="4636" max="4636" width="12" style="155" bestFit="1" customWidth="1"/>
    <col min="4637" max="4637" width="13.5703125" style="155" bestFit="1" customWidth="1"/>
    <col min="4638" max="4638" width="12" style="155" bestFit="1" customWidth="1"/>
    <col min="4639" max="4864" width="11.42578125" style="155"/>
    <col min="4865" max="4866" width="3" style="155" bestFit="1" customWidth="1"/>
    <col min="4867" max="4867" width="3.7109375" style="155" customWidth="1"/>
    <col min="4868" max="4868" width="9.42578125" style="155" bestFit="1" customWidth="1"/>
    <col min="4869" max="4869" width="12" style="155" bestFit="1" customWidth="1"/>
    <col min="4870" max="4870" width="12.85546875" style="155" bestFit="1" customWidth="1"/>
    <col min="4871" max="4875" width="11.42578125" style="155"/>
    <col min="4876" max="4876" width="5.42578125" style="155" customWidth="1"/>
    <col min="4877" max="4877" width="20.42578125" style="155" bestFit="1" customWidth="1"/>
    <col min="4878" max="4878" width="12" style="155" bestFit="1" customWidth="1"/>
    <col min="4879" max="4879" width="11.42578125" style="155"/>
    <col min="4880" max="4880" width="3.42578125" style="155" bestFit="1" customWidth="1"/>
    <col min="4881" max="4881" width="3.140625" style="155" bestFit="1" customWidth="1"/>
    <col min="4882" max="4882" width="0.140625" style="155" customWidth="1"/>
    <col min="4883" max="4883" width="11.5703125" style="155" bestFit="1" customWidth="1"/>
    <col min="4884" max="4884" width="4.5703125" style="155" bestFit="1" customWidth="1"/>
    <col min="4885" max="4888" width="3" style="155" bestFit="1" customWidth="1"/>
    <col min="4889" max="4889" width="11.5703125" style="155" bestFit="1" customWidth="1"/>
    <col min="4890" max="4890" width="2" style="155" customWidth="1"/>
    <col min="4891" max="4891" width="13.5703125" style="155" bestFit="1" customWidth="1"/>
    <col min="4892" max="4892" width="12" style="155" bestFit="1" customWidth="1"/>
    <col min="4893" max="4893" width="13.5703125" style="155" bestFit="1" customWidth="1"/>
    <col min="4894" max="4894" width="12" style="155" bestFit="1" customWidth="1"/>
    <col min="4895" max="5120" width="11.42578125" style="155"/>
    <col min="5121" max="5122" width="3" style="155" bestFit="1" customWidth="1"/>
    <col min="5123" max="5123" width="3.7109375" style="155" customWidth="1"/>
    <col min="5124" max="5124" width="9.42578125" style="155" bestFit="1" customWidth="1"/>
    <col min="5125" max="5125" width="12" style="155" bestFit="1" customWidth="1"/>
    <col min="5126" max="5126" width="12.85546875" style="155" bestFit="1" customWidth="1"/>
    <col min="5127" max="5131" width="11.42578125" style="155"/>
    <col min="5132" max="5132" width="5.42578125" style="155" customWidth="1"/>
    <col min="5133" max="5133" width="20.42578125" style="155" bestFit="1" customWidth="1"/>
    <col min="5134" max="5134" width="12" style="155" bestFit="1" customWidth="1"/>
    <col min="5135" max="5135" width="11.42578125" style="155"/>
    <col min="5136" max="5136" width="3.42578125" style="155" bestFit="1" customWidth="1"/>
    <col min="5137" max="5137" width="3.140625" style="155" bestFit="1" customWidth="1"/>
    <col min="5138" max="5138" width="0.140625" style="155" customWidth="1"/>
    <col min="5139" max="5139" width="11.5703125" style="155" bestFit="1" customWidth="1"/>
    <col min="5140" max="5140" width="4.5703125" style="155" bestFit="1" customWidth="1"/>
    <col min="5141" max="5144" width="3" style="155" bestFit="1" customWidth="1"/>
    <col min="5145" max="5145" width="11.5703125" style="155" bestFit="1" customWidth="1"/>
    <col min="5146" max="5146" width="2" style="155" customWidth="1"/>
    <col min="5147" max="5147" width="13.5703125" style="155" bestFit="1" customWidth="1"/>
    <col min="5148" max="5148" width="12" style="155" bestFit="1" customWidth="1"/>
    <col min="5149" max="5149" width="13.5703125" style="155" bestFit="1" customWidth="1"/>
    <col min="5150" max="5150" width="12" style="155" bestFit="1" customWidth="1"/>
    <col min="5151" max="5376" width="11.42578125" style="155"/>
    <col min="5377" max="5378" width="3" style="155" bestFit="1" customWidth="1"/>
    <col min="5379" max="5379" width="3.7109375" style="155" customWidth="1"/>
    <col min="5380" max="5380" width="9.42578125" style="155" bestFit="1" customWidth="1"/>
    <col min="5381" max="5381" width="12" style="155" bestFit="1" customWidth="1"/>
    <col min="5382" max="5382" width="12.85546875" style="155" bestFit="1" customWidth="1"/>
    <col min="5383" max="5387" width="11.42578125" style="155"/>
    <col min="5388" max="5388" width="5.42578125" style="155" customWidth="1"/>
    <col min="5389" max="5389" width="20.42578125" style="155" bestFit="1" customWidth="1"/>
    <col min="5390" max="5390" width="12" style="155" bestFit="1" customWidth="1"/>
    <col min="5391" max="5391" width="11.42578125" style="155"/>
    <col min="5392" max="5392" width="3.42578125" style="155" bestFit="1" customWidth="1"/>
    <col min="5393" max="5393" width="3.140625" style="155" bestFit="1" customWidth="1"/>
    <col min="5394" max="5394" width="0.140625" style="155" customWidth="1"/>
    <col min="5395" max="5395" width="11.5703125" style="155" bestFit="1" customWidth="1"/>
    <col min="5396" max="5396" width="4.5703125" style="155" bestFit="1" customWidth="1"/>
    <col min="5397" max="5400" width="3" style="155" bestFit="1" customWidth="1"/>
    <col min="5401" max="5401" width="11.5703125" style="155" bestFit="1" customWidth="1"/>
    <col min="5402" max="5402" width="2" style="155" customWidth="1"/>
    <col min="5403" max="5403" width="13.5703125" style="155" bestFit="1" customWidth="1"/>
    <col min="5404" max="5404" width="12" style="155" bestFit="1" customWidth="1"/>
    <col min="5405" max="5405" width="13.5703125" style="155" bestFit="1" customWidth="1"/>
    <col min="5406" max="5406" width="12" style="155" bestFit="1" customWidth="1"/>
    <col min="5407" max="5632" width="11.42578125" style="155"/>
    <col min="5633" max="5634" width="3" style="155" bestFit="1" customWidth="1"/>
    <col min="5635" max="5635" width="3.7109375" style="155" customWidth="1"/>
    <col min="5636" max="5636" width="9.42578125" style="155" bestFit="1" customWidth="1"/>
    <col min="5637" max="5637" width="12" style="155" bestFit="1" customWidth="1"/>
    <col min="5638" max="5638" width="12.85546875" style="155" bestFit="1" customWidth="1"/>
    <col min="5639" max="5643" width="11.42578125" style="155"/>
    <col min="5644" max="5644" width="5.42578125" style="155" customWidth="1"/>
    <col min="5645" max="5645" width="20.42578125" style="155" bestFit="1" customWidth="1"/>
    <col min="5646" max="5646" width="12" style="155" bestFit="1" customWidth="1"/>
    <col min="5647" max="5647" width="11.42578125" style="155"/>
    <col min="5648" max="5648" width="3.42578125" style="155" bestFit="1" customWidth="1"/>
    <col min="5649" max="5649" width="3.140625" style="155" bestFit="1" customWidth="1"/>
    <col min="5650" max="5650" width="0.140625" style="155" customWidth="1"/>
    <col min="5651" max="5651" width="11.5703125" style="155" bestFit="1" customWidth="1"/>
    <col min="5652" max="5652" width="4.5703125" style="155" bestFit="1" customWidth="1"/>
    <col min="5653" max="5656" width="3" style="155" bestFit="1" customWidth="1"/>
    <col min="5657" max="5657" width="11.5703125" style="155" bestFit="1" customWidth="1"/>
    <col min="5658" max="5658" width="2" style="155" customWidth="1"/>
    <col min="5659" max="5659" width="13.5703125" style="155" bestFit="1" customWidth="1"/>
    <col min="5660" max="5660" width="12" style="155" bestFit="1" customWidth="1"/>
    <col min="5661" max="5661" width="13.5703125" style="155" bestFit="1" customWidth="1"/>
    <col min="5662" max="5662" width="12" style="155" bestFit="1" customWidth="1"/>
    <col min="5663" max="5888" width="11.42578125" style="155"/>
    <col min="5889" max="5890" width="3" style="155" bestFit="1" customWidth="1"/>
    <col min="5891" max="5891" width="3.7109375" style="155" customWidth="1"/>
    <col min="5892" max="5892" width="9.42578125" style="155" bestFit="1" customWidth="1"/>
    <col min="5893" max="5893" width="12" style="155" bestFit="1" customWidth="1"/>
    <col min="5894" max="5894" width="12.85546875" style="155" bestFit="1" customWidth="1"/>
    <col min="5895" max="5899" width="11.42578125" style="155"/>
    <col min="5900" max="5900" width="5.42578125" style="155" customWidth="1"/>
    <col min="5901" max="5901" width="20.42578125" style="155" bestFit="1" customWidth="1"/>
    <col min="5902" max="5902" width="12" style="155" bestFit="1" customWidth="1"/>
    <col min="5903" max="5903" width="11.42578125" style="155"/>
    <col min="5904" max="5904" width="3.42578125" style="155" bestFit="1" customWidth="1"/>
    <col min="5905" max="5905" width="3.140625" style="155" bestFit="1" customWidth="1"/>
    <col min="5906" max="5906" width="0.140625" style="155" customWidth="1"/>
    <col min="5907" max="5907" width="11.5703125" style="155" bestFit="1" customWidth="1"/>
    <col min="5908" max="5908" width="4.5703125" style="155" bestFit="1" customWidth="1"/>
    <col min="5909" max="5912" width="3" style="155" bestFit="1" customWidth="1"/>
    <col min="5913" max="5913" width="11.5703125" style="155" bestFit="1" customWidth="1"/>
    <col min="5914" max="5914" width="2" style="155" customWidth="1"/>
    <col min="5915" max="5915" width="13.5703125" style="155" bestFit="1" customWidth="1"/>
    <col min="5916" max="5916" width="12" style="155" bestFit="1" customWidth="1"/>
    <col min="5917" max="5917" width="13.5703125" style="155" bestFit="1" customWidth="1"/>
    <col min="5918" max="5918" width="12" style="155" bestFit="1" customWidth="1"/>
    <col min="5919" max="6144" width="11.42578125" style="155"/>
    <col min="6145" max="6146" width="3" style="155" bestFit="1" customWidth="1"/>
    <col min="6147" max="6147" width="3.7109375" style="155" customWidth="1"/>
    <col min="6148" max="6148" width="9.42578125" style="155" bestFit="1" customWidth="1"/>
    <col min="6149" max="6149" width="12" style="155" bestFit="1" customWidth="1"/>
    <col min="6150" max="6150" width="12.85546875" style="155" bestFit="1" customWidth="1"/>
    <col min="6151" max="6155" width="11.42578125" style="155"/>
    <col min="6156" max="6156" width="5.42578125" style="155" customWidth="1"/>
    <col min="6157" max="6157" width="20.42578125" style="155" bestFit="1" customWidth="1"/>
    <col min="6158" max="6158" width="12" style="155" bestFit="1" customWidth="1"/>
    <col min="6159" max="6159" width="11.42578125" style="155"/>
    <col min="6160" max="6160" width="3.42578125" style="155" bestFit="1" customWidth="1"/>
    <col min="6161" max="6161" width="3.140625" style="155" bestFit="1" customWidth="1"/>
    <col min="6162" max="6162" width="0.140625" style="155" customWidth="1"/>
    <col min="6163" max="6163" width="11.5703125" style="155" bestFit="1" customWidth="1"/>
    <col min="6164" max="6164" width="4.5703125" style="155" bestFit="1" customWidth="1"/>
    <col min="6165" max="6168" width="3" style="155" bestFit="1" customWidth="1"/>
    <col min="6169" max="6169" width="11.5703125" style="155" bestFit="1" customWidth="1"/>
    <col min="6170" max="6170" width="2" style="155" customWidth="1"/>
    <col min="6171" max="6171" width="13.5703125" style="155" bestFit="1" customWidth="1"/>
    <col min="6172" max="6172" width="12" style="155" bestFit="1" customWidth="1"/>
    <col min="6173" max="6173" width="13.5703125" style="155" bestFit="1" customWidth="1"/>
    <col min="6174" max="6174" width="12" style="155" bestFit="1" customWidth="1"/>
    <col min="6175" max="6400" width="11.42578125" style="155"/>
    <col min="6401" max="6402" width="3" style="155" bestFit="1" customWidth="1"/>
    <col min="6403" max="6403" width="3.7109375" style="155" customWidth="1"/>
    <col min="6404" max="6404" width="9.42578125" style="155" bestFit="1" customWidth="1"/>
    <col min="6405" max="6405" width="12" style="155" bestFit="1" customWidth="1"/>
    <col min="6406" max="6406" width="12.85546875" style="155" bestFit="1" customWidth="1"/>
    <col min="6407" max="6411" width="11.42578125" style="155"/>
    <col min="6412" max="6412" width="5.42578125" style="155" customWidth="1"/>
    <col min="6413" max="6413" width="20.42578125" style="155" bestFit="1" customWidth="1"/>
    <col min="6414" max="6414" width="12" style="155" bestFit="1" customWidth="1"/>
    <col min="6415" max="6415" width="11.42578125" style="155"/>
    <col min="6416" max="6416" width="3.42578125" style="155" bestFit="1" customWidth="1"/>
    <col min="6417" max="6417" width="3.140625" style="155" bestFit="1" customWidth="1"/>
    <col min="6418" max="6418" width="0.140625" style="155" customWidth="1"/>
    <col min="6419" max="6419" width="11.5703125" style="155" bestFit="1" customWidth="1"/>
    <col min="6420" max="6420" width="4.5703125" style="155" bestFit="1" customWidth="1"/>
    <col min="6421" max="6424" width="3" style="155" bestFit="1" customWidth="1"/>
    <col min="6425" max="6425" width="11.5703125" style="155" bestFit="1" customWidth="1"/>
    <col min="6426" max="6426" width="2" style="155" customWidth="1"/>
    <col min="6427" max="6427" width="13.5703125" style="155" bestFit="1" customWidth="1"/>
    <col min="6428" max="6428" width="12" style="155" bestFit="1" customWidth="1"/>
    <col min="6429" max="6429" width="13.5703125" style="155" bestFit="1" customWidth="1"/>
    <col min="6430" max="6430" width="12" style="155" bestFit="1" customWidth="1"/>
    <col min="6431" max="6656" width="11.42578125" style="155"/>
    <col min="6657" max="6658" width="3" style="155" bestFit="1" customWidth="1"/>
    <col min="6659" max="6659" width="3.7109375" style="155" customWidth="1"/>
    <col min="6660" max="6660" width="9.42578125" style="155" bestFit="1" customWidth="1"/>
    <col min="6661" max="6661" width="12" style="155" bestFit="1" customWidth="1"/>
    <col min="6662" max="6662" width="12.85546875" style="155" bestFit="1" customWidth="1"/>
    <col min="6663" max="6667" width="11.42578125" style="155"/>
    <col min="6668" max="6668" width="5.42578125" style="155" customWidth="1"/>
    <col min="6669" max="6669" width="20.42578125" style="155" bestFit="1" customWidth="1"/>
    <col min="6670" max="6670" width="12" style="155" bestFit="1" customWidth="1"/>
    <col min="6671" max="6671" width="11.42578125" style="155"/>
    <col min="6672" max="6672" width="3.42578125" style="155" bestFit="1" customWidth="1"/>
    <col min="6673" max="6673" width="3.140625" style="155" bestFit="1" customWidth="1"/>
    <col min="6674" max="6674" width="0.140625" style="155" customWidth="1"/>
    <col min="6675" max="6675" width="11.5703125" style="155" bestFit="1" customWidth="1"/>
    <col min="6676" max="6676" width="4.5703125" style="155" bestFit="1" customWidth="1"/>
    <col min="6677" max="6680" width="3" style="155" bestFit="1" customWidth="1"/>
    <col min="6681" max="6681" width="11.5703125" style="155" bestFit="1" customWidth="1"/>
    <col min="6682" max="6682" width="2" style="155" customWidth="1"/>
    <col min="6683" max="6683" width="13.5703125" style="155" bestFit="1" customWidth="1"/>
    <col min="6684" max="6684" width="12" style="155" bestFit="1" customWidth="1"/>
    <col min="6685" max="6685" width="13.5703125" style="155" bestFit="1" customWidth="1"/>
    <col min="6686" max="6686" width="12" style="155" bestFit="1" customWidth="1"/>
    <col min="6687" max="6912" width="11.42578125" style="155"/>
    <col min="6913" max="6914" width="3" style="155" bestFit="1" customWidth="1"/>
    <col min="6915" max="6915" width="3.7109375" style="155" customWidth="1"/>
    <col min="6916" max="6916" width="9.42578125" style="155" bestFit="1" customWidth="1"/>
    <col min="6917" max="6917" width="12" style="155" bestFit="1" customWidth="1"/>
    <col min="6918" max="6918" width="12.85546875" style="155" bestFit="1" customWidth="1"/>
    <col min="6919" max="6923" width="11.42578125" style="155"/>
    <col min="6924" max="6924" width="5.42578125" style="155" customWidth="1"/>
    <col min="6925" max="6925" width="20.42578125" style="155" bestFit="1" customWidth="1"/>
    <col min="6926" max="6926" width="12" style="155" bestFit="1" customWidth="1"/>
    <col min="6927" max="6927" width="11.42578125" style="155"/>
    <col min="6928" max="6928" width="3.42578125" style="155" bestFit="1" customWidth="1"/>
    <col min="6929" max="6929" width="3.140625" style="155" bestFit="1" customWidth="1"/>
    <col min="6930" max="6930" width="0.140625" style="155" customWidth="1"/>
    <col min="6931" max="6931" width="11.5703125" style="155" bestFit="1" customWidth="1"/>
    <col min="6932" max="6932" width="4.5703125" style="155" bestFit="1" customWidth="1"/>
    <col min="6933" max="6936" width="3" style="155" bestFit="1" customWidth="1"/>
    <col min="6937" max="6937" width="11.5703125" style="155" bestFit="1" customWidth="1"/>
    <col min="6938" max="6938" width="2" style="155" customWidth="1"/>
    <col min="6939" max="6939" width="13.5703125" style="155" bestFit="1" customWidth="1"/>
    <col min="6940" max="6940" width="12" style="155" bestFit="1" customWidth="1"/>
    <col min="6941" max="6941" width="13.5703125" style="155" bestFit="1" customWidth="1"/>
    <col min="6942" max="6942" width="12" style="155" bestFit="1" customWidth="1"/>
    <col min="6943" max="7168" width="11.42578125" style="155"/>
    <col min="7169" max="7170" width="3" style="155" bestFit="1" customWidth="1"/>
    <col min="7171" max="7171" width="3.7109375" style="155" customWidth="1"/>
    <col min="7172" max="7172" width="9.42578125" style="155" bestFit="1" customWidth="1"/>
    <col min="7173" max="7173" width="12" style="155" bestFit="1" customWidth="1"/>
    <col min="7174" max="7174" width="12.85546875" style="155" bestFit="1" customWidth="1"/>
    <col min="7175" max="7179" width="11.42578125" style="155"/>
    <col min="7180" max="7180" width="5.42578125" style="155" customWidth="1"/>
    <col min="7181" max="7181" width="20.42578125" style="155" bestFit="1" customWidth="1"/>
    <col min="7182" max="7182" width="12" style="155" bestFit="1" customWidth="1"/>
    <col min="7183" max="7183" width="11.42578125" style="155"/>
    <col min="7184" max="7184" width="3.42578125" style="155" bestFit="1" customWidth="1"/>
    <col min="7185" max="7185" width="3.140625" style="155" bestFit="1" customWidth="1"/>
    <col min="7186" max="7186" width="0.140625" style="155" customWidth="1"/>
    <col min="7187" max="7187" width="11.5703125" style="155" bestFit="1" customWidth="1"/>
    <col min="7188" max="7188" width="4.5703125" style="155" bestFit="1" customWidth="1"/>
    <col min="7189" max="7192" width="3" style="155" bestFit="1" customWidth="1"/>
    <col min="7193" max="7193" width="11.5703125" style="155" bestFit="1" customWidth="1"/>
    <col min="7194" max="7194" width="2" style="155" customWidth="1"/>
    <col min="7195" max="7195" width="13.5703125" style="155" bestFit="1" customWidth="1"/>
    <col min="7196" max="7196" width="12" style="155" bestFit="1" customWidth="1"/>
    <col min="7197" max="7197" width="13.5703125" style="155" bestFit="1" customWidth="1"/>
    <col min="7198" max="7198" width="12" style="155" bestFit="1" customWidth="1"/>
    <col min="7199" max="7424" width="11.42578125" style="155"/>
    <col min="7425" max="7426" width="3" style="155" bestFit="1" customWidth="1"/>
    <col min="7427" max="7427" width="3.7109375" style="155" customWidth="1"/>
    <col min="7428" max="7428" width="9.42578125" style="155" bestFit="1" customWidth="1"/>
    <col min="7429" max="7429" width="12" style="155" bestFit="1" customWidth="1"/>
    <col min="7430" max="7430" width="12.85546875" style="155" bestFit="1" customWidth="1"/>
    <col min="7431" max="7435" width="11.42578125" style="155"/>
    <col min="7436" max="7436" width="5.42578125" style="155" customWidth="1"/>
    <col min="7437" max="7437" width="20.42578125" style="155" bestFit="1" customWidth="1"/>
    <col min="7438" max="7438" width="12" style="155" bestFit="1" customWidth="1"/>
    <col min="7439" max="7439" width="11.42578125" style="155"/>
    <col min="7440" max="7440" width="3.42578125" style="155" bestFit="1" customWidth="1"/>
    <col min="7441" max="7441" width="3.140625" style="155" bestFit="1" customWidth="1"/>
    <col min="7442" max="7442" width="0.140625" style="155" customWidth="1"/>
    <col min="7443" max="7443" width="11.5703125" style="155" bestFit="1" customWidth="1"/>
    <col min="7444" max="7444" width="4.5703125" style="155" bestFit="1" customWidth="1"/>
    <col min="7445" max="7448" width="3" style="155" bestFit="1" customWidth="1"/>
    <col min="7449" max="7449" width="11.5703125" style="155" bestFit="1" customWidth="1"/>
    <col min="7450" max="7450" width="2" style="155" customWidth="1"/>
    <col min="7451" max="7451" width="13.5703125" style="155" bestFit="1" customWidth="1"/>
    <col min="7452" max="7452" width="12" style="155" bestFit="1" customWidth="1"/>
    <col min="7453" max="7453" width="13.5703125" style="155" bestFit="1" customWidth="1"/>
    <col min="7454" max="7454" width="12" style="155" bestFit="1" customWidth="1"/>
    <col min="7455" max="7680" width="11.42578125" style="155"/>
    <col min="7681" max="7682" width="3" style="155" bestFit="1" customWidth="1"/>
    <col min="7683" max="7683" width="3.7109375" style="155" customWidth="1"/>
    <col min="7684" max="7684" width="9.42578125" style="155" bestFit="1" customWidth="1"/>
    <col min="7685" max="7685" width="12" style="155" bestFit="1" customWidth="1"/>
    <col min="7686" max="7686" width="12.85546875" style="155" bestFit="1" customWidth="1"/>
    <col min="7687" max="7691" width="11.42578125" style="155"/>
    <col min="7692" max="7692" width="5.42578125" style="155" customWidth="1"/>
    <col min="7693" max="7693" width="20.42578125" style="155" bestFit="1" customWidth="1"/>
    <col min="7694" max="7694" width="12" style="155" bestFit="1" customWidth="1"/>
    <col min="7695" max="7695" width="11.42578125" style="155"/>
    <col min="7696" max="7696" width="3.42578125" style="155" bestFit="1" customWidth="1"/>
    <col min="7697" max="7697" width="3.140625" style="155" bestFit="1" customWidth="1"/>
    <col min="7698" max="7698" width="0.140625" style="155" customWidth="1"/>
    <col min="7699" max="7699" width="11.5703125" style="155" bestFit="1" customWidth="1"/>
    <col min="7700" max="7700" width="4.5703125" style="155" bestFit="1" customWidth="1"/>
    <col min="7701" max="7704" width="3" style="155" bestFit="1" customWidth="1"/>
    <col min="7705" max="7705" width="11.5703125" style="155" bestFit="1" customWidth="1"/>
    <col min="7706" max="7706" width="2" style="155" customWidth="1"/>
    <col min="7707" max="7707" width="13.5703125" style="155" bestFit="1" customWidth="1"/>
    <col min="7708" max="7708" width="12" style="155" bestFit="1" customWidth="1"/>
    <col min="7709" max="7709" width="13.5703125" style="155" bestFit="1" customWidth="1"/>
    <col min="7710" max="7710" width="12" style="155" bestFit="1" customWidth="1"/>
    <col min="7711" max="7936" width="11.42578125" style="155"/>
    <col min="7937" max="7938" width="3" style="155" bestFit="1" customWidth="1"/>
    <col min="7939" max="7939" width="3.7109375" style="155" customWidth="1"/>
    <col min="7940" max="7940" width="9.42578125" style="155" bestFit="1" customWidth="1"/>
    <col min="7941" max="7941" width="12" style="155" bestFit="1" customWidth="1"/>
    <col min="7942" max="7942" width="12.85546875" style="155" bestFit="1" customWidth="1"/>
    <col min="7943" max="7947" width="11.42578125" style="155"/>
    <col min="7948" max="7948" width="5.42578125" style="155" customWidth="1"/>
    <col min="7949" max="7949" width="20.42578125" style="155" bestFit="1" customWidth="1"/>
    <col min="7950" max="7950" width="12" style="155" bestFit="1" customWidth="1"/>
    <col min="7951" max="7951" width="11.42578125" style="155"/>
    <col min="7952" max="7952" width="3.42578125" style="155" bestFit="1" customWidth="1"/>
    <col min="7953" max="7953" width="3.140625" style="155" bestFit="1" customWidth="1"/>
    <col min="7954" max="7954" width="0.140625" style="155" customWidth="1"/>
    <col min="7955" max="7955" width="11.5703125" style="155" bestFit="1" customWidth="1"/>
    <col min="7956" max="7956" width="4.5703125" style="155" bestFit="1" customWidth="1"/>
    <col min="7957" max="7960" width="3" style="155" bestFit="1" customWidth="1"/>
    <col min="7961" max="7961" width="11.5703125" style="155" bestFit="1" customWidth="1"/>
    <col min="7962" max="7962" width="2" style="155" customWidth="1"/>
    <col min="7963" max="7963" width="13.5703125" style="155" bestFit="1" customWidth="1"/>
    <col min="7964" max="7964" width="12" style="155" bestFit="1" customWidth="1"/>
    <col min="7965" max="7965" width="13.5703125" style="155" bestFit="1" customWidth="1"/>
    <col min="7966" max="7966" width="12" style="155" bestFit="1" customWidth="1"/>
    <col min="7967" max="8192" width="11.42578125" style="155"/>
    <col min="8193" max="8194" width="3" style="155" bestFit="1" customWidth="1"/>
    <col min="8195" max="8195" width="3.7109375" style="155" customWidth="1"/>
    <col min="8196" max="8196" width="9.42578125" style="155" bestFit="1" customWidth="1"/>
    <col min="8197" max="8197" width="12" style="155" bestFit="1" customWidth="1"/>
    <col min="8198" max="8198" width="12.85546875" style="155" bestFit="1" customWidth="1"/>
    <col min="8199" max="8203" width="11.42578125" style="155"/>
    <col min="8204" max="8204" width="5.42578125" style="155" customWidth="1"/>
    <col min="8205" max="8205" width="20.42578125" style="155" bestFit="1" customWidth="1"/>
    <col min="8206" max="8206" width="12" style="155" bestFit="1" customWidth="1"/>
    <col min="8207" max="8207" width="11.42578125" style="155"/>
    <col min="8208" max="8208" width="3.42578125" style="155" bestFit="1" customWidth="1"/>
    <col min="8209" max="8209" width="3.140625" style="155" bestFit="1" customWidth="1"/>
    <col min="8210" max="8210" width="0.140625" style="155" customWidth="1"/>
    <col min="8211" max="8211" width="11.5703125" style="155" bestFit="1" customWidth="1"/>
    <col min="8212" max="8212" width="4.5703125" style="155" bestFit="1" customWidth="1"/>
    <col min="8213" max="8216" width="3" style="155" bestFit="1" customWidth="1"/>
    <col min="8217" max="8217" width="11.5703125" style="155" bestFit="1" customWidth="1"/>
    <col min="8218" max="8218" width="2" style="155" customWidth="1"/>
    <col min="8219" max="8219" width="13.5703125" style="155" bestFit="1" customWidth="1"/>
    <col min="8220" max="8220" width="12" style="155" bestFit="1" customWidth="1"/>
    <col min="8221" max="8221" width="13.5703125" style="155" bestFit="1" customWidth="1"/>
    <col min="8222" max="8222" width="12" style="155" bestFit="1" customWidth="1"/>
    <col min="8223" max="8448" width="11.42578125" style="155"/>
    <col min="8449" max="8450" width="3" style="155" bestFit="1" customWidth="1"/>
    <col min="8451" max="8451" width="3.7109375" style="155" customWidth="1"/>
    <col min="8452" max="8452" width="9.42578125" style="155" bestFit="1" customWidth="1"/>
    <col min="8453" max="8453" width="12" style="155" bestFit="1" customWidth="1"/>
    <col min="8454" max="8454" width="12.85546875" style="155" bestFit="1" customWidth="1"/>
    <col min="8455" max="8459" width="11.42578125" style="155"/>
    <col min="8460" max="8460" width="5.42578125" style="155" customWidth="1"/>
    <col min="8461" max="8461" width="20.42578125" style="155" bestFit="1" customWidth="1"/>
    <col min="8462" max="8462" width="12" style="155" bestFit="1" customWidth="1"/>
    <col min="8463" max="8463" width="11.42578125" style="155"/>
    <col min="8464" max="8464" width="3.42578125" style="155" bestFit="1" customWidth="1"/>
    <col min="8465" max="8465" width="3.140625" style="155" bestFit="1" customWidth="1"/>
    <col min="8466" max="8466" width="0.140625" style="155" customWidth="1"/>
    <col min="8467" max="8467" width="11.5703125" style="155" bestFit="1" customWidth="1"/>
    <col min="8468" max="8468" width="4.5703125" style="155" bestFit="1" customWidth="1"/>
    <col min="8469" max="8472" width="3" style="155" bestFit="1" customWidth="1"/>
    <col min="8473" max="8473" width="11.5703125" style="155" bestFit="1" customWidth="1"/>
    <col min="8474" max="8474" width="2" style="155" customWidth="1"/>
    <col min="8475" max="8475" width="13.5703125" style="155" bestFit="1" customWidth="1"/>
    <col min="8476" max="8476" width="12" style="155" bestFit="1" customWidth="1"/>
    <col min="8477" max="8477" width="13.5703125" style="155" bestFit="1" customWidth="1"/>
    <col min="8478" max="8478" width="12" style="155" bestFit="1" customWidth="1"/>
    <col min="8479" max="8704" width="11.42578125" style="155"/>
    <col min="8705" max="8706" width="3" style="155" bestFit="1" customWidth="1"/>
    <col min="8707" max="8707" width="3.7109375" style="155" customWidth="1"/>
    <col min="8708" max="8708" width="9.42578125" style="155" bestFit="1" customWidth="1"/>
    <col min="8709" max="8709" width="12" style="155" bestFit="1" customWidth="1"/>
    <col min="8710" max="8710" width="12.85546875" style="155" bestFit="1" customWidth="1"/>
    <col min="8711" max="8715" width="11.42578125" style="155"/>
    <col min="8716" max="8716" width="5.42578125" style="155" customWidth="1"/>
    <col min="8717" max="8717" width="20.42578125" style="155" bestFit="1" customWidth="1"/>
    <col min="8718" max="8718" width="12" style="155" bestFit="1" customWidth="1"/>
    <col min="8719" max="8719" width="11.42578125" style="155"/>
    <col min="8720" max="8720" width="3.42578125" style="155" bestFit="1" customWidth="1"/>
    <col min="8721" max="8721" width="3.140625" style="155" bestFit="1" customWidth="1"/>
    <col min="8722" max="8722" width="0.140625" style="155" customWidth="1"/>
    <col min="8723" max="8723" width="11.5703125" style="155" bestFit="1" customWidth="1"/>
    <col min="8724" max="8724" width="4.5703125" style="155" bestFit="1" customWidth="1"/>
    <col min="8725" max="8728" width="3" style="155" bestFit="1" customWidth="1"/>
    <col min="8729" max="8729" width="11.5703125" style="155" bestFit="1" customWidth="1"/>
    <col min="8730" max="8730" width="2" style="155" customWidth="1"/>
    <col min="8731" max="8731" width="13.5703125" style="155" bestFit="1" customWidth="1"/>
    <col min="8732" max="8732" width="12" style="155" bestFit="1" customWidth="1"/>
    <col min="8733" max="8733" width="13.5703125" style="155" bestFit="1" customWidth="1"/>
    <col min="8734" max="8734" width="12" style="155" bestFit="1" customWidth="1"/>
    <col min="8735" max="8960" width="11.42578125" style="155"/>
    <col min="8961" max="8962" width="3" style="155" bestFit="1" customWidth="1"/>
    <col min="8963" max="8963" width="3.7109375" style="155" customWidth="1"/>
    <col min="8964" max="8964" width="9.42578125" style="155" bestFit="1" customWidth="1"/>
    <col min="8965" max="8965" width="12" style="155" bestFit="1" customWidth="1"/>
    <col min="8966" max="8966" width="12.85546875" style="155" bestFit="1" customWidth="1"/>
    <col min="8967" max="8971" width="11.42578125" style="155"/>
    <col min="8972" max="8972" width="5.42578125" style="155" customWidth="1"/>
    <col min="8973" max="8973" width="20.42578125" style="155" bestFit="1" customWidth="1"/>
    <col min="8974" max="8974" width="12" style="155" bestFit="1" customWidth="1"/>
    <col min="8975" max="8975" width="11.42578125" style="155"/>
    <col min="8976" max="8976" width="3.42578125" style="155" bestFit="1" customWidth="1"/>
    <col min="8977" max="8977" width="3.140625" style="155" bestFit="1" customWidth="1"/>
    <col min="8978" max="8978" width="0.140625" style="155" customWidth="1"/>
    <col min="8979" max="8979" width="11.5703125" style="155" bestFit="1" customWidth="1"/>
    <col min="8980" max="8980" width="4.5703125" style="155" bestFit="1" customWidth="1"/>
    <col min="8981" max="8984" width="3" style="155" bestFit="1" customWidth="1"/>
    <col min="8985" max="8985" width="11.5703125" style="155" bestFit="1" customWidth="1"/>
    <col min="8986" max="8986" width="2" style="155" customWidth="1"/>
    <col min="8987" max="8987" width="13.5703125" style="155" bestFit="1" customWidth="1"/>
    <col min="8988" max="8988" width="12" style="155" bestFit="1" customWidth="1"/>
    <col min="8989" max="8989" width="13.5703125" style="155" bestFit="1" customWidth="1"/>
    <col min="8990" max="8990" width="12" style="155" bestFit="1" customWidth="1"/>
    <col min="8991" max="9216" width="11.42578125" style="155"/>
    <col min="9217" max="9218" width="3" style="155" bestFit="1" customWidth="1"/>
    <col min="9219" max="9219" width="3.7109375" style="155" customWidth="1"/>
    <col min="9220" max="9220" width="9.42578125" style="155" bestFit="1" customWidth="1"/>
    <col min="9221" max="9221" width="12" style="155" bestFit="1" customWidth="1"/>
    <col min="9222" max="9222" width="12.85546875" style="155" bestFit="1" customWidth="1"/>
    <col min="9223" max="9227" width="11.42578125" style="155"/>
    <col min="9228" max="9228" width="5.42578125" style="155" customWidth="1"/>
    <col min="9229" max="9229" width="20.42578125" style="155" bestFit="1" customWidth="1"/>
    <col min="9230" max="9230" width="12" style="155" bestFit="1" customWidth="1"/>
    <col min="9231" max="9231" width="11.42578125" style="155"/>
    <col min="9232" max="9232" width="3.42578125" style="155" bestFit="1" customWidth="1"/>
    <col min="9233" max="9233" width="3.140625" style="155" bestFit="1" customWidth="1"/>
    <col min="9234" max="9234" width="0.140625" style="155" customWidth="1"/>
    <col min="9235" max="9235" width="11.5703125" style="155" bestFit="1" customWidth="1"/>
    <col min="9236" max="9236" width="4.5703125" style="155" bestFit="1" customWidth="1"/>
    <col min="9237" max="9240" width="3" style="155" bestFit="1" customWidth="1"/>
    <col min="9241" max="9241" width="11.5703125" style="155" bestFit="1" customWidth="1"/>
    <col min="9242" max="9242" width="2" style="155" customWidth="1"/>
    <col min="9243" max="9243" width="13.5703125" style="155" bestFit="1" customWidth="1"/>
    <col min="9244" max="9244" width="12" style="155" bestFit="1" customWidth="1"/>
    <col min="9245" max="9245" width="13.5703125" style="155" bestFit="1" customWidth="1"/>
    <col min="9246" max="9246" width="12" style="155" bestFit="1" customWidth="1"/>
    <col min="9247" max="9472" width="11.42578125" style="155"/>
    <col min="9473" max="9474" width="3" style="155" bestFit="1" customWidth="1"/>
    <col min="9475" max="9475" width="3.7109375" style="155" customWidth="1"/>
    <col min="9476" max="9476" width="9.42578125" style="155" bestFit="1" customWidth="1"/>
    <col min="9477" max="9477" width="12" style="155" bestFit="1" customWidth="1"/>
    <col min="9478" max="9478" width="12.85546875" style="155" bestFit="1" customWidth="1"/>
    <col min="9479" max="9483" width="11.42578125" style="155"/>
    <col min="9484" max="9484" width="5.42578125" style="155" customWidth="1"/>
    <col min="9485" max="9485" width="20.42578125" style="155" bestFit="1" customWidth="1"/>
    <col min="9486" max="9486" width="12" style="155" bestFit="1" customWidth="1"/>
    <col min="9487" max="9487" width="11.42578125" style="155"/>
    <col min="9488" max="9488" width="3.42578125" style="155" bestFit="1" customWidth="1"/>
    <col min="9489" max="9489" width="3.140625" style="155" bestFit="1" customWidth="1"/>
    <col min="9490" max="9490" width="0.140625" style="155" customWidth="1"/>
    <col min="9491" max="9491" width="11.5703125" style="155" bestFit="1" customWidth="1"/>
    <col min="9492" max="9492" width="4.5703125" style="155" bestFit="1" customWidth="1"/>
    <col min="9493" max="9496" width="3" style="155" bestFit="1" customWidth="1"/>
    <col min="9497" max="9497" width="11.5703125" style="155" bestFit="1" customWidth="1"/>
    <col min="9498" max="9498" width="2" style="155" customWidth="1"/>
    <col min="9499" max="9499" width="13.5703125" style="155" bestFit="1" customWidth="1"/>
    <col min="9500" max="9500" width="12" style="155" bestFit="1" customWidth="1"/>
    <col min="9501" max="9501" width="13.5703125" style="155" bestFit="1" customWidth="1"/>
    <col min="9502" max="9502" width="12" style="155" bestFit="1" customWidth="1"/>
    <col min="9503" max="9728" width="11.42578125" style="155"/>
    <col min="9729" max="9730" width="3" style="155" bestFit="1" customWidth="1"/>
    <col min="9731" max="9731" width="3.7109375" style="155" customWidth="1"/>
    <col min="9732" max="9732" width="9.42578125" style="155" bestFit="1" customWidth="1"/>
    <col min="9733" max="9733" width="12" style="155" bestFit="1" customWidth="1"/>
    <col min="9734" max="9734" width="12.85546875" style="155" bestFit="1" customWidth="1"/>
    <col min="9735" max="9739" width="11.42578125" style="155"/>
    <col min="9740" max="9740" width="5.42578125" style="155" customWidth="1"/>
    <col min="9741" max="9741" width="20.42578125" style="155" bestFit="1" customWidth="1"/>
    <col min="9742" max="9742" width="12" style="155" bestFit="1" customWidth="1"/>
    <col min="9743" max="9743" width="11.42578125" style="155"/>
    <col min="9744" max="9744" width="3.42578125" style="155" bestFit="1" customWidth="1"/>
    <col min="9745" max="9745" width="3.140625" style="155" bestFit="1" customWidth="1"/>
    <col min="9746" max="9746" width="0.140625" style="155" customWidth="1"/>
    <col min="9747" max="9747" width="11.5703125" style="155" bestFit="1" customWidth="1"/>
    <col min="9748" max="9748" width="4.5703125" style="155" bestFit="1" customWidth="1"/>
    <col min="9749" max="9752" width="3" style="155" bestFit="1" customWidth="1"/>
    <col min="9753" max="9753" width="11.5703125" style="155" bestFit="1" customWidth="1"/>
    <col min="9754" max="9754" width="2" style="155" customWidth="1"/>
    <col min="9755" max="9755" width="13.5703125" style="155" bestFit="1" customWidth="1"/>
    <col min="9756" max="9756" width="12" style="155" bestFit="1" customWidth="1"/>
    <col min="9757" max="9757" width="13.5703125" style="155" bestFit="1" customWidth="1"/>
    <col min="9758" max="9758" width="12" style="155" bestFit="1" customWidth="1"/>
    <col min="9759" max="9984" width="11.42578125" style="155"/>
    <col min="9985" max="9986" width="3" style="155" bestFit="1" customWidth="1"/>
    <col min="9987" max="9987" width="3.7109375" style="155" customWidth="1"/>
    <col min="9988" max="9988" width="9.42578125" style="155" bestFit="1" customWidth="1"/>
    <col min="9989" max="9989" width="12" style="155" bestFit="1" customWidth="1"/>
    <col min="9990" max="9990" width="12.85546875" style="155" bestFit="1" customWidth="1"/>
    <col min="9991" max="9995" width="11.42578125" style="155"/>
    <col min="9996" max="9996" width="5.42578125" style="155" customWidth="1"/>
    <col min="9997" max="9997" width="20.42578125" style="155" bestFit="1" customWidth="1"/>
    <col min="9998" max="9998" width="12" style="155" bestFit="1" customWidth="1"/>
    <col min="9999" max="9999" width="11.42578125" style="155"/>
    <col min="10000" max="10000" width="3.42578125" style="155" bestFit="1" customWidth="1"/>
    <col min="10001" max="10001" width="3.140625" style="155" bestFit="1" customWidth="1"/>
    <col min="10002" max="10002" width="0.140625" style="155" customWidth="1"/>
    <col min="10003" max="10003" width="11.5703125" style="155" bestFit="1" customWidth="1"/>
    <col min="10004" max="10004" width="4.5703125" style="155" bestFit="1" customWidth="1"/>
    <col min="10005" max="10008" width="3" style="155" bestFit="1" customWidth="1"/>
    <col min="10009" max="10009" width="11.5703125" style="155" bestFit="1" customWidth="1"/>
    <col min="10010" max="10010" width="2" style="155" customWidth="1"/>
    <col min="10011" max="10011" width="13.5703125" style="155" bestFit="1" customWidth="1"/>
    <col min="10012" max="10012" width="12" style="155" bestFit="1" customWidth="1"/>
    <col min="10013" max="10013" width="13.5703125" style="155" bestFit="1" customWidth="1"/>
    <col min="10014" max="10014" width="12" style="155" bestFit="1" customWidth="1"/>
    <col min="10015" max="10240" width="11.42578125" style="155"/>
    <col min="10241" max="10242" width="3" style="155" bestFit="1" customWidth="1"/>
    <col min="10243" max="10243" width="3.7109375" style="155" customWidth="1"/>
    <col min="10244" max="10244" width="9.42578125" style="155" bestFit="1" customWidth="1"/>
    <col min="10245" max="10245" width="12" style="155" bestFit="1" customWidth="1"/>
    <col min="10246" max="10246" width="12.85546875" style="155" bestFit="1" customWidth="1"/>
    <col min="10247" max="10251" width="11.42578125" style="155"/>
    <col min="10252" max="10252" width="5.42578125" style="155" customWidth="1"/>
    <col min="10253" max="10253" width="20.42578125" style="155" bestFit="1" customWidth="1"/>
    <col min="10254" max="10254" width="12" style="155" bestFit="1" customWidth="1"/>
    <col min="10255" max="10255" width="11.42578125" style="155"/>
    <col min="10256" max="10256" width="3.42578125" style="155" bestFit="1" customWidth="1"/>
    <col min="10257" max="10257" width="3.140625" style="155" bestFit="1" customWidth="1"/>
    <col min="10258" max="10258" width="0.140625" style="155" customWidth="1"/>
    <col min="10259" max="10259" width="11.5703125" style="155" bestFit="1" customWidth="1"/>
    <col min="10260" max="10260" width="4.5703125" style="155" bestFit="1" customWidth="1"/>
    <col min="10261" max="10264" width="3" style="155" bestFit="1" customWidth="1"/>
    <col min="10265" max="10265" width="11.5703125" style="155" bestFit="1" customWidth="1"/>
    <col min="10266" max="10266" width="2" style="155" customWidth="1"/>
    <col min="10267" max="10267" width="13.5703125" style="155" bestFit="1" customWidth="1"/>
    <col min="10268" max="10268" width="12" style="155" bestFit="1" customWidth="1"/>
    <col min="10269" max="10269" width="13.5703125" style="155" bestFit="1" customWidth="1"/>
    <col min="10270" max="10270" width="12" style="155" bestFit="1" customWidth="1"/>
    <col min="10271" max="10496" width="11.42578125" style="155"/>
    <col min="10497" max="10498" width="3" style="155" bestFit="1" customWidth="1"/>
    <col min="10499" max="10499" width="3.7109375" style="155" customWidth="1"/>
    <col min="10500" max="10500" width="9.42578125" style="155" bestFit="1" customWidth="1"/>
    <col min="10501" max="10501" width="12" style="155" bestFit="1" customWidth="1"/>
    <col min="10502" max="10502" width="12.85546875" style="155" bestFit="1" customWidth="1"/>
    <col min="10503" max="10507" width="11.42578125" style="155"/>
    <col min="10508" max="10508" width="5.42578125" style="155" customWidth="1"/>
    <col min="10509" max="10509" width="20.42578125" style="155" bestFit="1" customWidth="1"/>
    <col min="10510" max="10510" width="12" style="155" bestFit="1" customWidth="1"/>
    <col min="10511" max="10511" width="11.42578125" style="155"/>
    <col min="10512" max="10512" width="3.42578125" style="155" bestFit="1" customWidth="1"/>
    <col min="10513" max="10513" width="3.140625" style="155" bestFit="1" customWidth="1"/>
    <col min="10514" max="10514" width="0.140625" style="155" customWidth="1"/>
    <col min="10515" max="10515" width="11.5703125" style="155" bestFit="1" customWidth="1"/>
    <col min="10516" max="10516" width="4.5703125" style="155" bestFit="1" customWidth="1"/>
    <col min="10517" max="10520" width="3" style="155" bestFit="1" customWidth="1"/>
    <col min="10521" max="10521" width="11.5703125" style="155" bestFit="1" customWidth="1"/>
    <col min="10522" max="10522" width="2" style="155" customWidth="1"/>
    <col min="10523" max="10523" width="13.5703125" style="155" bestFit="1" customWidth="1"/>
    <col min="10524" max="10524" width="12" style="155" bestFit="1" customWidth="1"/>
    <col min="10525" max="10525" width="13.5703125" style="155" bestFit="1" customWidth="1"/>
    <col min="10526" max="10526" width="12" style="155" bestFit="1" customWidth="1"/>
    <col min="10527" max="10752" width="11.42578125" style="155"/>
    <col min="10753" max="10754" width="3" style="155" bestFit="1" customWidth="1"/>
    <col min="10755" max="10755" width="3.7109375" style="155" customWidth="1"/>
    <col min="10756" max="10756" width="9.42578125" style="155" bestFit="1" customWidth="1"/>
    <col min="10757" max="10757" width="12" style="155" bestFit="1" customWidth="1"/>
    <col min="10758" max="10758" width="12.85546875" style="155" bestFit="1" customWidth="1"/>
    <col min="10759" max="10763" width="11.42578125" style="155"/>
    <col min="10764" max="10764" width="5.42578125" style="155" customWidth="1"/>
    <col min="10765" max="10765" width="20.42578125" style="155" bestFit="1" customWidth="1"/>
    <col min="10766" max="10766" width="12" style="155" bestFit="1" customWidth="1"/>
    <col min="10767" max="10767" width="11.42578125" style="155"/>
    <col min="10768" max="10768" width="3.42578125" style="155" bestFit="1" customWidth="1"/>
    <col min="10769" max="10769" width="3.140625" style="155" bestFit="1" customWidth="1"/>
    <col min="10770" max="10770" width="0.140625" style="155" customWidth="1"/>
    <col min="10771" max="10771" width="11.5703125" style="155" bestFit="1" customWidth="1"/>
    <col min="10772" max="10772" width="4.5703125" style="155" bestFit="1" customWidth="1"/>
    <col min="10773" max="10776" width="3" style="155" bestFit="1" customWidth="1"/>
    <col min="10777" max="10777" width="11.5703125" style="155" bestFit="1" customWidth="1"/>
    <col min="10778" max="10778" width="2" style="155" customWidth="1"/>
    <col min="10779" max="10779" width="13.5703125" style="155" bestFit="1" customWidth="1"/>
    <col min="10780" max="10780" width="12" style="155" bestFit="1" customWidth="1"/>
    <col min="10781" max="10781" width="13.5703125" style="155" bestFit="1" customWidth="1"/>
    <col min="10782" max="10782" width="12" style="155" bestFit="1" customWidth="1"/>
    <col min="10783" max="11008" width="11.42578125" style="155"/>
    <col min="11009" max="11010" width="3" style="155" bestFit="1" customWidth="1"/>
    <col min="11011" max="11011" width="3.7109375" style="155" customWidth="1"/>
    <col min="11012" max="11012" width="9.42578125" style="155" bestFit="1" customWidth="1"/>
    <col min="11013" max="11013" width="12" style="155" bestFit="1" customWidth="1"/>
    <col min="11014" max="11014" width="12.85546875" style="155" bestFit="1" customWidth="1"/>
    <col min="11015" max="11019" width="11.42578125" style="155"/>
    <col min="11020" max="11020" width="5.42578125" style="155" customWidth="1"/>
    <col min="11021" max="11021" width="20.42578125" style="155" bestFit="1" customWidth="1"/>
    <col min="11022" max="11022" width="12" style="155" bestFit="1" customWidth="1"/>
    <col min="11023" max="11023" width="11.42578125" style="155"/>
    <col min="11024" max="11024" width="3.42578125" style="155" bestFit="1" customWidth="1"/>
    <col min="11025" max="11025" width="3.140625" style="155" bestFit="1" customWidth="1"/>
    <col min="11026" max="11026" width="0.140625" style="155" customWidth="1"/>
    <col min="11027" max="11027" width="11.5703125" style="155" bestFit="1" customWidth="1"/>
    <col min="11028" max="11028" width="4.5703125" style="155" bestFit="1" customWidth="1"/>
    <col min="11029" max="11032" width="3" style="155" bestFit="1" customWidth="1"/>
    <col min="11033" max="11033" width="11.5703125" style="155" bestFit="1" customWidth="1"/>
    <col min="11034" max="11034" width="2" style="155" customWidth="1"/>
    <col min="11035" max="11035" width="13.5703125" style="155" bestFit="1" customWidth="1"/>
    <col min="11036" max="11036" width="12" style="155" bestFit="1" customWidth="1"/>
    <col min="11037" max="11037" width="13.5703125" style="155" bestFit="1" customWidth="1"/>
    <col min="11038" max="11038" width="12" style="155" bestFit="1" customWidth="1"/>
    <col min="11039" max="11264" width="11.42578125" style="155"/>
    <col min="11265" max="11266" width="3" style="155" bestFit="1" customWidth="1"/>
    <col min="11267" max="11267" width="3.7109375" style="155" customWidth="1"/>
    <col min="11268" max="11268" width="9.42578125" style="155" bestFit="1" customWidth="1"/>
    <col min="11269" max="11269" width="12" style="155" bestFit="1" customWidth="1"/>
    <col min="11270" max="11270" width="12.85546875" style="155" bestFit="1" customWidth="1"/>
    <col min="11271" max="11275" width="11.42578125" style="155"/>
    <col min="11276" max="11276" width="5.42578125" style="155" customWidth="1"/>
    <col min="11277" max="11277" width="20.42578125" style="155" bestFit="1" customWidth="1"/>
    <col min="11278" max="11278" width="12" style="155" bestFit="1" customWidth="1"/>
    <col min="11279" max="11279" width="11.42578125" style="155"/>
    <col min="11280" max="11280" width="3.42578125" style="155" bestFit="1" customWidth="1"/>
    <col min="11281" max="11281" width="3.140625" style="155" bestFit="1" customWidth="1"/>
    <col min="11282" max="11282" width="0.140625" style="155" customWidth="1"/>
    <col min="11283" max="11283" width="11.5703125" style="155" bestFit="1" customWidth="1"/>
    <col min="11284" max="11284" width="4.5703125" style="155" bestFit="1" customWidth="1"/>
    <col min="11285" max="11288" width="3" style="155" bestFit="1" customWidth="1"/>
    <col min="11289" max="11289" width="11.5703125" style="155" bestFit="1" customWidth="1"/>
    <col min="11290" max="11290" width="2" style="155" customWidth="1"/>
    <col min="11291" max="11291" width="13.5703125" style="155" bestFit="1" customWidth="1"/>
    <col min="11292" max="11292" width="12" style="155" bestFit="1" customWidth="1"/>
    <col min="11293" max="11293" width="13.5703125" style="155" bestFit="1" customWidth="1"/>
    <col min="11294" max="11294" width="12" style="155" bestFit="1" customWidth="1"/>
    <col min="11295" max="11520" width="11.42578125" style="155"/>
    <col min="11521" max="11522" width="3" style="155" bestFit="1" customWidth="1"/>
    <col min="11523" max="11523" width="3.7109375" style="155" customWidth="1"/>
    <col min="11524" max="11524" width="9.42578125" style="155" bestFit="1" customWidth="1"/>
    <col min="11525" max="11525" width="12" style="155" bestFit="1" customWidth="1"/>
    <col min="11526" max="11526" width="12.85546875" style="155" bestFit="1" customWidth="1"/>
    <col min="11527" max="11531" width="11.42578125" style="155"/>
    <col min="11532" max="11532" width="5.42578125" style="155" customWidth="1"/>
    <col min="11533" max="11533" width="20.42578125" style="155" bestFit="1" customWidth="1"/>
    <col min="11534" max="11534" width="12" style="155" bestFit="1" customWidth="1"/>
    <col min="11535" max="11535" width="11.42578125" style="155"/>
    <col min="11536" max="11536" width="3.42578125" style="155" bestFit="1" customWidth="1"/>
    <col min="11537" max="11537" width="3.140625" style="155" bestFit="1" customWidth="1"/>
    <col min="11538" max="11538" width="0.140625" style="155" customWidth="1"/>
    <col min="11539" max="11539" width="11.5703125" style="155" bestFit="1" customWidth="1"/>
    <col min="11540" max="11540" width="4.5703125" style="155" bestFit="1" customWidth="1"/>
    <col min="11541" max="11544" width="3" style="155" bestFit="1" customWidth="1"/>
    <col min="11545" max="11545" width="11.5703125" style="155" bestFit="1" customWidth="1"/>
    <col min="11546" max="11546" width="2" style="155" customWidth="1"/>
    <col min="11547" max="11547" width="13.5703125" style="155" bestFit="1" customWidth="1"/>
    <col min="11548" max="11548" width="12" style="155" bestFit="1" customWidth="1"/>
    <col min="11549" max="11549" width="13.5703125" style="155" bestFit="1" customWidth="1"/>
    <col min="11550" max="11550" width="12" style="155" bestFit="1" customWidth="1"/>
    <col min="11551" max="11776" width="11.42578125" style="155"/>
    <col min="11777" max="11778" width="3" style="155" bestFit="1" customWidth="1"/>
    <col min="11779" max="11779" width="3.7109375" style="155" customWidth="1"/>
    <col min="11780" max="11780" width="9.42578125" style="155" bestFit="1" customWidth="1"/>
    <col min="11781" max="11781" width="12" style="155" bestFit="1" customWidth="1"/>
    <col min="11782" max="11782" width="12.85546875" style="155" bestFit="1" customWidth="1"/>
    <col min="11783" max="11787" width="11.42578125" style="155"/>
    <col min="11788" max="11788" width="5.42578125" style="155" customWidth="1"/>
    <col min="11789" max="11789" width="20.42578125" style="155" bestFit="1" customWidth="1"/>
    <col min="11790" max="11790" width="12" style="155" bestFit="1" customWidth="1"/>
    <col min="11791" max="11791" width="11.42578125" style="155"/>
    <col min="11792" max="11792" width="3.42578125" style="155" bestFit="1" customWidth="1"/>
    <col min="11793" max="11793" width="3.140625" style="155" bestFit="1" customWidth="1"/>
    <col min="11794" max="11794" width="0.140625" style="155" customWidth="1"/>
    <col min="11795" max="11795" width="11.5703125" style="155" bestFit="1" customWidth="1"/>
    <col min="11796" max="11796" width="4.5703125" style="155" bestFit="1" customWidth="1"/>
    <col min="11797" max="11800" width="3" style="155" bestFit="1" customWidth="1"/>
    <col min="11801" max="11801" width="11.5703125" style="155" bestFit="1" customWidth="1"/>
    <col min="11802" max="11802" width="2" style="155" customWidth="1"/>
    <col min="11803" max="11803" width="13.5703125" style="155" bestFit="1" customWidth="1"/>
    <col min="11804" max="11804" width="12" style="155" bestFit="1" customWidth="1"/>
    <col min="11805" max="11805" width="13.5703125" style="155" bestFit="1" customWidth="1"/>
    <col min="11806" max="11806" width="12" style="155" bestFit="1" customWidth="1"/>
    <col min="11807" max="12032" width="11.42578125" style="155"/>
    <col min="12033" max="12034" width="3" style="155" bestFit="1" customWidth="1"/>
    <col min="12035" max="12035" width="3.7109375" style="155" customWidth="1"/>
    <col min="12036" max="12036" width="9.42578125" style="155" bestFit="1" customWidth="1"/>
    <col min="12037" max="12037" width="12" style="155" bestFit="1" customWidth="1"/>
    <col min="12038" max="12038" width="12.85546875" style="155" bestFit="1" customWidth="1"/>
    <col min="12039" max="12043" width="11.42578125" style="155"/>
    <col min="12044" max="12044" width="5.42578125" style="155" customWidth="1"/>
    <col min="12045" max="12045" width="20.42578125" style="155" bestFit="1" customWidth="1"/>
    <col min="12046" max="12046" width="12" style="155" bestFit="1" customWidth="1"/>
    <col min="12047" max="12047" width="11.42578125" style="155"/>
    <col min="12048" max="12048" width="3.42578125" style="155" bestFit="1" customWidth="1"/>
    <col min="12049" max="12049" width="3.140625" style="155" bestFit="1" customWidth="1"/>
    <col min="12050" max="12050" width="0.140625" style="155" customWidth="1"/>
    <col min="12051" max="12051" width="11.5703125" style="155" bestFit="1" customWidth="1"/>
    <col min="12052" max="12052" width="4.5703125" style="155" bestFit="1" customWidth="1"/>
    <col min="12053" max="12056" width="3" style="155" bestFit="1" customWidth="1"/>
    <col min="12057" max="12057" width="11.5703125" style="155" bestFit="1" customWidth="1"/>
    <col min="12058" max="12058" width="2" style="155" customWidth="1"/>
    <col min="12059" max="12059" width="13.5703125" style="155" bestFit="1" customWidth="1"/>
    <col min="12060" max="12060" width="12" style="155" bestFit="1" customWidth="1"/>
    <col min="12061" max="12061" width="13.5703125" style="155" bestFit="1" customWidth="1"/>
    <col min="12062" max="12062" width="12" style="155" bestFit="1" customWidth="1"/>
    <col min="12063" max="12288" width="11.42578125" style="155"/>
    <col min="12289" max="12290" width="3" style="155" bestFit="1" customWidth="1"/>
    <col min="12291" max="12291" width="3.7109375" style="155" customWidth="1"/>
    <col min="12292" max="12292" width="9.42578125" style="155" bestFit="1" customWidth="1"/>
    <col min="12293" max="12293" width="12" style="155" bestFit="1" customWidth="1"/>
    <col min="12294" max="12294" width="12.85546875" style="155" bestFit="1" customWidth="1"/>
    <col min="12295" max="12299" width="11.42578125" style="155"/>
    <col min="12300" max="12300" width="5.42578125" style="155" customWidth="1"/>
    <col min="12301" max="12301" width="20.42578125" style="155" bestFit="1" customWidth="1"/>
    <col min="12302" max="12302" width="12" style="155" bestFit="1" customWidth="1"/>
    <col min="12303" max="12303" width="11.42578125" style="155"/>
    <col min="12304" max="12304" width="3.42578125" style="155" bestFit="1" customWidth="1"/>
    <col min="12305" max="12305" width="3.140625" style="155" bestFit="1" customWidth="1"/>
    <col min="12306" max="12306" width="0.140625" style="155" customWidth="1"/>
    <col min="12307" max="12307" width="11.5703125" style="155" bestFit="1" customWidth="1"/>
    <col min="12308" max="12308" width="4.5703125" style="155" bestFit="1" customWidth="1"/>
    <col min="12309" max="12312" width="3" style="155" bestFit="1" customWidth="1"/>
    <col min="12313" max="12313" width="11.5703125" style="155" bestFit="1" customWidth="1"/>
    <col min="12314" max="12314" width="2" style="155" customWidth="1"/>
    <col min="12315" max="12315" width="13.5703125" style="155" bestFit="1" customWidth="1"/>
    <col min="12316" max="12316" width="12" style="155" bestFit="1" customWidth="1"/>
    <col min="12317" max="12317" width="13.5703125" style="155" bestFit="1" customWidth="1"/>
    <col min="12318" max="12318" width="12" style="155" bestFit="1" customWidth="1"/>
    <col min="12319" max="12544" width="11.42578125" style="155"/>
    <col min="12545" max="12546" width="3" style="155" bestFit="1" customWidth="1"/>
    <col min="12547" max="12547" width="3.7109375" style="155" customWidth="1"/>
    <col min="12548" max="12548" width="9.42578125" style="155" bestFit="1" customWidth="1"/>
    <col min="12549" max="12549" width="12" style="155" bestFit="1" customWidth="1"/>
    <col min="12550" max="12550" width="12.85546875" style="155" bestFit="1" customWidth="1"/>
    <col min="12551" max="12555" width="11.42578125" style="155"/>
    <col min="12556" max="12556" width="5.42578125" style="155" customWidth="1"/>
    <col min="12557" max="12557" width="20.42578125" style="155" bestFit="1" customWidth="1"/>
    <col min="12558" max="12558" width="12" style="155" bestFit="1" customWidth="1"/>
    <col min="12559" max="12559" width="11.42578125" style="155"/>
    <col min="12560" max="12560" width="3.42578125" style="155" bestFit="1" customWidth="1"/>
    <col min="12561" max="12561" width="3.140625" style="155" bestFit="1" customWidth="1"/>
    <col min="12562" max="12562" width="0.140625" style="155" customWidth="1"/>
    <col min="12563" max="12563" width="11.5703125" style="155" bestFit="1" customWidth="1"/>
    <col min="12564" max="12564" width="4.5703125" style="155" bestFit="1" customWidth="1"/>
    <col min="12565" max="12568" width="3" style="155" bestFit="1" customWidth="1"/>
    <col min="12569" max="12569" width="11.5703125" style="155" bestFit="1" customWidth="1"/>
    <col min="12570" max="12570" width="2" style="155" customWidth="1"/>
    <col min="12571" max="12571" width="13.5703125" style="155" bestFit="1" customWidth="1"/>
    <col min="12572" max="12572" width="12" style="155" bestFit="1" customWidth="1"/>
    <col min="12573" max="12573" width="13.5703125" style="155" bestFit="1" customWidth="1"/>
    <col min="12574" max="12574" width="12" style="155" bestFit="1" customWidth="1"/>
    <col min="12575" max="12800" width="11.42578125" style="155"/>
    <col min="12801" max="12802" width="3" style="155" bestFit="1" customWidth="1"/>
    <col min="12803" max="12803" width="3.7109375" style="155" customWidth="1"/>
    <col min="12804" max="12804" width="9.42578125" style="155" bestFit="1" customWidth="1"/>
    <col min="12805" max="12805" width="12" style="155" bestFit="1" customWidth="1"/>
    <col min="12806" max="12806" width="12.85546875" style="155" bestFit="1" customWidth="1"/>
    <col min="12807" max="12811" width="11.42578125" style="155"/>
    <col min="12812" max="12812" width="5.42578125" style="155" customWidth="1"/>
    <col min="12813" max="12813" width="20.42578125" style="155" bestFit="1" customWidth="1"/>
    <col min="12814" max="12814" width="12" style="155" bestFit="1" customWidth="1"/>
    <col min="12815" max="12815" width="11.42578125" style="155"/>
    <col min="12816" max="12816" width="3.42578125" style="155" bestFit="1" customWidth="1"/>
    <col min="12817" max="12817" width="3.140625" style="155" bestFit="1" customWidth="1"/>
    <col min="12818" max="12818" width="0.140625" style="155" customWidth="1"/>
    <col min="12819" max="12819" width="11.5703125" style="155" bestFit="1" customWidth="1"/>
    <col min="12820" max="12820" width="4.5703125" style="155" bestFit="1" customWidth="1"/>
    <col min="12821" max="12824" width="3" style="155" bestFit="1" customWidth="1"/>
    <col min="12825" max="12825" width="11.5703125" style="155" bestFit="1" customWidth="1"/>
    <col min="12826" max="12826" width="2" style="155" customWidth="1"/>
    <col min="12827" max="12827" width="13.5703125" style="155" bestFit="1" customWidth="1"/>
    <col min="12828" max="12828" width="12" style="155" bestFit="1" customWidth="1"/>
    <col min="12829" max="12829" width="13.5703125" style="155" bestFit="1" customWidth="1"/>
    <col min="12830" max="12830" width="12" style="155" bestFit="1" customWidth="1"/>
    <col min="12831" max="13056" width="11.42578125" style="155"/>
    <col min="13057" max="13058" width="3" style="155" bestFit="1" customWidth="1"/>
    <col min="13059" max="13059" width="3.7109375" style="155" customWidth="1"/>
    <col min="13060" max="13060" width="9.42578125" style="155" bestFit="1" customWidth="1"/>
    <col min="13061" max="13061" width="12" style="155" bestFit="1" customWidth="1"/>
    <col min="13062" max="13062" width="12.85546875" style="155" bestFit="1" customWidth="1"/>
    <col min="13063" max="13067" width="11.42578125" style="155"/>
    <col min="13068" max="13068" width="5.42578125" style="155" customWidth="1"/>
    <col min="13069" max="13069" width="20.42578125" style="155" bestFit="1" customWidth="1"/>
    <col min="13070" max="13070" width="12" style="155" bestFit="1" customWidth="1"/>
    <col min="13071" max="13071" width="11.42578125" style="155"/>
    <col min="13072" max="13072" width="3.42578125" style="155" bestFit="1" customWidth="1"/>
    <col min="13073" max="13073" width="3.140625" style="155" bestFit="1" customWidth="1"/>
    <col min="13074" max="13074" width="0.140625" style="155" customWidth="1"/>
    <col min="13075" max="13075" width="11.5703125" style="155" bestFit="1" customWidth="1"/>
    <col min="13076" max="13076" width="4.5703125" style="155" bestFit="1" customWidth="1"/>
    <col min="13077" max="13080" width="3" style="155" bestFit="1" customWidth="1"/>
    <col min="13081" max="13081" width="11.5703125" style="155" bestFit="1" customWidth="1"/>
    <col min="13082" max="13082" width="2" style="155" customWidth="1"/>
    <col min="13083" max="13083" width="13.5703125" style="155" bestFit="1" customWidth="1"/>
    <col min="13084" max="13084" width="12" style="155" bestFit="1" customWidth="1"/>
    <col min="13085" max="13085" width="13.5703125" style="155" bestFit="1" customWidth="1"/>
    <col min="13086" max="13086" width="12" style="155" bestFit="1" customWidth="1"/>
    <col min="13087" max="13312" width="11.42578125" style="155"/>
    <col min="13313" max="13314" width="3" style="155" bestFit="1" customWidth="1"/>
    <col min="13315" max="13315" width="3.7109375" style="155" customWidth="1"/>
    <col min="13316" max="13316" width="9.42578125" style="155" bestFit="1" customWidth="1"/>
    <col min="13317" max="13317" width="12" style="155" bestFit="1" customWidth="1"/>
    <col min="13318" max="13318" width="12.85546875" style="155" bestFit="1" customWidth="1"/>
    <col min="13319" max="13323" width="11.42578125" style="155"/>
    <col min="13324" max="13324" width="5.42578125" style="155" customWidth="1"/>
    <col min="13325" max="13325" width="20.42578125" style="155" bestFit="1" customWidth="1"/>
    <col min="13326" max="13326" width="12" style="155" bestFit="1" customWidth="1"/>
    <col min="13327" max="13327" width="11.42578125" style="155"/>
    <col min="13328" max="13328" width="3.42578125" style="155" bestFit="1" customWidth="1"/>
    <col min="13329" max="13329" width="3.140625" style="155" bestFit="1" customWidth="1"/>
    <col min="13330" max="13330" width="0.140625" style="155" customWidth="1"/>
    <col min="13331" max="13331" width="11.5703125" style="155" bestFit="1" customWidth="1"/>
    <col min="13332" max="13332" width="4.5703125" style="155" bestFit="1" customWidth="1"/>
    <col min="13333" max="13336" width="3" style="155" bestFit="1" customWidth="1"/>
    <col min="13337" max="13337" width="11.5703125" style="155" bestFit="1" customWidth="1"/>
    <col min="13338" max="13338" width="2" style="155" customWidth="1"/>
    <col min="13339" max="13339" width="13.5703125" style="155" bestFit="1" customWidth="1"/>
    <col min="13340" max="13340" width="12" style="155" bestFit="1" customWidth="1"/>
    <col min="13341" max="13341" width="13.5703125" style="155" bestFit="1" customWidth="1"/>
    <col min="13342" max="13342" width="12" style="155" bestFit="1" customWidth="1"/>
    <col min="13343" max="13568" width="11.42578125" style="155"/>
    <col min="13569" max="13570" width="3" style="155" bestFit="1" customWidth="1"/>
    <col min="13571" max="13571" width="3.7109375" style="155" customWidth="1"/>
    <col min="13572" max="13572" width="9.42578125" style="155" bestFit="1" customWidth="1"/>
    <col min="13573" max="13573" width="12" style="155" bestFit="1" customWidth="1"/>
    <col min="13574" max="13574" width="12.85546875" style="155" bestFit="1" customWidth="1"/>
    <col min="13575" max="13579" width="11.42578125" style="155"/>
    <col min="13580" max="13580" width="5.42578125" style="155" customWidth="1"/>
    <col min="13581" max="13581" width="20.42578125" style="155" bestFit="1" customWidth="1"/>
    <col min="13582" max="13582" width="12" style="155" bestFit="1" customWidth="1"/>
    <col min="13583" max="13583" width="11.42578125" style="155"/>
    <col min="13584" max="13584" width="3.42578125" style="155" bestFit="1" customWidth="1"/>
    <col min="13585" max="13585" width="3.140625" style="155" bestFit="1" customWidth="1"/>
    <col min="13586" max="13586" width="0.140625" style="155" customWidth="1"/>
    <col min="13587" max="13587" width="11.5703125" style="155" bestFit="1" customWidth="1"/>
    <col min="13588" max="13588" width="4.5703125" style="155" bestFit="1" customWidth="1"/>
    <col min="13589" max="13592" width="3" style="155" bestFit="1" customWidth="1"/>
    <col min="13593" max="13593" width="11.5703125" style="155" bestFit="1" customWidth="1"/>
    <col min="13594" max="13594" width="2" style="155" customWidth="1"/>
    <col min="13595" max="13595" width="13.5703125" style="155" bestFit="1" customWidth="1"/>
    <col min="13596" max="13596" width="12" style="155" bestFit="1" customWidth="1"/>
    <col min="13597" max="13597" width="13.5703125" style="155" bestFit="1" customWidth="1"/>
    <col min="13598" max="13598" width="12" style="155" bestFit="1" customWidth="1"/>
    <col min="13599" max="13824" width="11.42578125" style="155"/>
    <col min="13825" max="13826" width="3" style="155" bestFit="1" customWidth="1"/>
    <col min="13827" max="13827" width="3.7109375" style="155" customWidth="1"/>
    <col min="13828" max="13828" width="9.42578125" style="155" bestFit="1" customWidth="1"/>
    <col min="13829" max="13829" width="12" style="155" bestFit="1" customWidth="1"/>
    <col min="13830" max="13830" width="12.85546875" style="155" bestFit="1" customWidth="1"/>
    <col min="13831" max="13835" width="11.42578125" style="155"/>
    <col min="13836" max="13836" width="5.42578125" style="155" customWidth="1"/>
    <col min="13837" max="13837" width="20.42578125" style="155" bestFit="1" customWidth="1"/>
    <col min="13838" max="13838" width="12" style="155" bestFit="1" customWidth="1"/>
    <col min="13839" max="13839" width="11.42578125" style="155"/>
    <col min="13840" max="13840" width="3.42578125" style="155" bestFit="1" customWidth="1"/>
    <col min="13841" max="13841" width="3.140625" style="155" bestFit="1" customWidth="1"/>
    <col min="13842" max="13842" width="0.140625" style="155" customWidth="1"/>
    <col min="13843" max="13843" width="11.5703125" style="155" bestFit="1" customWidth="1"/>
    <col min="13844" max="13844" width="4.5703125" style="155" bestFit="1" customWidth="1"/>
    <col min="13845" max="13848" width="3" style="155" bestFit="1" customWidth="1"/>
    <col min="13849" max="13849" width="11.5703125" style="155" bestFit="1" customWidth="1"/>
    <col min="13850" max="13850" width="2" style="155" customWidth="1"/>
    <col min="13851" max="13851" width="13.5703125" style="155" bestFit="1" customWidth="1"/>
    <col min="13852" max="13852" width="12" style="155" bestFit="1" customWidth="1"/>
    <col min="13853" max="13853" width="13.5703125" style="155" bestFit="1" customWidth="1"/>
    <col min="13854" max="13854" width="12" style="155" bestFit="1" customWidth="1"/>
    <col min="13855" max="14080" width="11.42578125" style="155"/>
    <col min="14081" max="14082" width="3" style="155" bestFit="1" customWidth="1"/>
    <col min="14083" max="14083" width="3.7109375" style="155" customWidth="1"/>
    <col min="14084" max="14084" width="9.42578125" style="155" bestFit="1" customWidth="1"/>
    <col min="14085" max="14085" width="12" style="155" bestFit="1" customWidth="1"/>
    <col min="14086" max="14086" width="12.85546875" style="155" bestFit="1" customWidth="1"/>
    <col min="14087" max="14091" width="11.42578125" style="155"/>
    <col min="14092" max="14092" width="5.42578125" style="155" customWidth="1"/>
    <col min="14093" max="14093" width="20.42578125" style="155" bestFit="1" customWidth="1"/>
    <col min="14094" max="14094" width="12" style="155" bestFit="1" customWidth="1"/>
    <col min="14095" max="14095" width="11.42578125" style="155"/>
    <col min="14096" max="14096" width="3.42578125" style="155" bestFit="1" customWidth="1"/>
    <col min="14097" max="14097" width="3.140625" style="155" bestFit="1" customWidth="1"/>
    <col min="14098" max="14098" width="0.140625" style="155" customWidth="1"/>
    <col min="14099" max="14099" width="11.5703125" style="155" bestFit="1" customWidth="1"/>
    <col min="14100" max="14100" width="4.5703125" style="155" bestFit="1" customWidth="1"/>
    <col min="14101" max="14104" width="3" style="155" bestFit="1" customWidth="1"/>
    <col min="14105" max="14105" width="11.5703125" style="155" bestFit="1" customWidth="1"/>
    <col min="14106" max="14106" width="2" style="155" customWidth="1"/>
    <col min="14107" max="14107" width="13.5703125" style="155" bestFit="1" customWidth="1"/>
    <col min="14108" max="14108" width="12" style="155" bestFit="1" customWidth="1"/>
    <col min="14109" max="14109" width="13.5703125" style="155" bestFit="1" customWidth="1"/>
    <col min="14110" max="14110" width="12" style="155" bestFit="1" customWidth="1"/>
    <col min="14111" max="14336" width="11.42578125" style="155"/>
    <col min="14337" max="14338" width="3" style="155" bestFit="1" customWidth="1"/>
    <col min="14339" max="14339" width="3.7109375" style="155" customWidth="1"/>
    <col min="14340" max="14340" width="9.42578125" style="155" bestFit="1" customWidth="1"/>
    <col min="14341" max="14341" width="12" style="155" bestFit="1" customWidth="1"/>
    <col min="14342" max="14342" width="12.85546875" style="155" bestFit="1" customWidth="1"/>
    <col min="14343" max="14347" width="11.42578125" style="155"/>
    <col min="14348" max="14348" width="5.42578125" style="155" customWidth="1"/>
    <col min="14349" max="14349" width="20.42578125" style="155" bestFit="1" customWidth="1"/>
    <col min="14350" max="14350" width="12" style="155" bestFit="1" customWidth="1"/>
    <col min="14351" max="14351" width="11.42578125" style="155"/>
    <col min="14352" max="14352" width="3.42578125" style="155" bestFit="1" customWidth="1"/>
    <col min="14353" max="14353" width="3.140625" style="155" bestFit="1" customWidth="1"/>
    <col min="14354" max="14354" width="0.140625" style="155" customWidth="1"/>
    <col min="14355" max="14355" width="11.5703125" style="155" bestFit="1" customWidth="1"/>
    <col min="14356" max="14356" width="4.5703125" style="155" bestFit="1" customWidth="1"/>
    <col min="14357" max="14360" width="3" style="155" bestFit="1" customWidth="1"/>
    <col min="14361" max="14361" width="11.5703125" style="155" bestFit="1" customWidth="1"/>
    <col min="14362" max="14362" width="2" style="155" customWidth="1"/>
    <col min="14363" max="14363" width="13.5703125" style="155" bestFit="1" customWidth="1"/>
    <col min="14364" max="14364" width="12" style="155" bestFit="1" customWidth="1"/>
    <col min="14365" max="14365" width="13.5703125" style="155" bestFit="1" customWidth="1"/>
    <col min="14366" max="14366" width="12" style="155" bestFit="1" customWidth="1"/>
    <col min="14367" max="14592" width="11.42578125" style="155"/>
    <col min="14593" max="14594" width="3" style="155" bestFit="1" customWidth="1"/>
    <col min="14595" max="14595" width="3.7109375" style="155" customWidth="1"/>
    <col min="14596" max="14596" width="9.42578125" style="155" bestFit="1" customWidth="1"/>
    <col min="14597" max="14597" width="12" style="155" bestFit="1" customWidth="1"/>
    <col min="14598" max="14598" width="12.85546875" style="155" bestFit="1" customWidth="1"/>
    <col min="14599" max="14603" width="11.42578125" style="155"/>
    <col min="14604" max="14604" width="5.42578125" style="155" customWidth="1"/>
    <col min="14605" max="14605" width="20.42578125" style="155" bestFit="1" customWidth="1"/>
    <col min="14606" max="14606" width="12" style="155" bestFit="1" customWidth="1"/>
    <col min="14607" max="14607" width="11.42578125" style="155"/>
    <col min="14608" max="14608" width="3.42578125" style="155" bestFit="1" customWidth="1"/>
    <col min="14609" max="14609" width="3.140625" style="155" bestFit="1" customWidth="1"/>
    <col min="14610" max="14610" width="0.140625" style="155" customWidth="1"/>
    <col min="14611" max="14611" width="11.5703125" style="155" bestFit="1" customWidth="1"/>
    <col min="14612" max="14612" width="4.5703125" style="155" bestFit="1" customWidth="1"/>
    <col min="14613" max="14616" width="3" style="155" bestFit="1" customWidth="1"/>
    <col min="14617" max="14617" width="11.5703125" style="155" bestFit="1" customWidth="1"/>
    <col min="14618" max="14618" width="2" style="155" customWidth="1"/>
    <col min="14619" max="14619" width="13.5703125" style="155" bestFit="1" customWidth="1"/>
    <col min="14620" max="14620" width="12" style="155" bestFit="1" customWidth="1"/>
    <col min="14621" max="14621" width="13.5703125" style="155" bestFit="1" customWidth="1"/>
    <col min="14622" max="14622" width="12" style="155" bestFit="1" customWidth="1"/>
    <col min="14623" max="14848" width="11.42578125" style="155"/>
    <col min="14849" max="14850" width="3" style="155" bestFit="1" customWidth="1"/>
    <col min="14851" max="14851" width="3.7109375" style="155" customWidth="1"/>
    <col min="14852" max="14852" width="9.42578125" style="155" bestFit="1" customWidth="1"/>
    <col min="14853" max="14853" width="12" style="155" bestFit="1" customWidth="1"/>
    <col min="14854" max="14854" width="12.85546875" style="155" bestFit="1" customWidth="1"/>
    <col min="14855" max="14859" width="11.42578125" style="155"/>
    <col min="14860" max="14860" width="5.42578125" style="155" customWidth="1"/>
    <col min="14861" max="14861" width="20.42578125" style="155" bestFit="1" customWidth="1"/>
    <col min="14862" max="14862" width="12" style="155" bestFit="1" customWidth="1"/>
    <col min="14863" max="14863" width="11.42578125" style="155"/>
    <col min="14864" max="14864" width="3.42578125" style="155" bestFit="1" customWidth="1"/>
    <col min="14865" max="14865" width="3.140625" style="155" bestFit="1" customWidth="1"/>
    <col min="14866" max="14866" width="0.140625" style="155" customWidth="1"/>
    <col min="14867" max="14867" width="11.5703125" style="155" bestFit="1" customWidth="1"/>
    <col min="14868" max="14868" width="4.5703125" style="155" bestFit="1" customWidth="1"/>
    <col min="14869" max="14872" width="3" style="155" bestFit="1" customWidth="1"/>
    <col min="14873" max="14873" width="11.5703125" style="155" bestFit="1" customWidth="1"/>
    <col min="14874" max="14874" width="2" style="155" customWidth="1"/>
    <col min="14875" max="14875" width="13.5703125" style="155" bestFit="1" customWidth="1"/>
    <col min="14876" max="14876" width="12" style="155" bestFit="1" customWidth="1"/>
    <col min="14877" max="14877" width="13.5703125" style="155" bestFit="1" customWidth="1"/>
    <col min="14878" max="14878" width="12" style="155" bestFit="1" customWidth="1"/>
    <col min="14879" max="15104" width="11.42578125" style="155"/>
    <col min="15105" max="15106" width="3" style="155" bestFit="1" customWidth="1"/>
    <col min="15107" max="15107" width="3.7109375" style="155" customWidth="1"/>
    <col min="15108" max="15108" width="9.42578125" style="155" bestFit="1" customWidth="1"/>
    <col min="15109" max="15109" width="12" style="155" bestFit="1" customWidth="1"/>
    <col min="15110" max="15110" width="12.85546875" style="155" bestFit="1" customWidth="1"/>
    <col min="15111" max="15115" width="11.42578125" style="155"/>
    <col min="15116" max="15116" width="5.42578125" style="155" customWidth="1"/>
    <col min="15117" max="15117" width="20.42578125" style="155" bestFit="1" customWidth="1"/>
    <col min="15118" max="15118" width="12" style="155" bestFit="1" customWidth="1"/>
    <col min="15119" max="15119" width="11.42578125" style="155"/>
    <col min="15120" max="15120" width="3.42578125" style="155" bestFit="1" customWidth="1"/>
    <col min="15121" max="15121" width="3.140625" style="155" bestFit="1" customWidth="1"/>
    <col min="15122" max="15122" width="0.140625" style="155" customWidth="1"/>
    <col min="15123" max="15123" width="11.5703125" style="155" bestFit="1" customWidth="1"/>
    <col min="15124" max="15124" width="4.5703125" style="155" bestFit="1" customWidth="1"/>
    <col min="15125" max="15128" width="3" style="155" bestFit="1" customWidth="1"/>
    <col min="15129" max="15129" width="11.5703125" style="155" bestFit="1" customWidth="1"/>
    <col min="15130" max="15130" width="2" style="155" customWidth="1"/>
    <col min="15131" max="15131" width="13.5703125" style="155" bestFit="1" customWidth="1"/>
    <col min="15132" max="15132" width="12" style="155" bestFit="1" customWidth="1"/>
    <col min="15133" max="15133" width="13.5703125" style="155" bestFit="1" customWidth="1"/>
    <col min="15134" max="15134" width="12" style="155" bestFit="1" customWidth="1"/>
    <col min="15135" max="15360" width="11.42578125" style="155"/>
    <col min="15361" max="15362" width="3" style="155" bestFit="1" customWidth="1"/>
    <col min="15363" max="15363" width="3.7109375" style="155" customWidth="1"/>
    <col min="15364" max="15364" width="9.42578125" style="155" bestFit="1" customWidth="1"/>
    <col min="15365" max="15365" width="12" style="155" bestFit="1" customWidth="1"/>
    <col min="15366" max="15366" width="12.85546875" style="155" bestFit="1" customWidth="1"/>
    <col min="15367" max="15371" width="11.42578125" style="155"/>
    <col min="15372" max="15372" width="5.42578125" style="155" customWidth="1"/>
    <col min="15373" max="15373" width="20.42578125" style="155" bestFit="1" customWidth="1"/>
    <col min="15374" max="15374" width="12" style="155" bestFit="1" customWidth="1"/>
    <col min="15375" max="15375" width="11.42578125" style="155"/>
    <col min="15376" max="15376" width="3.42578125" style="155" bestFit="1" customWidth="1"/>
    <col min="15377" max="15377" width="3.140625" style="155" bestFit="1" customWidth="1"/>
    <col min="15378" max="15378" width="0.140625" style="155" customWidth="1"/>
    <col min="15379" max="15379" width="11.5703125" style="155" bestFit="1" customWidth="1"/>
    <col min="15380" max="15380" width="4.5703125" style="155" bestFit="1" customWidth="1"/>
    <col min="15381" max="15384" width="3" style="155" bestFit="1" customWidth="1"/>
    <col min="15385" max="15385" width="11.5703125" style="155" bestFit="1" customWidth="1"/>
    <col min="15386" max="15386" width="2" style="155" customWidth="1"/>
    <col min="15387" max="15387" width="13.5703125" style="155" bestFit="1" customWidth="1"/>
    <col min="15388" max="15388" width="12" style="155" bestFit="1" customWidth="1"/>
    <col min="15389" max="15389" width="13.5703125" style="155" bestFit="1" customWidth="1"/>
    <col min="15390" max="15390" width="12" style="155" bestFit="1" customWidth="1"/>
    <col min="15391" max="15616" width="11.42578125" style="155"/>
    <col min="15617" max="15618" width="3" style="155" bestFit="1" customWidth="1"/>
    <col min="15619" max="15619" width="3.7109375" style="155" customWidth="1"/>
    <col min="15620" max="15620" width="9.42578125" style="155" bestFit="1" customWidth="1"/>
    <col min="15621" max="15621" width="12" style="155" bestFit="1" customWidth="1"/>
    <col min="15622" max="15622" width="12.85546875" style="155" bestFit="1" customWidth="1"/>
    <col min="15623" max="15627" width="11.42578125" style="155"/>
    <col min="15628" max="15628" width="5.42578125" style="155" customWidth="1"/>
    <col min="15629" max="15629" width="20.42578125" style="155" bestFit="1" customWidth="1"/>
    <col min="15630" max="15630" width="12" style="155" bestFit="1" customWidth="1"/>
    <col min="15631" max="15631" width="11.42578125" style="155"/>
    <col min="15632" max="15632" width="3.42578125" style="155" bestFit="1" customWidth="1"/>
    <col min="15633" max="15633" width="3.140625" style="155" bestFit="1" customWidth="1"/>
    <col min="15634" max="15634" width="0.140625" style="155" customWidth="1"/>
    <col min="15635" max="15635" width="11.5703125" style="155" bestFit="1" customWidth="1"/>
    <col min="15636" max="15636" width="4.5703125" style="155" bestFit="1" customWidth="1"/>
    <col min="15637" max="15640" width="3" style="155" bestFit="1" customWidth="1"/>
    <col min="15641" max="15641" width="11.5703125" style="155" bestFit="1" customWidth="1"/>
    <col min="15642" max="15642" width="2" style="155" customWidth="1"/>
    <col min="15643" max="15643" width="13.5703125" style="155" bestFit="1" customWidth="1"/>
    <col min="15644" max="15644" width="12" style="155" bestFit="1" customWidth="1"/>
    <col min="15645" max="15645" width="13.5703125" style="155" bestFit="1" customWidth="1"/>
    <col min="15646" max="15646" width="12" style="155" bestFit="1" customWidth="1"/>
    <col min="15647" max="15872" width="11.42578125" style="155"/>
    <col min="15873" max="15874" width="3" style="155" bestFit="1" customWidth="1"/>
    <col min="15875" max="15875" width="3.7109375" style="155" customWidth="1"/>
    <col min="15876" max="15876" width="9.42578125" style="155" bestFit="1" customWidth="1"/>
    <col min="15877" max="15877" width="12" style="155" bestFit="1" customWidth="1"/>
    <col min="15878" max="15878" width="12.85546875" style="155" bestFit="1" customWidth="1"/>
    <col min="15879" max="15883" width="11.42578125" style="155"/>
    <col min="15884" max="15884" width="5.42578125" style="155" customWidth="1"/>
    <col min="15885" max="15885" width="20.42578125" style="155" bestFit="1" customWidth="1"/>
    <col min="15886" max="15886" width="12" style="155" bestFit="1" customWidth="1"/>
    <col min="15887" max="15887" width="11.42578125" style="155"/>
    <col min="15888" max="15888" width="3.42578125" style="155" bestFit="1" customWidth="1"/>
    <col min="15889" max="15889" width="3.140625" style="155" bestFit="1" customWidth="1"/>
    <col min="15890" max="15890" width="0.140625" style="155" customWidth="1"/>
    <col min="15891" max="15891" width="11.5703125" style="155" bestFit="1" customWidth="1"/>
    <col min="15892" max="15892" width="4.5703125" style="155" bestFit="1" customWidth="1"/>
    <col min="15893" max="15896" width="3" style="155" bestFit="1" customWidth="1"/>
    <col min="15897" max="15897" width="11.5703125" style="155" bestFit="1" customWidth="1"/>
    <col min="15898" max="15898" width="2" style="155" customWidth="1"/>
    <col min="15899" max="15899" width="13.5703125" style="155" bestFit="1" customWidth="1"/>
    <col min="15900" max="15900" width="12" style="155" bestFit="1" customWidth="1"/>
    <col min="15901" max="15901" width="13.5703125" style="155" bestFit="1" customWidth="1"/>
    <col min="15902" max="15902" width="12" style="155" bestFit="1" customWidth="1"/>
    <col min="15903" max="16128" width="11.42578125" style="155"/>
    <col min="16129" max="16130" width="3" style="155" bestFit="1" customWidth="1"/>
    <col min="16131" max="16131" width="3.7109375" style="155" customWidth="1"/>
    <col min="16132" max="16132" width="9.42578125" style="155" bestFit="1" customWidth="1"/>
    <col min="16133" max="16133" width="12" style="155" bestFit="1" customWidth="1"/>
    <col min="16134" max="16134" width="12.85546875" style="155" bestFit="1" customWidth="1"/>
    <col min="16135" max="16139" width="11.42578125" style="155"/>
    <col min="16140" max="16140" width="5.42578125" style="155" customWidth="1"/>
    <col min="16141" max="16141" width="20.42578125" style="155" bestFit="1" customWidth="1"/>
    <col min="16142" max="16142" width="12" style="155" bestFit="1" customWidth="1"/>
    <col min="16143" max="16143" width="11.42578125" style="155"/>
    <col min="16144" max="16144" width="3.42578125" style="155" bestFit="1" customWidth="1"/>
    <col min="16145" max="16145" width="3.140625" style="155" bestFit="1" customWidth="1"/>
    <col min="16146" max="16146" width="0.140625" style="155" customWidth="1"/>
    <col min="16147" max="16147" width="11.5703125" style="155" bestFit="1" customWidth="1"/>
    <col min="16148" max="16148" width="4.5703125" style="155" bestFit="1" customWidth="1"/>
    <col min="16149" max="16152" width="3" style="155" bestFit="1" customWidth="1"/>
    <col min="16153" max="16153" width="11.5703125" style="155" bestFit="1" customWidth="1"/>
    <col min="16154" max="16154" width="2" style="155" customWidth="1"/>
    <col min="16155" max="16155" width="13.5703125" style="155" bestFit="1" customWidth="1"/>
    <col min="16156" max="16156" width="12" style="155" bestFit="1" customWidth="1"/>
    <col min="16157" max="16157" width="13.5703125" style="155" bestFit="1" customWidth="1"/>
    <col min="16158" max="16158" width="12" style="155" bestFit="1" customWidth="1"/>
    <col min="16159" max="16384" width="11.42578125" style="155"/>
  </cols>
  <sheetData>
    <row r="2" spans="4:15" x14ac:dyDescent="0.2">
      <c r="D2" s="413" t="s">
        <v>326</v>
      </c>
      <c r="E2" s="414"/>
      <c r="F2" s="414"/>
      <c r="G2" s="414"/>
      <c r="H2" s="414"/>
      <c r="I2" s="414"/>
      <c r="J2" s="414"/>
      <c r="K2" s="414"/>
      <c r="L2" s="414"/>
      <c r="M2" s="414"/>
      <c r="N2" s="414"/>
      <c r="O2" s="415"/>
    </row>
    <row r="3" spans="4:15" x14ac:dyDescent="0.2">
      <c r="D3" s="416"/>
      <c r="E3" s="417"/>
      <c r="F3" s="417"/>
      <c r="G3" s="417"/>
      <c r="H3" s="417"/>
      <c r="I3" s="417"/>
      <c r="J3" s="417"/>
      <c r="K3" s="417"/>
      <c r="L3" s="417"/>
      <c r="M3" s="417"/>
      <c r="N3" s="417"/>
      <c r="O3" s="418"/>
    </row>
    <row r="4" spans="4:15" x14ac:dyDescent="0.2">
      <c r="D4" s="416"/>
      <c r="E4" s="417"/>
      <c r="F4" s="417"/>
      <c r="G4" s="417"/>
      <c r="H4" s="417"/>
      <c r="I4" s="417"/>
      <c r="J4" s="417"/>
      <c r="K4" s="417"/>
      <c r="L4" s="417"/>
      <c r="M4" s="417"/>
      <c r="N4" s="417"/>
      <c r="O4" s="418"/>
    </row>
    <row r="5" spans="4:15" x14ac:dyDescent="0.2">
      <c r="D5" s="416"/>
      <c r="E5" s="417"/>
      <c r="F5" s="417"/>
      <c r="G5" s="417"/>
      <c r="H5" s="417"/>
      <c r="I5" s="417"/>
      <c r="J5" s="417"/>
      <c r="K5" s="417"/>
      <c r="L5" s="417"/>
      <c r="M5" s="417"/>
      <c r="N5" s="417"/>
      <c r="O5" s="418"/>
    </row>
    <row r="6" spans="4:15" x14ac:dyDescent="0.2">
      <c r="D6" s="416"/>
      <c r="E6" s="417"/>
      <c r="F6" s="417"/>
      <c r="G6" s="417"/>
      <c r="H6" s="417"/>
      <c r="I6" s="417"/>
      <c r="J6" s="417"/>
      <c r="K6" s="417"/>
      <c r="L6" s="417"/>
      <c r="M6" s="417"/>
      <c r="N6" s="417"/>
      <c r="O6" s="418"/>
    </row>
    <row r="7" spans="4:15" x14ac:dyDescent="0.2">
      <c r="D7" s="416"/>
      <c r="E7" s="417"/>
      <c r="F7" s="417"/>
      <c r="G7" s="417"/>
      <c r="H7" s="417"/>
      <c r="I7" s="417"/>
      <c r="J7" s="417"/>
      <c r="K7" s="417"/>
      <c r="L7" s="417"/>
      <c r="M7" s="417"/>
      <c r="N7" s="417"/>
      <c r="O7" s="418"/>
    </row>
    <row r="8" spans="4:15" x14ac:dyDescent="0.2">
      <c r="D8" s="416"/>
      <c r="E8" s="417"/>
      <c r="F8" s="417"/>
      <c r="G8" s="417"/>
      <c r="H8" s="417"/>
      <c r="I8" s="417"/>
      <c r="J8" s="417"/>
      <c r="K8" s="417"/>
      <c r="L8" s="417"/>
      <c r="M8" s="417"/>
      <c r="N8" s="417"/>
      <c r="O8" s="418"/>
    </row>
    <row r="9" spans="4:15" x14ac:dyDescent="0.2">
      <c r="D9" s="416"/>
      <c r="E9" s="417"/>
      <c r="F9" s="417"/>
      <c r="G9" s="417"/>
      <c r="H9" s="417"/>
      <c r="I9" s="417"/>
      <c r="J9" s="417"/>
      <c r="K9" s="417"/>
      <c r="L9" s="417"/>
      <c r="M9" s="417"/>
      <c r="N9" s="417"/>
      <c r="O9" s="418"/>
    </row>
    <row r="10" spans="4:15" x14ac:dyDescent="0.2">
      <c r="D10" s="416"/>
      <c r="E10" s="417"/>
      <c r="F10" s="417"/>
      <c r="G10" s="417"/>
      <c r="H10" s="417"/>
      <c r="I10" s="417"/>
      <c r="J10" s="417"/>
      <c r="K10" s="417"/>
      <c r="L10" s="417"/>
      <c r="M10" s="417"/>
      <c r="N10" s="417"/>
      <c r="O10" s="418"/>
    </row>
    <row r="11" spans="4:15" x14ac:dyDescent="0.2">
      <c r="D11" s="416"/>
      <c r="E11" s="417"/>
      <c r="F11" s="417"/>
      <c r="G11" s="417"/>
      <c r="H11" s="417"/>
      <c r="I11" s="417"/>
      <c r="J11" s="417"/>
      <c r="K11" s="417"/>
      <c r="L11" s="417"/>
      <c r="M11" s="417"/>
      <c r="N11" s="417"/>
      <c r="O11" s="418"/>
    </row>
    <row r="12" spans="4:15" x14ac:dyDescent="0.2">
      <c r="D12" s="416"/>
      <c r="E12" s="417"/>
      <c r="F12" s="417"/>
      <c r="G12" s="417"/>
      <c r="H12" s="417"/>
      <c r="I12" s="417"/>
      <c r="J12" s="417"/>
      <c r="K12" s="417"/>
      <c r="L12" s="417"/>
      <c r="M12" s="417"/>
      <c r="N12" s="417"/>
      <c r="O12" s="418"/>
    </row>
    <row r="13" spans="4:15" x14ac:dyDescent="0.2">
      <c r="D13" s="416"/>
      <c r="E13" s="417"/>
      <c r="F13" s="417"/>
      <c r="G13" s="417"/>
      <c r="H13" s="417"/>
      <c r="I13" s="417"/>
      <c r="J13" s="417"/>
      <c r="K13" s="417"/>
      <c r="L13" s="417"/>
      <c r="M13" s="417"/>
      <c r="N13" s="417"/>
      <c r="O13" s="418"/>
    </row>
    <row r="14" spans="4:15" x14ac:dyDescent="0.2">
      <c r="D14" s="419"/>
      <c r="E14" s="420"/>
      <c r="F14" s="420"/>
      <c r="G14" s="420"/>
      <c r="H14" s="420"/>
      <c r="I14" s="420"/>
      <c r="J14" s="420"/>
      <c r="K14" s="420"/>
      <c r="L14" s="420"/>
      <c r="M14" s="420"/>
      <c r="N14" s="420"/>
      <c r="O14" s="421"/>
    </row>
    <row r="15" spans="4:15" x14ac:dyDescent="0.2">
      <c r="D15" s="266"/>
      <c r="E15" s="266"/>
      <c r="F15" s="266"/>
      <c r="G15" s="266"/>
      <c r="H15" s="266"/>
      <c r="I15" s="266"/>
      <c r="J15" s="266"/>
      <c r="K15" s="266"/>
      <c r="L15" s="266"/>
      <c r="M15" s="266"/>
      <c r="N15" s="266"/>
      <c r="O15" s="266"/>
    </row>
    <row r="16" spans="4:15" x14ac:dyDescent="0.2">
      <c r="D16" s="266"/>
      <c r="E16" s="273" t="s">
        <v>327</v>
      </c>
      <c r="F16" s="269">
        <v>0</v>
      </c>
      <c r="G16" s="269">
        <v>5</v>
      </c>
      <c r="H16" s="269">
        <v>10</v>
      </c>
      <c r="I16" s="269">
        <v>15</v>
      </c>
      <c r="J16" s="270">
        <v>20</v>
      </c>
      <c r="K16" s="266"/>
      <c r="L16" s="266"/>
      <c r="M16" s="266"/>
      <c r="N16" s="266"/>
      <c r="O16" s="266"/>
    </row>
    <row r="17" spans="1:32" x14ac:dyDescent="0.2">
      <c r="D17" s="266"/>
      <c r="E17" s="271">
        <v>66</v>
      </c>
      <c r="F17" s="178">
        <v>1</v>
      </c>
      <c r="G17" s="178">
        <v>2</v>
      </c>
      <c r="H17" s="178">
        <v>0</v>
      </c>
      <c r="I17" s="178">
        <v>1</v>
      </c>
      <c r="J17" s="267">
        <v>2</v>
      </c>
      <c r="K17" s="266"/>
      <c r="L17" s="266"/>
      <c r="M17" s="266"/>
      <c r="N17" s="266"/>
      <c r="O17" s="266"/>
    </row>
    <row r="18" spans="1:32" x14ac:dyDescent="0.2">
      <c r="D18" s="266"/>
      <c r="E18" s="271">
        <v>68</v>
      </c>
      <c r="F18" s="178">
        <v>3</v>
      </c>
      <c r="G18" s="178">
        <v>2</v>
      </c>
      <c r="H18" s="178">
        <v>1</v>
      </c>
      <c r="I18" s="178">
        <v>0</v>
      </c>
      <c r="J18" s="267">
        <v>1</v>
      </c>
      <c r="K18" s="266"/>
      <c r="L18" s="266"/>
      <c r="M18" s="266"/>
      <c r="N18" s="266"/>
      <c r="O18" s="266"/>
    </row>
    <row r="19" spans="1:32" x14ac:dyDescent="0.2">
      <c r="D19" s="266"/>
      <c r="E19" s="271">
        <v>70</v>
      </c>
      <c r="F19" s="178">
        <v>0</v>
      </c>
      <c r="G19" s="178">
        <v>1</v>
      </c>
      <c r="H19" s="178">
        <v>0</v>
      </c>
      <c r="I19" s="178">
        <v>1</v>
      </c>
      <c r="J19" s="267">
        <v>2</v>
      </c>
      <c r="K19" s="266"/>
      <c r="L19" s="266"/>
      <c r="M19" s="266"/>
      <c r="N19" s="266"/>
      <c r="O19" s="266"/>
    </row>
    <row r="20" spans="1:32" x14ac:dyDescent="0.2">
      <c r="D20" s="266"/>
      <c r="E20" s="271">
        <v>72</v>
      </c>
      <c r="F20" s="178">
        <v>1</v>
      </c>
      <c r="G20" s="178">
        <v>2</v>
      </c>
      <c r="H20" s="178">
        <v>1</v>
      </c>
      <c r="I20" s="178">
        <v>2</v>
      </c>
      <c r="J20" s="267">
        <v>1</v>
      </c>
      <c r="K20" s="266"/>
      <c r="L20" s="266"/>
      <c r="M20" s="266"/>
      <c r="N20" s="266"/>
      <c r="O20" s="266"/>
    </row>
    <row r="21" spans="1:32" x14ac:dyDescent="0.2">
      <c r="D21" s="266"/>
      <c r="E21" s="272">
        <v>74</v>
      </c>
      <c r="F21" s="179">
        <v>3</v>
      </c>
      <c r="G21" s="179">
        <v>1</v>
      </c>
      <c r="H21" s="179">
        <v>2</v>
      </c>
      <c r="I21" s="179">
        <v>1</v>
      </c>
      <c r="J21" s="268">
        <v>2</v>
      </c>
      <c r="K21" s="266"/>
      <c r="L21" s="266"/>
      <c r="M21" s="266"/>
      <c r="N21" s="266"/>
      <c r="O21" s="266"/>
    </row>
    <row r="22" spans="1:32" x14ac:dyDescent="0.2">
      <c r="D22" s="266"/>
      <c r="E22" s="178"/>
      <c r="F22" s="178"/>
      <c r="G22" s="178"/>
      <c r="H22" s="178"/>
      <c r="I22" s="178"/>
      <c r="J22" s="178"/>
      <c r="K22" s="266"/>
      <c r="L22" s="266"/>
      <c r="M22" s="266"/>
      <c r="N22" s="266"/>
      <c r="O22" s="266"/>
    </row>
    <row r="23" spans="1:32" ht="13.5" thickBot="1" x14ac:dyDescent="0.25"/>
    <row r="24" spans="1:32" x14ac:dyDescent="0.2">
      <c r="A24" s="155" t="s">
        <v>310</v>
      </c>
      <c r="B24" s="155" t="s">
        <v>241</v>
      </c>
      <c r="P24" s="155" t="s">
        <v>311</v>
      </c>
      <c r="Q24" s="155" t="s">
        <v>312</v>
      </c>
      <c r="S24" s="244" t="s">
        <v>313</v>
      </c>
      <c r="T24" s="244" t="s">
        <v>241</v>
      </c>
      <c r="U24" s="245"/>
      <c r="V24" s="245"/>
      <c r="W24" s="245"/>
      <c r="X24" s="245"/>
      <c r="Y24" s="246"/>
      <c r="AB24" s="227"/>
      <c r="AC24" s="227"/>
      <c r="AD24" s="227"/>
      <c r="AE24" s="227"/>
      <c r="AF24" s="227"/>
    </row>
    <row r="25" spans="1:32" x14ac:dyDescent="0.2">
      <c r="A25" s="155">
        <v>66</v>
      </c>
      <c r="B25" s="155">
        <v>0</v>
      </c>
      <c r="D25" s="155" t="s">
        <v>314</v>
      </c>
      <c r="E25" s="155">
        <f>CORREL(A25:A57,B25:B57)</f>
        <v>7.2927754736965243E-3</v>
      </c>
      <c r="M25" s="155" t="s">
        <v>315</v>
      </c>
      <c r="N25" s="155">
        <f>STDEVP(A$25:A$57)/AVERAGE(A$25:A$57)</f>
        <v>4.2248918065222137E-2</v>
      </c>
      <c r="P25" s="155">
        <v>66</v>
      </c>
      <c r="Q25" s="155">
        <v>0</v>
      </c>
      <c r="S25" s="244" t="s">
        <v>310</v>
      </c>
      <c r="T25" s="244">
        <v>0</v>
      </c>
      <c r="U25" s="247">
        <v>5</v>
      </c>
      <c r="V25" s="248">
        <v>10</v>
      </c>
      <c r="W25" s="247">
        <v>15</v>
      </c>
      <c r="X25" s="247">
        <v>20</v>
      </c>
      <c r="Y25" s="249" t="s">
        <v>316</v>
      </c>
      <c r="AA25" s="155" t="s">
        <v>35</v>
      </c>
      <c r="AB25" s="224">
        <f>AVERAGE(A41:A44)</f>
        <v>72</v>
      </c>
      <c r="AC25" s="224"/>
      <c r="AD25" s="224"/>
      <c r="AE25" s="224"/>
      <c r="AF25" s="224"/>
    </row>
    <row r="26" spans="1:32" ht="13.5" thickBot="1" x14ac:dyDescent="0.25">
      <c r="A26" s="155">
        <v>68</v>
      </c>
      <c r="B26" s="155">
        <v>0</v>
      </c>
      <c r="M26" s="155" t="s">
        <v>317</v>
      </c>
      <c r="N26" s="155">
        <f>QUARTILE(A$25:A$57,3)</f>
        <v>74</v>
      </c>
      <c r="P26" s="155">
        <v>68</v>
      </c>
      <c r="Q26" s="155">
        <v>5</v>
      </c>
      <c r="S26" s="244">
        <v>66</v>
      </c>
      <c r="T26" s="250">
        <v>1</v>
      </c>
      <c r="U26" s="251">
        <v>2</v>
      </c>
      <c r="V26" s="252"/>
      <c r="W26" s="251">
        <v>1</v>
      </c>
      <c r="X26" s="251">
        <v>2</v>
      </c>
      <c r="Y26" s="253">
        <v>6</v>
      </c>
      <c r="AA26" s="155" t="s">
        <v>171</v>
      </c>
      <c r="AB26" s="224">
        <f>VARP(A41:A44)</f>
        <v>6</v>
      </c>
      <c r="AC26" s="224"/>
      <c r="AD26" s="224"/>
      <c r="AE26" s="224"/>
      <c r="AF26" s="224"/>
    </row>
    <row r="27" spans="1:32" x14ac:dyDescent="0.2">
      <c r="A27" s="155">
        <v>68</v>
      </c>
      <c r="B27" s="155">
        <v>0</v>
      </c>
      <c r="D27" s="227" t="s">
        <v>300</v>
      </c>
      <c r="E27" s="227" t="s">
        <v>214</v>
      </c>
      <c r="F27" s="227" t="s">
        <v>318</v>
      </c>
      <c r="M27" s="155" t="s">
        <v>319</v>
      </c>
      <c r="N27" s="155">
        <f>PERCENTILE(A$25:A$57,0.15)</f>
        <v>66</v>
      </c>
      <c r="P27" s="155">
        <v>70</v>
      </c>
      <c r="Q27" s="155">
        <v>10</v>
      </c>
      <c r="S27" s="254">
        <v>68</v>
      </c>
      <c r="T27" s="255">
        <v>3</v>
      </c>
      <c r="U27" s="256">
        <v>2</v>
      </c>
      <c r="V27" s="257">
        <v>1</v>
      </c>
      <c r="W27" s="256"/>
      <c r="X27" s="256">
        <v>1</v>
      </c>
      <c r="Y27" s="258">
        <v>7</v>
      </c>
      <c r="AA27" s="155" t="s">
        <v>38</v>
      </c>
      <c r="AB27" s="224">
        <f>MODE(A41:A44)</f>
        <v>74</v>
      </c>
      <c r="AC27" s="224"/>
      <c r="AD27" s="224"/>
      <c r="AE27" s="224"/>
      <c r="AF27" s="224"/>
    </row>
    <row r="28" spans="1:32" x14ac:dyDescent="0.2">
      <c r="A28" s="155">
        <v>68</v>
      </c>
      <c r="B28" s="155">
        <v>0</v>
      </c>
      <c r="D28" s="224">
        <v>66</v>
      </c>
      <c r="E28" s="224">
        <v>6</v>
      </c>
      <c r="F28" s="259">
        <v>0.18181818181818182</v>
      </c>
      <c r="M28" s="155" t="s">
        <v>320</v>
      </c>
      <c r="N28" s="155">
        <f>STDEVP(B$25:B$57)/AVERAGE(B$25:B$57)</f>
        <v>0.79871400796248404</v>
      </c>
      <c r="P28" s="155">
        <v>72</v>
      </c>
      <c r="Q28" s="155">
        <v>15</v>
      </c>
      <c r="S28" s="254">
        <v>70</v>
      </c>
      <c r="T28" s="255"/>
      <c r="U28" s="256">
        <v>1</v>
      </c>
      <c r="V28" s="257"/>
      <c r="W28" s="256">
        <v>1</v>
      </c>
      <c r="X28" s="256">
        <v>2</v>
      </c>
      <c r="Y28" s="258">
        <v>4</v>
      </c>
      <c r="AA28" s="155" t="s">
        <v>37</v>
      </c>
      <c r="AB28" s="224">
        <f>MEDIAN(A41:A44)</f>
        <v>73</v>
      </c>
      <c r="AC28" s="224"/>
      <c r="AD28" s="224"/>
      <c r="AE28" s="224"/>
      <c r="AF28" s="224"/>
    </row>
    <row r="29" spans="1:32" x14ac:dyDescent="0.2">
      <c r="A29" s="155">
        <v>72</v>
      </c>
      <c r="B29" s="155">
        <v>0</v>
      </c>
      <c r="D29" s="224">
        <v>67.599999999999994</v>
      </c>
      <c r="E29" s="224">
        <v>0</v>
      </c>
      <c r="F29" s="259">
        <v>0.18181818181818182</v>
      </c>
      <c r="M29" s="155" t="s">
        <v>321</v>
      </c>
      <c r="N29" s="155">
        <f>QUARTILE(B$25:B$57,3)</f>
        <v>15</v>
      </c>
      <c r="S29" s="254">
        <v>72</v>
      </c>
      <c r="T29" s="255">
        <v>1</v>
      </c>
      <c r="U29" s="256">
        <v>2</v>
      </c>
      <c r="V29" s="257">
        <v>1</v>
      </c>
      <c r="W29" s="256">
        <v>2</v>
      </c>
      <c r="X29" s="256">
        <v>1</v>
      </c>
      <c r="Y29" s="258">
        <v>7</v>
      </c>
      <c r="AA29" s="155" t="s">
        <v>322</v>
      </c>
      <c r="AB29" s="224">
        <f>QUARTILE(A41:A44,3)</f>
        <v>74</v>
      </c>
      <c r="AC29" s="224"/>
      <c r="AD29" s="224"/>
      <c r="AE29" s="224"/>
      <c r="AF29" s="224"/>
    </row>
    <row r="30" spans="1:32" x14ac:dyDescent="0.2">
      <c r="A30" s="155">
        <v>74</v>
      </c>
      <c r="B30" s="155">
        <v>0</v>
      </c>
      <c r="D30" s="224">
        <v>69.2</v>
      </c>
      <c r="E30" s="224">
        <v>7</v>
      </c>
      <c r="F30" s="259">
        <v>0.39393939393939392</v>
      </c>
      <c r="M30" s="155" t="s">
        <v>323</v>
      </c>
      <c r="N30" s="155">
        <f>PERCENTILE(B$25:B$57,0.15)</f>
        <v>0</v>
      </c>
      <c r="S30" s="254">
        <v>74</v>
      </c>
      <c r="T30" s="255">
        <v>3</v>
      </c>
      <c r="U30" s="256">
        <v>1</v>
      </c>
      <c r="V30" s="257">
        <v>2</v>
      </c>
      <c r="W30" s="256">
        <v>1</v>
      </c>
      <c r="X30" s="256">
        <v>2</v>
      </c>
      <c r="Y30" s="258">
        <v>9</v>
      </c>
      <c r="AA30" s="155" t="s">
        <v>173</v>
      </c>
      <c r="AB30" s="224">
        <f>STDEVP(A41:A44)/AVERAGE(A41:A44)</f>
        <v>3.4020690871988585E-2</v>
      </c>
      <c r="AC30" s="224"/>
      <c r="AD30" s="224"/>
      <c r="AE30" s="224"/>
      <c r="AF30" s="224"/>
    </row>
    <row r="31" spans="1:32" x14ac:dyDescent="0.2">
      <c r="A31" s="155">
        <v>74</v>
      </c>
      <c r="B31" s="155">
        <v>0</v>
      </c>
      <c r="D31" s="224">
        <v>70.8</v>
      </c>
      <c r="E31" s="224">
        <v>4</v>
      </c>
      <c r="F31" s="259">
        <v>0.51515151515151514</v>
      </c>
      <c r="S31" s="260" t="s">
        <v>316</v>
      </c>
      <c r="T31" s="261">
        <v>8</v>
      </c>
      <c r="U31" s="262">
        <v>8</v>
      </c>
      <c r="V31" s="263">
        <v>4</v>
      </c>
      <c r="W31" s="262">
        <v>5</v>
      </c>
      <c r="X31" s="262">
        <v>8</v>
      </c>
      <c r="Y31" s="264">
        <v>33</v>
      </c>
      <c r="AB31" s="224"/>
      <c r="AC31" s="224"/>
      <c r="AD31" s="224"/>
      <c r="AE31" s="224"/>
      <c r="AF31" s="224"/>
    </row>
    <row r="32" spans="1:32" x14ac:dyDescent="0.2">
      <c r="A32" s="155">
        <v>74</v>
      </c>
      <c r="B32" s="155">
        <v>0</v>
      </c>
      <c r="D32" s="224">
        <v>72.400000000000006</v>
      </c>
      <c r="E32" s="224">
        <v>7</v>
      </c>
      <c r="F32" s="259">
        <v>0.72727272727272729</v>
      </c>
      <c r="AA32" s="155" t="s">
        <v>324</v>
      </c>
      <c r="AB32" s="224"/>
      <c r="AC32" s="224"/>
      <c r="AD32" s="224"/>
      <c r="AE32" s="224"/>
      <c r="AF32" s="224"/>
    </row>
    <row r="33" spans="1:32" ht="13.5" thickBot="1" x14ac:dyDescent="0.25">
      <c r="A33" s="155">
        <v>66</v>
      </c>
      <c r="B33" s="155">
        <v>5</v>
      </c>
      <c r="D33" s="231" t="s">
        <v>305</v>
      </c>
      <c r="E33" s="231">
        <v>9</v>
      </c>
      <c r="F33" s="265">
        <v>1</v>
      </c>
      <c r="S33" s="244" t="s">
        <v>325</v>
      </c>
      <c r="T33" s="244" t="s">
        <v>310</v>
      </c>
      <c r="U33" s="245"/>
      <c r="V33" s="245"/>
      <c r="W33" s="245"/>
      <c r="X33" s="245"/>
      <c r="Y33" s="246"/>
      <c r="AA33" s="155">
        <v>0</v>
      </c>
      <c r="AB33" s="224"/>
      <c r="AC33" s="155" t="s">
        <v>35</v>
      </c>
      <c r="AD33" s="224">
        <f>AVERAGE(AA33:AA39)</f>
        <v>10</v>
      </c>
      <c r="AE33" s="224"/>
      <c r="AF33" s="224"/>
    </row>
    <row r="34" spans="1:32" x14ac:dyDescent="0.2">
      <c r="A34" s="155">
        <v>66</v>
      </c>
      <c r="B34" s="155">
        <v>5</v>
      </c>
      <c r="S34" s="244" t="s">
        <v>241</v>
      </c>
      <c r="T34" s="244">
        <v>66</v>
      </c>
      <c r="U34" s="247">
        <v>68</v>
      </c>
      <c r="V34" s="247">
        <v>70</v>
      </c>
      <c r="W34" s="248">
        <v>72</v>
      </c>
      <c r="X34" s="247">
        <v>74</v>
      </c>
      <c r="Y34" s="249" t="s">
        <v>316</v>
      </c>
      <c r="AA34" s="155">
        <v>5</v>
      </c>
      <c r="AB34" s="224"/>
      <c r="AC34" s="155" t="s">
        <v>171</v>
      </c>
      <c r="AD34" s="224">
        <f>VARP(AA33:AA39)</f>
        <v>42.857142857142854</v>
      </c>
      <c r="AE34" s="224"/>
      <c r="AF34" s="224"/>
    </row>
    <row r="35" spans="1:32" x14ac:dyDescent="0.2">
      <c r="A35" s="155">
        <v>68</v>
      </c>
      <c r="B35" s="155">
        <v>5</v>
      </c>
      <c r="S35" s="244">
        <v>0</v>
      </c>
      <c r="T35" s="250">
        <v>1</v>
      </c>
      <c r="U35" s="251">
        <v>3</v>
      </c>
      <c r="V35" s="251"/>
      <c r="W35" s="252">
        <v>1</v>
      </c>
      <c r="X35" s="251">
        <v>3</v>
      </c>
      <c r="Y35" s="253">
        <v>8</v>
      </c>
      <c r="AA35" s="155">
        <v>5</v>
      </c>
      <c r="AB35" s="224"/>
      <c r="AC35" s="155" t="s">
        <v>38</v>
      </c>
      <c r="AD35" s="224">
        <f>MODE(AA33:AA39)</f>
        <v>5</v>
      </c>
      <c r="AE35" s="224"/>
      <c r="AF35" s="224"/>
    </row>
    <row r="36" spans="1:32" x14ac:dyDescent="0.2">
      <c r="A36" s="155">
        <v>68</v>
      </c>
      <c r="B36" s="155">
        <v>5</v>
      </c>
      <c r="S36" s="254">
        <v>5</v>
      </c>
      <c r="T36" s="255">
        <v>2</v>
      </c>
      <c r="U36" s="256">
        <v>2</v>
      </c>
      <c r="V36" s="256">
        <v>1</v>
      </c>
      <c r="W36" s="257">
        <v>2</v>
      </c>
      <c r="X36" s="256">
        <v>1</v>
      </c>
      <c r="Y36" s="258">
        <v>8</v>
      </c>
      <c r="AA36" s="155">
        <v>10</v>
      </c>
      <c r="AB36" s="224"/>
      <c r="AC36" s="155" t="s">
        <v>37</v>
      </c>
      <c r="AD36" s="224">
        <f>MEDIAN(AA33:AA39)</f>
        <v>10</v>
      </c>
      <c r="AE36" s="224"/>
      <c r="AF36" s="224"/>
    </row>
    <row r="37" spans="1:32" ht="13.5" thickBot="1" x14ac:dyDescent="0.25">
      <c r="A37" s="155">
        <v>70</v>
      </c>
      <c r="B37" s="155">
        <v>5</v>
      </c>
      <c r="S37" s="254">
        <v>10</v>
      </c>
      <c r="T37" s="255"/>
      <c r="U37" s="256">
        <v>1</v>
      </c>
      <c r="V37" s="256"/>
      <c r="W37" s="257">
        <v>1</v>
      </c>
      <c r="X37" s="256">
        <v>2</v>
      </c>
      <c r="Y37" s="258">
        <v>4</v>
      </c>
      <c r="AA37" s="155">
        <v>15</v>
      </c>
      <c r="AB37" s="224"/>
      <c r="AC37" s="155" t="s">
        <v>322</v>
      </c>
      <c r="AD37" s="224">
        <f>QUARTILE(AA33:AA39,3)</f>
        <v>15</v>
      </c>
      <c r="AE37" s="224"/>
      <c r="AF37" s="224"/>
    </row>
    <row r="38" spans="1:32" ht="13.5" thickBot="1" x14ac:dyDescent="0.25">
      <c r="A38" s="155">
        <v>72</v>
      </c>
      <c r="B38" s="155">
        <v>5</v>
      </c>
      <c r="D38" s="227" t="s">
        <v>300</v>
      </c>
      <c r="E38" s="227" t="s">
        <v>214</v>
      </c>
      <c r="F38" s="227" t="s">
        <v>318</v>
      </c>
      <c r="S38" s="254">
        <v>15</v>
      </c>
      <c r="T38" s="255">
        <v>1</v>
      </c>
      <c r="U38" s="256"/>
      <c r="V38" s="256">
        <v>1</v>
      </c>
      <c r="W38" s="257">
        <v>2</v>
      </c>
      <c r="X38" s="256">
        <v>1</v>
      </c>
      <c r="Y38" s="258">
        <v>5</v>
      </c>
      <c r="AA38" s="155">
        <v>15</v>
      </c>
      <c r="AB38" s="224"/>
      <c r="AC38" s="155" t="s">
        <v>173</v>
      </c>
      <c r="AD38" s="224">
        <f>STDEVP(AA33:AA39)/AVERAGE(AA33:AA39)</f>
        <v>0.65465367070797709</v>
      </c>
      <c r="AE38" s="231"/>
      <c r="AF38" s="231"/>
    </row>
    <row r="39" spans="1:32" x14ac:dyDescent="0.2">
      <c r="A39" s="155">
        <v>72</v>
      </c>
      <c r="B39" s="155">
        <v>5</v>
      </c>
      <c r="D39" s="224">
        <v>0</v>
      </c>
      <c r="E39" s="224">
        <v>8</v>
      </c>
      <c r="F39" s="259">
        <v>0.24242424242424243</v>
      </c>
      <c r="S39" s="254">
        <v>20</v>
      </c>
      <c r="T39" s="255">
        <v>2</v>
      </c>
      <c r="U39" s="256">
        <v>1</v>
      </c>
      <c r="V39" s="256">
        <v>2</v>
      </c>
      <c r="W39" s="257">
        <v>1</v>
      </c>
      <c r="X39" s="256">
        <v>2</v>
      </c>
      <c r="Y39" s="258">
        <v>8</v>
      </c>
      <c r="AA39" s="155">
        <v>20</v>
      </c>
    </row>
    <row r="40" spans="1:32" x14ac:dyDescent="0.2">
      <c r="A40" s="155">
        <v>74</v>
      </c>
      <c r="B40" s="155">
        <v>5</v>
      </c>
      <c r="D40" s="224">
        <v>4</v>
      </c>
      <c r="E40" s="224">
        <v>0</v>
      </c>
      <c r="F40" s="259">
        <v>0.24242424242424243</v>
      </c>
      <c r="S40" s="260" t="s">
        <v>316</v>
      </c>
      <c r="T40" s="261">
        <v>6</v>
      </c>
      <c r="U40" s="262">
        <v>7</v>
      </c>
      <c r="V40" s="262">
        <v>4</v>
      </c>
      <c r="W40" s="263">
        <v>7</v>
      </c>
      <c r="X40" s="262">
        <v>9</v>
      </c>
      <c r="Y40" s="264">
        <v>33</v>
      </c>
    </row>
    <row r="41" spans="1:32" x14ac:dyDescent="0.2">
      <c r="A41" s="155">
        <v>68</v>
      </c>
      <c r="B41" s="155">
        <v>10</v>
      </c>
      <c r="D41" s="224">
        <v>8</v>
      </c>
      <c r="E41" s="224">
        <v>8</v>
      </c>
      <c r="F41" s="259">
        <v>0.48484848484848486</v>
      </c>
    </row>
    <row r="42" spans="1:32" x14ac:dyDescent="0.2">
      <c r="A42" s="155">
        <v>72</v>
      </c>
      <c r="B42" s="155">
        <v>10</v>
      </c>
      <c r="D42" s="224">
        <v>12</v>
      </c>
      <c r="E42" s="224">
        <v>4</v>
      </c>
      <c r="F42" s="259">
        <v>0.60606060606060608</v>
      </c>
    </row>
    <row r="43" spans="1:32" x14ac:dyDescent="0.2">
      <c r="A43" s="155">
        <v>74</v>
      </c>
      <c r="B43" s="155">
        <v>10</v>
      </c>
      <c r="D43" s="224">
        <v>16</v>
      </c>
      <c r="E43" s="224">
        <v>5</v>
      </c>
      <c r="F43" s="259">
        <v>0.75757575757575757</v>
      </c>
    </row>
    <row r="44" spans="1:32" ht="13.5" thickBot="1" x14ac:dyDescent="0.25">
      <c r="A44" s="155">
        <v>74</v>
      </c>
      <c r="B44" s="155">
        <v>10</v>
      </c>
      <c r="D44" s="231" t="s">
        <v>305</v>
      </c>
      <c r="E44" s="231">
        <v>8</v>
      </c>
      <c r="F44" s="265">
        <v>1</v>
      </c>
    </row>
    <row r="45" spans="1:32" x14ac:dyDescent="0.2">
      <c r="A45" s="155">
        <v>66</v>
      </c>
      <c r="B45" s="155">
        <v>15</v>
      </c>
    </row>
    <row r="46" spans="1:32" x14ac:dyDescent="0.2">
      <c r="A46" s="155">
        <v>70</v>
      </c>
      <c r="B46" s="155">
        <v>15</v>
      </c>
    </row>
    <row r="47" spans="1:32" x14ac:dyDescent="0.2">
      <c r="A47" s="155">
        <v>72</v>
      </c>
      <c r="B47" s="155">
        <v>15</v>
      </c>
    </row>
    <row r="48" spans="1:32" x14ac:dyDescent="0.2">
      <c r="A48" s="155">
        <v>72</v>
      </c>
      <c r="B48" s="155">
        <v>15</v>
      </c>
    </row>
    <row r="49" spans="1:2" x14ac:dyDescent="0.2">
      <c r="A49" s="155">
        <v>74</v>
      </c>
      <c r="B49" s="155">
        <v>15</v>
      </c>
    </row>
    <row r="50" spans="1:2" x14ac:dyDescent="0.2">
      <c r="A50" s="155">
        <v>66</v>
      </c>
      <c r="B50" s="155">
        <v>20</v>
      </c>
    </row>
    <row r="51" spans="1:2" x14ac:dyDescent="0.2">
      <c r="A51" s="155">
        <v>66</v>
      </c>
      <c r="B51" s="155">
        <v>20</v>
      </c>
    </row>
    <row r="52" spans="1:2" x14ac:dyDescent="0.2">
      <c r="A52" s="155">
        <v>68</v>
      </c>
      <c r="B52" s="155">
        <v>20</v>
      </c>
    </row>
    <row r="53" spans="1:2" x14ac:dyDescent="0.2">
      <c r="A53" s="155">
        <v>70</v>
      </c>
      <c r="B53" s="155">
        <v>20</v>
      </c>
    </row>
    <row r="54" spans="1:2" x14ac:dyDescent="0.2">
      <c r="A54" s="155">
        <v>70</v>
      </c>
      <c r="B54" s="155">
        <v>20</v>
      </c>
    </row>
    <row r="55" spans="1:2" x14ac:dyDescent="0.2">
      <c r="A55" s="155">
        <v>72</v>
      </c>
      <c r="B55" s="155">
        <v>20</v>
      </c>
    </row>
    <row r="56" spans="1:2" x14ac:dyDescent="0.2">
      <c r="A56" s="155">
        <v>74</v>
      </c>
      <c r="B56" s="155">
        <v>20</v>
      </c>
    </row>
    <row r="57" spans="1:2" x14ac:dyDescent="0.2">
      <c r="A57" s="155">
        <v>74</v>
      </c>
      <c r="B57" s="155">
        <v>20</v>
      </c>
    </row>
  </sheetData>
  <mergeCells count="1">
    <mergeCell ref="D2:O14"/>
  </mergeCells>
  <pageMargins left="0.75" right="0.75" top="1" bottom="1" header="0" footer="0"/>
  <headerFooter alignWithMargins="0"/>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2:P34"/>
  <sheetViews>
    <sheetView workbookViewId="0">
      <selection activeCell="F1" sqref="F1"/>
    </sheetView>
  </sheetViews>
  <sheetFormatPr baseColWidth="10" defaultColWidth="11.42578125" defaultRowHeight="15" x14ac:dyDescent="0.25"/>
  <cols>
    <col min="1" max="1" width="2.85546875" style="20" customWidth="1"/>
    <col min="2" max="2" width="22.85546875" style="20" bestFit="1" customWidth="1"/>
    <col min="3" max="3" width="12.7109375" style="20" bestFit="1" customWidth="1"/>
    <col min="4" max="4" width="8.28515625" style="20" bestFit="1" customWidth="1"/>
    <col min="5" max="5" width="22.85546875" style="20" bestFit="1" customWidth="1"/>
    <col min="6" max="6" width="12.7109375" style="20" bestFit="1" customWidth="1"/>
    <col min="7" max="7" width="9.28515625" style="20" bestFit="1" customWidth="1"/>
    <col min="8" max="8" width="22.85546875" style="20" bestFit="1" customWidth="1"/>
    <col min="9" max="10" width="13.85546875" style="20" bestFit="1" customWidth="1"/>
    <col min="11" max="14" width="12" style="20" bestFit="1" customWidth="1"/>
    <col min="15" max="15" width="2.5703125" style="20" bestFit="1" customWidth="1"/>
    <col min="16" max="16384" width="11.42578125" style="20"/>
  </cols>
  <sheetData>
    <row r="2" spans="2:16" x14ac:dyDescent="0.25">
      <c r="B2" s="42" t="s">
        <v>11</v>
      </c>
      <c r="C2" s="43" t="s">
        <v>12</v>
      </c>
      <c r="D2" s="44" t="s">
        <v>19</v>
      </c>
      <c r="E2" s="30" t="s">
        <v>7</v>
      </c>
      <c r="F2" s="30" t="s">
        <v>20</v>
      </c>
      <c r="G2" s="30" t="s">
        <v>21</v>
      </c>
      <c r="H2" s="30" t="s">
        <v>50</v>
      </c>
      <c r="I2" s="30" t="s">
        <v>51</v>
      </c>
      <c r="J2" s="31" t="s">
        <v>52</v>
      </c>
    </row>
    <row r="3" spans="2:16" x14ac:dyDescent="0.25">
      <c r="B3" s="45">
        <v>2</v>
      </c>
      <c r="C3" s="6">
        <v>4</v>
      </c>
      <c r="D3" s="7">
        <v>2</v>
      </c>
      <c r="E3" s="32">
        <f>B3*C3</f>
        <v>8</v>
      </c>
      <c r="F3" s="32">
        <f>B3*D3</f>
        <v>4</v>
      </c>
      <c r="G3" s="32">
        <f>C3*D3</f>
        <v>8</v>
      </c>
      <c r="H3" s="32">
        <f>(B3-$B$10)^2</f>
        <v>14.44</v>
      </c>
      <c r="I3" s="32">
        <f>(C3-$C$10)^2</f>
        <v>25</v>
      </c>
      <c r="J3" s="33">
        <f>(D3-$D$10)^2</f>
        <v>14.44</v>
      </c>
    </row>
    <row r="4" spans="2:16" x14ac:dyDescent="0.25">
      <c r="B4" s="45">
        <v>3</v>
      </c>
      <c r="C4" s="6">
        <v>5</v>
      </c>
      <c r="D4" s="7">
        <v>4</v>
      </c>
      <c r="E4" s="32">
        <f>B4*C4</f>
        <v>15</v>
      </c>
      <c r="F4" s="32">
        <f>B4*D4</f>
        <v>12</v>
      </c>
      <c r="G4" s="32">
        <f>C4*D4</f>
        <v>20</v>
      </c>
      <c r="H4" s="32">
        <f>(B4-$B$10)^2</f>
        <v>7.839999999999999</v>
      </c>
      <c r="I4" s="32">
        <f>(C4-$C$10)^2</f>
        <v>16</v>
      </c>
      <c r="J4" s="33">
        <f>(D4-$D$10)^2</f>
        <v>3.2399999999999993</v>
      </c>
    </row>
    <row r="5" spans="2:16" x14ac:dyDescent="0.25">
      <c r="B5" s="45">
        <v>6</v>
      </c>
      <c r="C5" s="6">
        <v>10</v>
      </c>
      <c r="D5" s="7">
        <v>6</v>
      </c>
      <c r="E5" s="32">
        <f>B5*C5</f>
        <v>60</v>
      </c>
      <c r="F5" s="32">
        <f>B5*D5</f>
        <v>36</v>
      </c>
      <c r="G5" s="32">
        <f>C5*D5</f>
        <v>60</v>
      </c>
      <c r="H5" s="32">
        <f>(B5-$B$10)^2</f>
        <v>4.000000000000007E-2</v>
      </c>
      <c r="I5" s="32">
        <f>(C5-$C$10)^2</f>
        <v>1</v>
      </c>
      <c r="J5" s="33">
        <f>(D5-$D$10)^2</f>
        <v>4.000000000000007E-2</v>
      </c>
    </row>
    <row r="6" spans="2:16" x14ac:dyDescent="0.25">
      <c r="B6" s="45">
        <v>8</v>
      </c>
      <c r="C6" s="6">
        <v>11</v>
      </c>
      <c r="D6" s="7">
        <v>7</v>
      </c>
      <c r="E6" s="32">
        <f>B6*C6</f>
        <v>88</v>
      </c>
      <c r="F6" s="32">
        <f>B6*D6</f>
        <v>56</v>
      </c>
      <c r="G6" s="32">
        <f>C6*D6</f>
        <v>77</v>
      </c>
      <c r="H6" s="32">
        <f>(B6-$B$10)^2</f>
        <v>4.8400000000000007</v>
      </c>
      <c r="I6" s="32">
        <f>(C6-$C$10)^2</f>
        <v>4</v>
      </c>
      <c r="J6" s="33">
        <f>(D6-$D$10)^2</f>
        <v>1.4400000000000004</v>
      </c>
    </row>
    <row r="7" spans="2:16" x14ac:dyDescent="0.25">
      <c r="B7" s="46">
        <v>10</v>
      </c>
      <c r="C7" s="9">
        <v>15</v>
      </c>
      <c r="D7" s="10">
        <v>10</v>
      </c>
      <c r="E7" s="34">
        <f>B7*C7</f>
        <v>150</v>
      </c>
      <c r="F7" s="34">
        <f>B7*D7</f>
        <v>100</v>
      </c>
      <c r="G7" s="34">
        <f>C7*D7</f>
        <v>150</v>
      </c>
      <c r="H7" s="34">
        <f>(B7-$B$10)^2</f>
        <v>17.64</v>
      </c>
      <c r="I7" s="34">
        <f>(C7-$C$10)^2</f>
        <v>36</v>
      </c>
      <c r="J7" s="35">
        <f>(D7-$D$10)^2</f>
        <v>17.64</v>
      </c>
    </row>
    <row r="9" spans="2:16" x14ac:dyDescent="0.25">
      <c r="B9" s="40" t="s">
        <v>5</v>
      </c>
      <c r="C9" s="30" t="s">
        <v>6</v>
      </c>
      <c r="D9" s="30" t="s">
        <v>22</v>
      </c>
      <c r="E9" s="30" t="s">
        <v>8</v>
      </c>
      <c r="F9" s="30" t="s">
        <v>23</v>
      </c>
      <c r="G9" s="30" t="s">
        <v>24</v>
      </c>
      <c r="H9" s="30" t="s">
        <v>28</v>
      </c>
      <c r="I9" s="30" t="s">
        <v>29</v>
      </c>
      <c r="J9" s="30" t="s">
        <v>30</v>
      </c>
      <c r="K9" s="30" t="s">
        <v>31</v>
      </c>
      <c r="L9" s="30" t="s">
        <v>32</v>
      </c>
      <c r="M9" s="31" t="s">
        <v>33</v>
      </c>
    </row>
    <row r="10" spans="2:16" x14ac:dyDescent="0.25">
      <c r="B10" s="39">
        <f t="shared" ref="B10:J10" si="0">AVERAGE(B3:B7)</f>
        <v>5.8</v>
      </c>
      <c r="C10" s="34">
        <f t="shared" si="0"/>
        <v>9</v>
      </c>
      <c r="D10" s="34">
        <f t="shared" si="0"/>
        <v>5.8</v>
      </c>
      <c r="E10" s="34">
        <f t="shared" si="0"/>
        <v>64.2</v>
      </c>
      <c r="F10" s="34">
        <f t="shared" si="0"/>
        <v>41.6</v>
      </c>
      <c r="G10" s="34">
        <f t="shared" si="0"/>
        <v>63</v>
      </c>
      <c r="H10" s="34">
        <f t="shared" si="0"/>
        <v>8.9599999999999991</v>
      </c>
      <c r="I10" s="34">
        <f t="shared" si="0"/>
        <v>16.399999999999999</v>
      </c>
      <c r="J10" s="34">
        <f t="shared" si="0"/>
        <v>7.3599999999999994</v>
      </c>
      <c r="K10" s="34">
        <f>SQRT(H10)</f>
        <v>2.9933259094191529</v>
      </c>
      <c r="L10" s="34">
        <f>SQRT(I10)</f>
        <v>4.0496913462633168</v>
      </c>
      <c r="M10" s="35">
        <f>SQRT(J10)</f>
        <v>2.7129319932501073</v>
      </c>
    </row>
    <row r="11" spans="2:16" x14ac:dyDescent="0.25">
      <c r="H11" s="20">
        <f>_xlfn.VAR.P(B3:B7)</f>
        <v>8.9600000000000009</v>
      </c>
      <c r="I11" s="20">
        <f t="shared" ref="I11:J11" si="1">_xlfn.VAR.P(C3:C7)</f>
        <v>16.399999999999999</v>
      </c>
      <c r="J11" s="20">
        <f t="shared" si="1"/>
        <v>7.36</v>
      </c>
    </row>
    <row r="12" spans="2:16" x14ac:dyDescent="0.25">
      <c r="B12" s="36" t="s">
        <v>25</v>
      </c>
      <c r="C12" s="38">
        <f>E10-B10*C10</f>
        <v>12.000000000000007</v>
      </c>
      <c r="D12" s="37" t="s">
        <v>34</v>
      </c>
      <c r="E12" s="38">
        <f>C12/(K10*L10)</f>
        <v>0.98993189502835321</v>
      </c>
    </row>
    <row r="13" spans="2:16" x14ac:dyDescent="0.25">
      <c r="B13" s="41" t="s">
        <v>26</v>
      </c>
      <c r="C13" s="33">
        <f>F10-B10*D10</f>
        <v>7.9600000000000009</v>
      </c>
      <c r="D13" s="32" t="s">
        <v>48</v>
      </c>
      <c r="E13" s="33">
        <f>C13/(K10*M10)</f>
        <v>0.9802123177598816</v>
      </c>
    </row>
    <row r="14" spans="2:16" x14ac:dyDescent="0.25">
      <c r="B14" s="39" t="s">
        <v>27</v>
      </c>
      <c r="C14" s="35">
        <f>G10-C10*D10</f>
        <v>10.800000000000004</v>
      </c>
      <c r="D14" s="34" t="s">
        <v>49</v>
      </c>
      <c r="E14" s="35">
        <f>C14/(L10*M10)</f>
        <v>0.98302129120419601</v>
      </c>
    </row>
    <row r="15" spans="2:16" ht="15.75" thickBot="1" x14ac:dyDescent="0.3"/>
    <row r="16" spans="2:16" x14ac:dyDescent="0.25">
      <c r="B16" s="49" t="s">
        <v>11</v>
      </c>
      <c r="C16" s="49"/>
      <c r="D16" s="48"/>
      <c r="E16" s="49" t="s">
        <v>12</v>
      </c>
      <c r="F16" s="49"/>
      <c r="G16" s="48"/>
      <c r="H16" s="49" t="s">
        <v>19</v>
      </c>
      <c r="I16" s="49"/>
      <c r="J16" s="48"/>
      <c r="K16" s="50" t="s">
        <v>54</v>
      </c>
      <c r="L16" s="50" t="s">
        <v>11</v>
      </c>
      <c r="M16" s="50" t="s">
        <v>12</v>
      </c>
      <c r="N16" s="50" t="s">
        <v>19</v>
      </c>
      <c r="O16" s="48"/>
      <c r="P16" s="48"/>
    </row>
    <row r="17" spans="2:16" x14ac:dyDescent="0.25">
      <c r="B17" s="51"/>
      <c r="C17" s="51"/>
      <c r="D17" s="48"/>
      <c r="E17" s="51"/>
      <c r="F17" s="51"/>
      <c r="G17" s="48"/>
      <c r="H17" s="51"/>
      <c r="I17" s="51"/>
      <c r="J17" s="48"/>
      <c r="K17" s="51" t="s">
        <v>11</v>
      </c>
      <c r="L17" s="51">
        <v>1</v>
      </c>
      <c r="M17" s="51"/>
      <c r="N17" s="51"/>
      <c r="O17" s="48"/>
      <c r="P17" s="48"/>
    </row>
    <row r="18" spans="2:16" x14ac:dyDescent="0.25">
      <c r="B18" s="51" t="s">
        <v>35</v>
      </c>
      <c r="C18" s="51">
        <v>5.8</v>
      </c>
      <c r="D18" s="48"/>
      <c r="E18" s="51" t="s">
        <v>35</v>
      </c>
      <c r="F18" s="51">
        <v>9</v>
      </c>
      <c r="G18" s="48"/>
      <c r="H18" s="51" t="s">
        <v>35</v>
      </c>
      <c r="I18" s="51">
        <v>5.8</v>
      </c>
      <c r="J18" s="48"/>
      <c r="K18" s="51" t="s">
        <v>12</v>
      </c>
      <c r="L18" s="51">
        <v>0.98993189502835266</v>
      </c>
      <c r="M18" s="51">
        <v>1</v>
      </c>
      <c r="N18" s="51"/>
      <c r="O18" s="48"/>
      <c r="P18" s="48"/>
    </row>
    <row r="19" spans="2:16" ht="15.75" thickBot="1" x14ac:dyDescent="0.3">
      <c r="B19" s="51" t="s">
        <v>36</v>
      </c>
      <c r="C19" s="51">
        <v>1.4966629547095767</v>
      </c>
      <c r="D19" s="48"/>
      <c r="E19" s="51" t="s">
        <v>36</v>
      </c>
      <c r="F19" s="51">
        <v>2.0248456731316589</v>
      </c>
      <c r="G19" s="48"/>
      <c r="H19" s="51" t="s">
        <v>36</v>
      </c>
      <c r="I19" s="51">
        <v>1.3564659966250538</v>
      </c>
      <c r="J19" s="48"/>
      <c r="K19" s="52" t="s">
        <v>19</v>
      </c>
      <c r="L19" s="52">
        <v>0.98021231775988138</v>
      </c>
      <c r="M19" s="52">
        <v>0.98302129120419568</v>
      </c>
      <c r="N19" s="52">
        <v>1</v>
      </c>
      <c r="O19" s="48"/>
      <c r="P19" s="48"/>
    </row>
    <row r="20" spans="2:16" ht="15.75" thickBot="1" x14ac:dyDescent="0.3">
      <c r="B20" s="51" t="s">
        <v>37</v>
      </c>
      <c r="C20" s="51">
        <v>6</v>
      </c>
      <c r="D20" s="48"/>
      <c r="E20" s="51" t="s">
        <v>37</v>
      </c>
      <c r="F20" s="51">
        <v>10</v>
      </c>
      <c r="G20" s="48"/>
      <c r="H20" s="51" t="s">
        <v>37</v>
      </c>
      <c r="I20" s="51">
        <v>6</v>
      </c>
      <c r="J20" s="48"/>
      <c r="K20" s="48"/>
      <c r="L20" s="48"/>
      <c r="M20" s="48"/>
      <c r="N20" s="48"/>
      <c r="O20" s="48"/>
      <c r="P20" s="48"/>
    </row>
    <row r="21" spans="2:16" x14ac:dyDescent="0.25">
      <c r="B21" s="51" t="s">
        <v>38</v>
      </c>
      <c r="C21" s="51" t="e">
        <v>#N/A</v>
      </c>
      <c r="D21" s="48"/>
      <c r="E21" s="51" t="s">
        <v>38</v>
      </c>
      <c r="F21" s="51" t="e">
        <v>#N/A</v>
      </c>
      <c r="G21" s="48"/>
      <c r="H21" s="51" t="s">
        <v>38</v>
      </c>
      <c r="I21" s="51" t="e">
        <v>#N/A</v>
      </c>
      <c r="J21" s="48"/>
      <c r="K21" s="50" t="s">
        <v>55</v>
      </c>
      <c r="L21" s="50" t="s">
        <v>11</v>
      </c>
      <c r="M21" s="50" t="s">
        <v>12</v>
      </c>
      <c r="N21" s="50" t="s">
        <v>19</v>
      </c>
      <c r="O21" s="48"/>
      <c r="P21" s="48"/>
    </row>
    <row r="22" spans="2:16" x14ac:dyDescent="0.25">
      <c r="B22" s="51" t="s">
        <v>39</v>
      </c>
      <c r="C22" s="51">
        <v>3.3466401061363027</v>
      </c>
      <c r="D22" s="48"/>
      <c r="E22" s="51" t="s">
        <v>39</v>
      </c>
      <c r="F22" s="51">
        <v>4.5276925690687087</v>
      </c>
      <c r="G22" s="48"/>
      <c r="H22" s="51" t="s">
        <v>39</v>
      </c>
      <c r="I22" s="51">
        <v>3.0331501776206209</v>
      </c>
      <c r="J22" s="48"/>
      <c r="K22" s="51" t="s">
        <v>11</v>
      </c>
      <c r="L22" s="51">
        <f>VARP('Correlaciones y Covarianzas Sol'!$B$3:$B$7)</f>
        <v>8.9600000000000009</v>
      </c>
      <c r="M22" s="51"/>
      <c r="N22" s="51"/>
      <c r="O22" s="48"/>
      <c r="P22" s="48"/>
    </row>
    <row r="23" spans="2:16" x14ac:dyDescent="0.25">
      <c r="B23" s="51" t="s">
        <v>40</v>
      </c>
      <c r="C23" s="51">
        <v>11.200000000000003</v>
      </c>
      <c r="D23" s="48"/>
      <c r="E23" s="51" t="s">
        <v>40</v>
      </c>
      <c r="F23" s="51">
        <v>20.5</v>
      </c>
      <c r="G23" s="48"/>
      <c r="H23" s="51" t="s">
        <v>40</v>
      </c>
      <c r="I23" s="51">
        <v>9.2000000000000028</v>
      </c>
      <c r="J23" s="48"/>
      <c r="K23" s="51" t="s">
        <v>12</v>
      </c>
      <c r="L23" s="51">
        <v>12</v>
      </c>
      <c r="M23" s="51">
        <f>VARP('Correlaciones y Covarianzas Sol'!$C$3:$C$7)</f>
        <v>16.399999999999999</v>
      </c>
      <c r="N23" s="51"/>
      <c r="O23" s="48"/>
      <c r="P23" s="48"/>
    </row>
    <row r="24" spans="2:16" ht="15.75" thickBot="1" x14ac:dyDescent="0.3">
      <c r="B24" s="51" t="s">
        <v>41</v>
      </c>
      <c r="C24" s="51">
        <v>-1.9754464285714297</v>
      </c>
      <c r="D24" s="48"/>
      <c r="E24" s="51" t="s">
        <v>41</v>
      </c>
      <c r="F24" s="51">
        <v>-1.4741225461035103</v>
      </c>
      <c r="G24" s="48"/>
      <c r="H24" s="51" t="s">
        <v>41</v>
      </c>
      <c r="I24" s="51">
        <v>-0.13941398865784116</v>
      </c>
      <c r="J24" s="48"/>
      <c r="K24" s="52" t="s">
        <v>19</v>
      </c>
      <c r="L24" s="52">
        <v>7.9599999999999991</v>
      </c>
      <c r="M24" s="52">
        <v>10.8</v>
      </c>
      <c r="N24" s="52">
        <f>VARP('Correlaciones y Covarianzas Sol'!$D$3:$D$7)</f>
        <v>7.36</v>
      </c>
      <c r="O24" s="48"/>
      <c r="P24" s="48"/>
    </row>
    <row r="25" spans="2:16" x14ac:dyDescent="0.25">
      <c r="B25" s="51" t="s">
        <v>42</v>
      </c>
      <c r="C25" s="51">
        <v>8.8041393098292814E-2</v>
      </c>
      <c r="D25" s="48"/>
      <c r="E25" s="51" t="s">
        <v>42</v>
      </c>
      <c r="F25" s="51">
        <v>0.16160711132904368</v>
      </c>
      <c r="G25" s="48"/>
      <c r="H25" s="51" t="s">
        <v>42</v>
      </c>
      <c r="I25" s="51">
        <v>0.22576614034747089</v>
      </c>
      <c r="J25" s="48"/>
      <c r="K25" s="48"/>
      <c r="L25" s="48"/>
      <c r="M25" s="48"/>
      <c r="N25" s="48"/>
      <c r="O25" s="48"/>
      <c r="P25" s="48"/>
    </row>
    <row r="26" spans="2:16" x14ac:dyDescent="0.25">
      <c r="B26" s="51" t="s">
        <v>43</v>
      </c>
      <c r="C26" s="51">
        <v>8</v>
      </c>
      <c r="D26" s="48"/>
      <c r="E26" s="51" t="s">
        <v>43</v>
      </c>
      <c r="F26" s="51">
        <v>11</v>
      </c>
      <c r="G26" s="48"/>
      <c r="H26" s="51" t="s">
        <v>43</v>
      </c>
      <c r="I26" s="51">
        <v>8</v>
      </c>
      <c r="J26" s="48"/>
      <c r="K26" s="48"/>
      <c r="L26" s="48"/>
      <c r="M26" s="48"/>
      <c r="N26" s="48"/>
      <c r="O26" s="48"/>
      <c r="P26" s="48"/>
    </row>
    <row r="27" spans="2:16" x14ac:dyDescent="0.25">
      <c r="B27" s="51" t="s">
        <v>44</v>
      </c>
      <c r="C27" s="51">
        <v>2</v>
      </c>
      <c r="D27" s="48"/>
      <c r="E27" s="51" t="s">
        <v>44</v>
      </c>
      <c r="F27" s="51">
        <v>4</v>
      </c>
      <c r="G27" s="48"/>
      <c r="H27" s="51" t="s">
        <v>44</v>
      </c>
      <c r="I27" s="51">
        <v>2</v>
      </c>
      <c r="J27" s="48"/>
      <c r="K27" s="48"/>
      <c r="L27" s="48"/>
      <c r="M27" s="48"/>
      <c r="N27" s="48"/>
      <c r="O27" s="48"/>
      <c r="P27" s="48"/>
    </row>
    <row r="28" spans="2:16" x14ac:dyDescent="0.25">
      <c r="B28" s="51" t="s">
        <v>45</v>
      </c>
      <c r="C28" s="51">
        <v>10</v>
      </c>
      <c r="D28" s="48"/>
      <c r="E28" s="51" t="s">
        <v>45</v>
      </c>
      <c r="F28" s="51">
        <v>15</v>
      </c>
      <c r="G28" s="48"/>
      <c r="H28" s="51" t="s">
        <v>45</v>
      </c>
      <c r="I28" s="51">
        <v>10</v>
      </c>
      <c r="J28" s="48"/>
      <c r="K28" s="48"/>
      <c r="L28" s="48"/>
      <c r="M28" s="48"/>
      <c r="N28" s="48"/>
      <c r="O28" s="48"/>
      <c r="P28" s="48"/>
    </row>
    <row r="29" spans="2:16" x14ac:dyDescent="0.25">
      <c r="B29" s="51" t="s">
        <v>46</v>
      </c>
      <c r="C29" s="51">
        <v>29</v>
      </c>
      <c r="D29" s="48"/>
      <c r="E29" s="51" t="s">
        <v>46</v>
      </c>
      <c r="F29" s="51">
        <v>45</v>
      </c>
      <c r="G29" s="48"/>
      <c r="H29" s="51" t="s">
        <v>46</v>
      </c>
      <c r="I29" s="51">
        <v>29</v>
      </c>
      <c r="J29" s="48"/>
      <c r="K29" s="48"/>
      <c r="L29" s="48"/>
      <c r="M29" s="48"/>
      <c r="N29" s="48"/>
      <c r="O29" s="48"/>
      <c r="P29" s="48"/>
    </row>
    <row r="30" spans="2:16" ht="15.75" thickBot="1" x14ac:dyDescent="0.3">
      <c r="B30" s="52" t="s">
        <v>47</v>
      </c>
      <c r="C30" s="52">
        <v>5</v>
      </c>
      <c r="D30" s="48"/>
      <c r="E30" s="52" t="s">
        <v>47</v>
      </c>
      <c r="F30" s="52">
        <v>5</v>
      </c>
      <c r="G30" s="48"/>
      <c r="H30" s="52" t="s">
        <v>47</v>
      </c>
      <c r="I30" s="52">
        <v>5</v>
      </c>
      <c r="J30" s="48"/>
      <c r="K30" s="48"/>
      <c r="L30" s="48"/>
      <c r="M30" s="48"/>
      <c r="N30" s="48"/>
      <c r="O30" s="48"/>
      <c r="P30" s="48"/>
    </row>
    <row r="32" spans="2:16" ht="15" customHeight="1" x14ac:dyDescent="0.25">
      <c r="B32" s="433" t="s">
        <v>53</v>
      </c>
      <c r="C32" s="434"/>
      <c r="D32" s="434"/>
      <c r="E32" s="434"/>
      <c r="F32" s="434"/>
      <c r="G32" s="434"/>
      <c r="H32" s="434"/>
      <c r="I32" s="434"/>
      <c r="J32" s="434"/>
      <c r="K32" s="434"/>
      <c r="L32" s="434"/>
      <c r="M32" s="435"/>
    </row>
    <row r="33" spans="2:13" x14ac:dyDescent="0.25">
      <c r="B33" s="436"/>
      <c r="C33" s="437"/>
      <c r="D33" s="437"/>
      <c r="E33" s="437"/>
      <c r="F33" s="437"/>
      <c r="G33" s="437"/>
      <c r="H33" s="437"/>
      <c r="I33" s="437"/>
      <c r="J33" s="437"/>
      <c r="K33" s="437"/>
      <c r="L33" s="437"/>
      <c r="M33" s="438"/>
    </row>
    <row r="34" spans="2:13" x14ac:dyDescent="0.25">
      <c r="B34" s="439"/>
      <c r="C34" s="440"/>
      <c r="D34" s="440"/>
      <c r="E34" s="440"/>
      <c r="F34" s="440"/>
      <c r="G34" s="440"/>
      <c r="H34" s="440"/>
      <c r="I34" s="440"/>
      <c r="J34" s="440"/>
      <c r="K34" s="440"/>
      <c r="L34" s="440"/>
      <c r="M34" s="441"/>
    </row>
  </sheetData>
  <mergeCells count="1">
    <mergeCell ref="B32:M3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2:T66"/>
  <sheetViews>
    <sheetView topLeftCell="A11" workbookViewId="0">
      <selection activeCell="I34" sqref="I34"/>
    </sheetView>
  </sheetViews>
  <sheetFormatPr baseColWidth="10" defaultColWidth="11.42578125" defaultRowHeight="15" x14ac:dyDescent="0.25"/>
  <cols>
    <col min="1" max="7" width="11.42578125" style="1"/>
    <col min="8" max="8" width="11.85546875" style="1" bestFit="1" customWidth="1"/>
    <col min="9" max="16384" width="11.42578125" style="1"/>
  </cols>
  <sheetData>
    <row r="2" spans="2:15" ht="15" customHeight="1" x14ac:dyDescent="0.25">
      <c r="B2" s="442" t="s">
        <v>0</v>
      </c>
      <c r="C2" s="443"/>
      <c r="D2" s="443"/>
      <c r="E2" s="443"/>
      <c r="F2" s="443"/>
      <c r="G2" s="443"/>
      <c r="H2" s="443"/>
      <c r="I2" s="443"/>
      <c r="J2" s="443"/>
      <c r="K2" s="443"/>
      <c r="L2" s="443"/>
      <c r="M2" s="443"/>
      <c r="N2" s="443"/>
      <c r="O2" s="444"/>
    </row>
    <row r="3" spans="2:15" x14ac:dyDescent="0.25">
      <c r="B3" s="445"/>
      <c r="C3" s="446"/>
      <c r="D3" s="446"/>
      <c r="E3" s="446"/>
      <c r="F3" s="446"/>
      <c r="G3" s="446"/>
      <c r="H3" s="446"/>
      <c r="I3" s="446"/>
      <c r="J3" s="446"/>
      <c r="K3" s="446"/>
      <c r="L3" s="446"/>
      <c r="M3" s="446"/>
      <c r="N3" s="446"/>
      <c r="O3" s="447"/>
    </row>
    <row r="4" spans="2:15" x14ac:dyDescent="0.25">
      <c r="B4" s="445"/>
      <c r="C4" s="446"/>
      <c r="D4" s="446"/>
      <c r="E4" s="446"/>
      <c r="F4" s="446"/>
      <c r="G4" s="446"/>
      <c r="H4" s="446"/>
      <c r="I4" s="446"/>
      <c r="J4" s="446"/>
      <c r="K4" s="446"/>
      <c r="L4" s="446"/>
      <c r="M4" s="446"/>
      <c r="N4" s="446"/>
      <c r="O4" s="447"/>
    </row>
    <row r="5" spans="2:15" x14ac:dyDescent="0.25">
      <c r="B5" s="445"/>
      <c r="C5" s="446"/>
      <c r="D5" s="446"/>
      <c r="E5" s="446"/>
      <c r="F5" s="446"/>
      <c r="G5" s="446"/>
      <c r="H5" s="446"/>
      <c r="I5" s="446"/>
      <c r="J5" s="446"/>
      <c r="K5" s="446"/>
      <c r="L5" s="446"/>
      <c r="M5" s="446"/>
      <c r="N5" s="446"/>
      <c r="O5" s="447"/>
    </row>
    <row r="6" spans="2:15" x14ac:dyDescent="0.25">
      <c r="B6" s="445"/>
      <c r="C6" s="446"/>
      <c r="D6" s="446"/>
      <c r="E6" s="446"/>
      <c r="F6" s="446"/>
      <c r="G6" s="446"/>
      <c r="H6" s="446"/>
      <c r="I6" s="446"/>
      <c r="J6" s="446"/>
      <c r="K6" s="446"/>
      <c r="L6" s="446"/>
      <c r="M6" s="446"/>
      <c r="N6" s="446"/>
      <c r="O6" s="447"/>
    </row>
    <row r="7" spans="2:15" x14ac:dyDescent="0.25">
      <c r="B7" s="445"/>
      <c r="C7" s="446"/>
      <c r="D7" s="446"/>
      <c r="E7" s="446"/>
      <c r="F7" s="446"/>
      <c r="G7" s="446"/>
      <c r="H7" s="446"/>
      <c r="I7" s="446"/>
      <c r="J7" s="446"/>
      <c r="K7" s="446"/>
      <c r="L7" s="446"/>
      <c r="M7" s="446"/>
      <c r="N7" s="446"/>
      <c r="O7" s="447"/>
    </row>
    <row r="8" spans="2:15" x14ac:dyDescent="0.25">
      <c r="B8" s="445"/>
      <c r="C8" s="446"/>
      <c r="D8" s="446"/>
      <c r="E8" s="446"/>
      <c r="F8" s="446"/>
      <c r="G8" s="446"/>
      <c r="H8" s="446"/>
      <c r="I8" s="446"/>
      <c r="J8" s="446"/>
      <c r="K8" s="446"/>
      <c r="L8" s="446"/>
      <c r="M8" s="446"/>
      <c r="N8" s="446"/>
      <c r="O8" s="447"/>
    </row>
    <row r="9" spans="2:15" x14ac:dyDescent="0.25">
      <c r="B9" s="445"/>
      <c r="C9" s="446"/>
      <c r="D9" s="446"/>
      <c r="E9" s="446"/>
      <c r="F9" s="446"/>
      <c r="G9" s="446"/>
      <c r="H9" s="446"/>
      <c r="I9" s="446"/>
      <c r="J9" s="446"/>
      <c r="K9" s="446"/>
      <c r="L9" s="446"/>
      <c r="M9" s="446"/>
      <c r="N9" s="446"/>
      <c r="O9" s="447"/>
    </row>
    <row r="10" spans="2:15" x14ac:dyDescent="0.25">
      <c r="B10" s="448"/>
      <c r="C10" s="449"/>
      <c r="D10" s="449"/>
      <c r="E10" s="449"/>
      <c r="F10" s="449"/>
      <c r="G10" s="449"/>
      <c r="H10" s="449"/>
      <c r="I10" s="449"/>
      <c r="J10" s="449"/>
      <c r="K10" s="449"/>
      <c r="L10" s="449"/>
      <c r="M10" s="449"/>
      <c r="N10" s="449"/>
      <c r="O10" s="450"/>
    </row>
    <row r="11" spans="2:15" x14ac:dyDescent="0.25">
      <c r="B11" s="2"/>
      <c r="C11" s="14" t="s">
        <v>11</v>
      </c>
      <c r="D11" s="14" t="s">
        <v>12</v>
      </c>
      <c r="E11" s="15"/>
      <c r="F11" s="15"/>
      <c r="G11" s="2"/>
      <c r="H11" s="2"/>
      <c r="I11" s="2"/>
      <c r="J11" s="2"/>
      <c r="K11" s="2"/>
      <c r="L11" s="2"/>
      <c r="M11" s="2"/>
      <c r="N11" s="2"/>
      <c r="O11" s="2"/>
    </row>
    <row r="12" spans="2:15" ht="24" x14ac:dyDescent="0.25">
      <c r="B12" s="11" t="s">
        <v>1</v>
      </c>
      <c r="C12" s="12" t="s">
        <v>2</v>
      </c>
      <c r="D12" s="13" t="s">
        <v>3</v>
      </c>
      <c r="E12" s="14" t="s">
        <v>7</v>
      </c>
      <c r="F12" s="16" t="s">
        <v>10</v>
      </c>
      <c r="G12" s="16" t="s">
        <v>15</v>
      </c>
      <c r="H12" s="2"/>
      <c r="I12" s="2"/>
      <c r="J12" s="2"/>
      <c r="K12" s="2"/>
      <c r="L12" s="2"/>
      <c r="M12" s="2"/>
      <c r="N12" s="2"/>
      <c r="O12" s="2"/>
    </row>
    <row r="13" spans="2:15" x14ac:dyDescent="0.25">
      <c r="B13" s="3">
        <v>2002</v>
      </c>
      <c r="C13" s="4">
        <v>447</v>
      </c>
      <c r="D13" s="5">
        <v>13</v>
      </c>
      <c r="E13" s="14">
        <f>C13*D13</f>
        <v>5811</v>
      </c>
      <c r="F13" s="14">
        <f>(C13-$D$28)^2</f>
        <v>14520.25</v>
      </c>
      <c r="G13" s="15">
        <f>(D13-$D$29)^2</f>
        <v>269.89795918367344</v>
      </c>
      <c r="H13" s="2"/>
      <c r="I13" s="2"/>
      <c r="J13" s="2"/>
      <c r="K13" s="2"/>
      <c r="L13" s="2"/>
      <c r="M13" s="2"/>
      <c r="N13" s="2"/>
      <c r="O13" s="2"/>
    </row>
    <row r="14" spans="2:15" x14ac:dyDescent="0.25">
      <c r="B14" s="3">
        <f>B13+1</f>
        <v>2003</v>
      </c>
      <c r="C14" s="4">
        <v>460</v>
      </c>
      <c r="D14" s="5">
        <v>21</v>
      </c>
      <c r="E14" s="14">
        <f t="shared" ref="E14:E26" si="0">C14*D14</f>
        <v>9660</v>
      </c>
      <c r="F14" s="14">
        <f t="shared" ref="F14:F26" si="1">(C14-$D$28)^2</f>
        <v>11556.25</v>
      </c>
      <c r="G14" s="15">
        <f t="shared" ref="G14:G26" si="2">(D14-$D$29)^2</f>
        <v>71.040816326530589</v>
      </c>
      <c r="H14" s="2"/>
      <c r="I14" s="2"/>
      <c r="J14" s="2"/>
      <c r="K14" s="2"/>
      <c r="L14" s="2"/>
      <c r="M14" s="2"/>
      <c r="N14" s="2"/>
      <c r="O14" s="2"/>
    </row>
    <row r="15" spans="2:15" x14ac:dyDescent="0.25">
      <c r="B15" s="3">
        <f t="shared" ref="B15:B26" si="3">B14+1</f>
        <v>2004</v>
      </c>
      <c r="C15" s="4">
        <v>481</v>
      </c>
      <c r="D15" s="5">
        <v>24</v>
      </c>
      <c r="E15" s="14">
        <f t="shared" si="0"/>
        <v>11544</v>
      </c>
      <c r="F15" s="14">
        <f t="shared" si="1"/>
        <v>7482.25</v>
      </c>
      <c r="G15" s="15">
        <f t="shared" si="2"/>
        <v>29.469387755102023</v>
      </c>
      <c r="H15" s="2"/>
      <c r="I15" s="2"/>
      <c r="J15" s="2"/>
      <c r="K15" s="2"/>
      <c r="L15" s="2"/>
      <c r="M15" s="2"/>
      <c r="N15" s="2"/>
      <c r="O15" s="2"/>
    </row>
    <row r="16" spans="2:15" x14ac:dyDescent="0.25">
      <c r="B16" s="3">
        <f t="shared" si="3"/>
        <v>2005</v>
      </c>
      <c r="C16" s="4">
        <v>498</v>
      </c>
      <c r="D16" s="5">
        <v>16</v>
      </c>
      <c r="E16" s="14">
        <f t="shared" si="0"/>
        <v>7968</v>
      </c>
      <c r="F16" s="14">
        <f t="shared" si="1"/>
        <v>4830.25</v>
      </c>
      <c r="G16" s="15">
        <f t="shared" si="2"/>
        <v>180.32653061224485</v>
      </c>
      <c r="H16" s="2"/>
      <c r="I16" s="2"/>
      <c r="J16" s="2"/>
      <c r="K16" s="2"/>
      <c r="L16" s="2"/>
      <c r="M16" s="2"/>
      <c r="N16" s="2"/>
      <c r="O16" s="2"/>
    </row>
    <row r="17" spans="2:20" x14ac:dyDescent="0.25">
      <c r="B17" s="3">
        <f t="shared" si="3"/>
        <v>2006</v>
      </c>
      <c r="C17" s="6">
        <v>513</v>
      </c>
      <c r="D17" s="7">
        <v>24</v>
      </c>
      <c r="E17" s="14">
        <f t="shared" si="0"/>
        <v>12312</v>
      </c>
      <c r="F17" s="14">
        <f t="shared" si="1"/>
        <v>2970.25</v>
      </c>
      <c r="G17" s="15">
        <f t="shared" si="2"/>
        <v>29.469387755102023</v>
      </c>
    </row>
    <row r="18" spans="2:20" x14ac:dyDescent="0.25">
      <c r="B18" s="3">
        <f t="shared" si="3"/>
        <v>2007</v>
      </c>
      <c r="C18" s="6">
        <v>512</v>
      </c>
      <c r="D18" s="7">
        <v>20</v>
      </c>
      <c r="E18" s="14">
        <f t="shared" si="0"/>
        <v>10240</v>
      </c>
      <c r="F18" s="14">
        <f t="shared" si="1"/>
        <v>3080.25</v>
      </c>
      <c r="G18" s="15">
        <f t="shared" si="2"/>
        <v>88.897959183673436</v>
      </c>
    </row>
    <row r="19" spans="2:20" x14ac:dyDescent="0.25">
      <c r="B19" s="3">
        <f t="shared" si="3"/>
        <v>2008</v>
      </c>
      <c r="C19" s="6">
        <v>526</v>
      </c>
      <c r="D19" s="7">
        <v>15</v>
      </c>
      <c r="E19" s="14">
        <f t="shared" si="0"/>
        <v>7890</v>
      </c>
      <c r="F19" s="14">
        <f t="shared" si="1"/>
        <v>1722.25</v>
      </c>
      <c r="G19" s="15">
        <f t="shared" si="2"/>
        <v>208.18367346938771</v>
      </c>
    </row>
    <row r="20" spans="2:20" x14ac:dyDescent="0.25">
      <c r="B20" s="3">
        <f t="shared" si="3"/>
        <v>2009</v>
      </c>
      <c r="C20" s="6">
        <v>559</v>
      </c>
      <c r="D20" s="7">
        <v>34</v>
      </c>
      <c r="E20" s="14">
        <f t="shared" si="0"/>
        <v>19006</v>
      </c>
      <c r="F20" s="14">
        <f t="shared" si="1"/>
        <v>72.25</v>
      </c>
      <c r="G20" s="15">
        <f t="shared" si="2"/>
        <v>20.897959183673482</v>
      </c>
    </row>
    <row r="21" spans="2:20" x14ac:dyDescent="0.25">
      <c r="B21" s="3">
        <f t="shared" si="3"/>
        <v>2010</v>
      </c>
      <c r="C21" s="6">
        <v>585</v>
      </c>
      <c r="D21" s="7">
        <v>33</v>
      </c>
      <c r="E21" s="14">
        <f t="shared" si="0"/>
        <v>19305</v>
      </c>
      <c r="F21" s="14">
        <f t="shared" si="1"/>
        <v>306.25</v>
      </c>
      <c r="G21" s="15">
        <f t="shared" si="2"/>
        <v>12.755102040816338</v>
      </c>
    </row>
    <row r="22" spans="2:20" x14ac:dyDescent="0.25">
      <c r="B22" s="3">
        <f t="shared" si="3"/>
        <v>2011</v>
      </c>
      <c r="C22" s="6">
        <v>614</v>
      </c>
      <c r="D22" s="7">
        <v>33</v>
      </c>
      <c r="E22" s="14">
        <f t="shared" si="0"/>
        <v>20262</v>
      </c>
      <c r="F22" s="14">
        <f t="shared" si="1"/>
        <v>2162.25</v>
      </c>
      <c r="G22" s="15">
        <f t="shared" si="2"/>
        <v>12.755102040816338</v>
      </c>
    </row>
    <row r="23" spans="2:20" x14ac:dyDescent="0.25">
      <c r="B23" s="3">
        <f t="shared" si="3"/>
        <v>2012</v>
      </c>
      <c r="C23" s="6">
        <v>645</v>
      </c>
      <c r="D23" s="7">
        <v>39</v>
      </c>
      <c r="E23" s="14">
        <f t="shared" si="0"/>
        <v>25155</v>
      </c>
      <c r="F23" s="14">
        <f t="shared" si="1"/>
        <v>6006.25</v>
      </c>
      <c r="G23" s="15">
        <f t="shared" si="2"/>
        <v>91.612244897959215</v>
      </c>
    </row>
    <row r="24" spans="2:20" x14ac:dyDescent="0.25">
      <c r="B24" s="3">
        <f t="shared" si="3"/>
        <v>2013</v>
      </c>
      <c r="C24" s="6">
        <v>675</v>
      </c>
      <c r="D24" s="7">
        <v>43</v>
      </c>
      <c r="E24" s="14">
        <f t="shared" si="0"/>
        <v>29025</v>
      </c>
      <c r="F24" s="14">
        <f t="shared" si="1"/>
        <v>11556.25</v>
      </c>
      <c r="G24" s="15">
        <f t="shared" si="2"/>
        <v>184.1836734693878</v>
      </c>
    </row>
    <row r="25" spans="2:20" x14ac:dyDescent="0.25">
      <c r="B25" s="3">
        <f t="shared" si="3"/>
        <v>2014</v>
      </c>
      <c r="C25" s="6">
        <v>711</v>
      </c>
      <c r="D25" s="7">
        <v>50</v>
      </c>
      <c r="E25" s="14">
        <f t="shared" si="0"/>
        <v>35550</v>
      </c>
      <c r="F25" s="14">
        <f t="shared" si="1"/>
        <v>20592.25</v>
      </c>
      <c r="G25" s="15">
        <f t="shared" si="2"/>
        <v>423.18367346938783</v>
      </c>
    </row>
    <row r="26" spans="2:20" x14ac:dyDescent="0.25">
      <c r="B26" s="8">
        <f t="shared" si="3"/>
        <v>2015</v>
      </c>
      <c r="C26" s="9">
        <v>719</v>
      </c>
      <c r="D26" s="10">
        <v>47</v>
      </c>
      <c r="E26" s="14">
        <f t="shared" si="0"/>
        <v>33793</v>
      </c>
      <c r="F26" s="14">
        <f t="shared" si="1"/>
        <v>22952.25</v>
      </c>
      <c r="G26" s="15">
        <f t="shared" si="2"/>
        <v>308.75510204081638</v>
      </c>
    </row>
    <row r="27" spans="2:20" x14ac:dyDescent="0.25">
      <c r="B27" s="15"/>
      <c r="C27" s="17"/>
      <c r="D27" s="17"/>
      <c r="E27" s="17"/>
      <c r="F27" s="17"/>
      <c r="G27" s="17"/>
    </row>
    <row r="28" spans="2:20" x14ac:dyDescent="0.25">
      <c r="B28" s="17"/>
      <c r="C28" s="18" t="s">
        <v>5</v>
      </c>
      <c r="D28" s="17">
        <f>AVERAGE(C13:C26)</f>
        <v>567.5</v>
      </c>
      <c r="E28" s="17"/>
      <c r="F28" s="17"/>
      <c r="G28" s="17"/>
      <c r="H28" s="97"/>
      <c r="I28" s="97"/>
      <c r="J28" s="97"/>
      <c r="K28" s="97"/>
      <c r="L28" s="97"/>
      <c r="M28" s="97"/>
      <c r="N28" s="97"/>
      <c r="O28" s="97"/>
      <c r="P28" s="97"/>
      <c r="Q28" s="97"/>
      <c r="R28" s="97"/>
      <c r="S28" s="97"/>
      <c r="T28" s="97"/>
    </row>
    <row r="29" spans="2:20" x14ac:dyDescent="0.25">
      <c r="B29" s="17"/>
      <c r="C29" s="18" t="s">
        <v>6</v>
      </c>
      <c r="D29" s="17">
        <f>AVERAGE(D13:D26)</f>
        <v>29.428571428571427</v>
      </c>
      <c r="E29" s="17"/>
      <c r="F29" s="17"/>
      <c r="G29" s="17"/>
      <c r="H29" s="97"/>
      <c r="I29" s="97"/>
      <c r="J29" s="97"/>
      <c r="K29" s="97"/>
      <c r="L29" s="97"/>
      <c r="M29" s="97"/>
      <c r="N29" s="97"/>
      <c r="O29" s="97"/>
      <c r="P29" s="97"/>
      <c r="Q29" s="97"/>
      <c r="R29" s="97"/>
      <c r="S29" s="97"/>
      <c r="T29" s="97"/>
    </row>
    <row r="30" spans="2:20" x14ac:dyDescent="0.25">
      <c r="B30" s="17"/>
      <c r="C30" s="18" t="s">
        <v>8</v>
      </c>
      <c r="D30" s="17">
        <f>AVERAGE(E13:E26)</f>
        <v>17680.071428571428</v>
      </c>
      <c r="E30" s="17"/>
      <c r="F30" s="17"/>
      <c r="G30" s="17"/>
      <c r="H30" s="311"/>
      <c r="I30" s="311"/>
      <c r="J30" s="97"/>
      <c r="K30" s="97"/>
      <c r="L30" s="97"/>
      <c r="M30" s="97"/>
      <c r="N30" s="97"/>
      <c r="O30" s="97"/>
      <c r="P30" s="97"/>
      <c r="Q30" s="97"/>
      <c r="R30" s="97"/>
      <c r="S30" s="97"/>
      <c r="T30" s="97"/>
    </row>
    <row r="31" spans="2:20" x14ac:dyDescent="0.25">
      <c r="B31" s="17"/>
      <c r="C31" s="18" t="s">
        <v>4</v>
      </c>
      <c r="D31" s="17">
        <f>D30-D29*D28</f>
        <v>979.3571428571413</v>
      </c>
      <c r="E31" s="17">
        <f>COVAR(C13:C26,D13:D26)</f>
        <v>979.35714285714278</v>
      </c>
      <c r="F31" s="17"/>
      <c r="G31" s="17"/>
      <c r="H31" s="62"/>
      <c r="I31" s="62"/>
      <c r="J31" s="97"/>
      <c r="K31" s="97"/>
      <c r="L31" s="97"/>
      <c r="M31" s="97"/>
      <c r="N31" s="97"/>
      <c r="O31" s="97"/>
      <c r="P31" s="97"/>
      <c r="Q31" s="97"/>
      <c r="R31" s="97"/>
      <c r="S31" s="97"/>
      <c r="T31" s="97"/>
    </row>
    <row r="32" spans="2:20" x14ac:dyDescent="0.25">
      <c r="B32" s="17"/>
      <c r="C32" s="18" t="s">
        <v>9</v>
      </c>
      <c r="D32" s="17">
        <f>AVERAGE(F13:F26)</f>
        <v>7843.5357142857147</v>
      </c>
      <c r="E32" s="17">
        <f>_xlfn.VAR.P(C13:C26)</f>
        <v>7843.5357142857147</v>
      </c>
      <c r="F32" s="17"/>
      <c r="G32" s="17"/>
      <c r="H32" s="62"/>
      <c r="I32" s="62"/>
      <c r="J32" s="97"/>
      <c r="K32" s="97"/>
      <c r="L32" s="97"/>
      <c r="M32" s="97"/>
      <c r="N32" s="97"/>
      <c r="O32" s="97"/>
      <c r="P32" s="97"/>
      <c r="Q32" s="97"/>
      <c r="R32" s="97"/>
      <c r="S32" s="97"/>
      <c r="T32" s="97"/>
    </row>
    <row r="33" spans="2:20" x14ac:dyDescent="0.25">
      <c r="B33" s="17"/>
      <c r="C33" s="18" t="s">
        <v>13</v>
      </c>
      <c r="D33" s="17">
        <f>D31/D32</f>
        <v>0.12486169229438233</v>
      </c>
      <c r="E33" s="17">
        <f>SLOPE(D13:D26,C13:C26)</f>
        <v>0.12486169229438253</v>
      </c>
      <c r="F33" s="17"/>
      <c r="G33" s="17"/>
      <c r="H33" s="62"/>
      <c r="I33" s="62"/>
      <c r="J33" s="97"/>
      <c r="K33" s="97"/>
      <c r="L33" s="97"/>
      <c r="M33" s="97"/>
      <c r="N33" s="97"/>
      <c r="O33" s="97"/>
      <c r="P33" s="97"/>
      <c r="Q33" s="97"/>
      <c r="R33" s="97"/>
      <c r="S33" s="97"/>
      <c r="T33" s="97"/>
    </row>
    <row r="34" spans="2:20" x14ac:dyDescent="0.25">
      <c r="B34" s="17"/>
      <c r="C34" s="18" t="s">
        <v>14</v>
      </c>
      <c r="D34" s="17">
        <f>-D33*D28+D29</f>
        <v>-41.430438948490547</v>
      </c>
      <c r="E34" s="17">
        <f>INTERCEPT(D13:D26,C13:C26)</f>
        <v>-41.430438948490661</v>
      </c>
      <c r="F34" s="17"/>
      <c r="G34" s="17"/>
      <c r="H34" s="62"/>
      <c r="I34" s="62"/>
      <c r="J34" s="97"/>
      <c r="K34" s="97"/>
      <c r="L34" s="97"/>
      <c r="M34" s="97"/>
      <c r="N34" s="97"/>
      <c r="O34" s="97"/>
      <c r="P34" s="97"/>
      <c r="Q34" s="97"/>
      <c r="R34" s="97"/>
      <c r="S34" s="97"/>
      <c r="T34" s="97"/>
    </row>
    <row r="35" spans="2:20" x14ac:dyDescent="0.25">
      <c r="B35" s="17"/>
      <c r="C35" s="18" t="s">
        <v>16</v>
      </c>
      <c r="D35" s="17">
        <f>AVERAGE(G13:G26)</f>
        <v>137.9591836734694</v>
      </c>
      <c r="E35" s="17"/>
      <c r="F35" s="17"/>
      <c r="G35" s="17"/>
      <c r="H35" s="62"/>
      <c r="I35" s="62"/>
      <c r="J35" s="97"/>
      <c r="K35" s="97"/>
      <c r="L35" s="97"/>
      <c r="M35" s="97"/>
      <c r="N35" s="97"/>
      <c r="O35" s="97"/>
      <c r="P35" s="97"/>
      <c r="Q35" s="97"/>
      <c r="R35" s="97"/>
      <c r="S35" s="97"/>
      <c r="T35" s="97"/>
    </row>
    <row r="36" spans="2:20" x14ac:dyDescent="0.25">
      <c r="C36" s="19" t="s">
        <v>18</v>
      </c>
      <c r="D36" s="17">
        <f>D31/(SQRT(D32*D35))</f>
        <v>0.94147728878930415</v>
      </c>
      <c r="E36" s="17">
        <f>CORREL(C13:C26,D13:D26)</f>
        <v>0.94147728878930559</v>
      </c>
      <c r="H36" s="97"/>
      <c r="I36" s="97"/>
      <c r="J36" s="97"/>
      <c r="K36" s="97"/>
      <c r="L36" s="97"/>
      <c r="M36" s="97"/>
      <c r="N36" s="97"/>
      <c r="O36" s="97"/>
      <c r="P36" s="97"/>
      <c r="Q36" s="97"/>
      <c r="R36" s="97"/>
      <c r="S36" s="97"/>
      <c r="T36" s="97"/>
    </row>
    <row r="37" spans="2:20" x14ac:dyDescent="0.25">
      <c r="C37" s="19" t="s">
        <v>17</v>
      </c>
      <c r="D37" s="17">
        <f>D36^2</f>
        <v>0.88637948530605881</v>
      </c>
      <c r="H37" s="97"/>
      <c r="I37" s="97"/>
      <c r="J37" s="97"/>
      <c r="K37" s="97"/>
      <c r="L37" s="97"/>
      <c r="M37" s="97"/>
      <c r="N37" s="97"/>
      <c r="O37" s="97"/>
      <c r="P37" s="97"/>
      <c r="Q37" s="97"/>
      <c r="R37" s="97"/>
      <c r="S37" s="97"/>
      <c r="T37" s="97"/>
    </row>
    <row r="38" spans="2:20" x14ac:dyDescent="0.25">
      <c r="H38" s="312"/>
      <c r="I38" s="312"/>
      <c r="J38" s="312"/>
      <c r="K38" s="312"/>
      <c r="L38" s="312"/>
      <c r="M38" s="312"/>
      <c r="N38" s="97"/>
      <c r="O38" s="97"/>
      <c r="P38" s="97"/>
      <c r="Q38" s="97"/>
      <c r="R38" s="97"/>
      <c r="S38" s="97"/>
      <c r="T38" s="97"/>
    </row>
    <row r="39" spans="2:20" x14ac:dyDescent="0.25">
      <c r="H39" s="62"/>
      <c r="I39" s="62"/>
      <c r="J39" s="62"/>
      <c r="K39" s="62"/>
      <c r="L39" s="62"/>
      <c r="M39" s="62"/>
      <c r="N39" s="97"/>
      <c r="O39" s="97"/>
      <c r="P39" s="97"/>
      <c r="Q39" s="97"/>
      <c r="R39" s="97"/>
      <c r="S39" s="97"/>
      <c r="T39" s="97"/>
    </row>
    <row r="40" spans="2:20" x14ac:dyDescent="0.25">
      <c r="H40" s="62"/>
      <c r="I40" s="62"/>
      <c r="J40" s="62"/>
      <c r="K40" s="62"/>
      <c r="L40" s="62"/>
      <c r="M40" s="62"/>
      <c r="N40" s="97"/>
      <c r="O40" s="97"/>
      <c r="P40" s="97"/>
      <c r="Q40" s="97"/>
      <c r="R40" s="97"/>
      <c r="S40" s="97"/>
      <c r="T40" s="97"/>
    </row>
    <row r="41" spans="2:20" x14ac:dyDescent="0.25">
      <c r="H41" s="62"/>
      <c r="I41" s="62"/>
      <c r="J41" s="62"/>
      <c r="K41" s="62"/>
      <c r="L41" s="62"/>
      <c r="M41" s="62"/>
      <c r="N41" s="97"/>
      <c r="O41" s="97"/>
      <c r="P41" s="97"/>
      <c r="Q41" s="97"/>
      <c r="R41" s="97"/>
      <c r="S41" s="97"/>
      <c r="T41" s="97"/>
    </row>
    <row r="42" spans="2:20" x14ac:dyDescent="0.25">
      <c r="H42" s="97"/>
      <c r="I42" s="97"/>
      <c r="J42" s="97"/>
      <c r="K42" s="97"/>
      <c r="L42" s="97"/>
      <c r="M42" s="97"/>
      <c r="N42" s="97"/>
      <c r="O42" s="97"/>
      <c r="P42" s="97"/>
      <c r="Q42" s="97"/>
      <c r="R42" s="97"/>
      <c r="S42" s="97"/>
      <c r="T42" s="97"/>
    </row>
    <row r="43" spans="2:20" x14ac:dyDescent="0.25">
      <c r="H43" s="312"/>
      <c r="I43" s="312"/>
      <c r="J43" s="312"/>
      <c r="K43" s="312"/>
      <c r="L43" s="312"/>
      <c r="M43" s="312"/>
      <c r="N43" s="312"/>
      <c r="O43" s="312"/>
      <c r="P43" s="312"/>
      <c r="Q43" s="97"/>
      <c r="R43" s="97"/>
      <c r="S43" s="97"/>
      <c r="T43" s="97"/>
    </row>
    <row r="44" spans="2:20" x14ac:dyDescent="0.25">
      <c r="H44" s="62"/>
      <c r="I44" s="62"/>
      <c r="J44" s="62"/>
      <c r="K44" s="62"/>
      <c r="L44" s="62"/>
      <c r="M44" s="62"/>
      <c r="N44" s="62"/>
      <c r="O44" s="62"/>
      <c r="P44" s="62"/>
      <c r="Q44" s="97"/>
      <c r="R44" s="97"/>
      <c r="S44" s="97"/>
      <c r="T44" s="97"/>
    </row>
    <row r="45" spans="2:20" x14ac:dyDescent="0.25">
      <c r="H45" s="62"/>
      <c r="I45" s="62"/>
      <c r="J45" s="62"/>
      <c r="K45" s="62"/>
      <c r="L45" s="62"/>
      <c r="M45" s="62"/>
      <c r="N45" s="62"/>
      <c r="O45" s="62"/>
      <c r="P45" s="62"/>
      <c r="Q45" s="97"/>
      <c r="R45" s="97"/>
      <c r="S45" s="97"/>
      <c r="T45" s="97"/>
    </row>
    <row r="46" spans="2:20" x14ac:dyDescent="0.25">
      <c r="H46" s="97"/>
      <c r="I46" s="97"/>
      <c r="J46" s="97"/>
      <c r="K46" s="97"/>
      <c r="L46" s="97"/>
      <c r="M46" s="97"/>
      <c r="N46" s="97"/>
      <c r="O46" s="97"/>
      <c r="P46" s="97"/>
      <c r="Q46" s="97"/>
      <c r="R46" s="97"/>
      <c r="S46" s="97"/>
      <c r="T46" s="97"/>
    </row>
    <row r="47" spans="2:20" x14ac:dyDescent="0.25">
      <c r="H47" s="97"/>
      <c r="I47" s="97"/>
      <c r="J47" s="97"/>
      <c r="K47" s="97"/>
      <c r="L47" s="97"/>
      <c r="M47" s="97"/>
      <c r="N47" s="97"/>
      <c r="O47" s="97"/>
      <c r="P47" s="97"/>
      <c r="Q47" s="97"/>
      <c r="R47" s="97"/>
      <c r="S47" s="97"/>
      <c r="T47" s="97"/>
    </row>
    <row r="48" spans="2:20" x14ac:dyDescent="0.25">
      <c r="H48" s="97"/>
      <c r="I48" s="97"/>
      <c r="J48" s="97"/>
      <c r="K48" s="97"/>
      <c r="L48" s="97"/>
      <c r="M48" s="97"/>
      <c r="N48" s="97"/>
      <c r="O48" s="97"/>
      <c r="P48" s="97"/>
      <c r="Q48" s="97"/>
      <c r="R48" s="97"/>
      <c r="S48" s="97"/>
      <c r="T48" s="97"/>
    </row>
    <row r="49" spans="8:20" x14ac:dyDescent="0.25">
      <c r="H49" s="97"/>
      <c r="I49" s="97"/>
      <c r="J49" s="97"/>
      <c r="K49" s="97"/>
      <c r="L49" s="97"/>
      <c r="M49" s="97"/>
      <c r="N49" s="97"/>
      <c r="O49" s="97"/>
      <c r="P49" s="97"/>
      <c r="Q49" s="97"/>
      <c r="R49" s="97"/>
      <c r="S49" s="97"/>
      <c r="T49" s="97"/>
    </row>
    <row r="50" spans="8:20" x14ac:dyDescent="0.25">
      <c r="H50" s="97"/>
      <c r="I50" s="97"/>
      <c r="J50" s="97"/>
      <c r="K50" s="97"/>
      <c r="L50" s="97"/>
      <c r="M50" s="97"/>
      <c r="N50" s="97"/>
      <c r="O50" s="97"/>
      <c r="P50" s="97"/>
      <c r="Q50" s="97"/>
      <c r="R50" s="97"/>
      <c r="S50" s="97"/>
      <c r="T50" s="97"/>
    </row>
    <row r="51" spans="8:20" x14ac:dyDescent="0.25">
      <c r="H51" s="312"/>
      <c r="I51" s="312"/>
      <c r="J51" s="312"/>
      <c r="K51" s="312"/>
      <c r="L51" s="97"/>
      <c r="M51" s="97"/>
      <c r="N51" s="97"/>
      <c r="O51" s="97"/>
      <c r="P51" s="97"/>
      <c r="Q51" s="97"/>
      <c r="R51" s="97"/>
      <c r="S51" s="97"/>
      <c r="T51" s="97"/>
    </row>
    <row r="52" spans="8:20" x14ac:dyDescent="0.25">
      <c r="H52" s="62"/>
      <c r="I52" s="62"/>
      <c r="J52" s="62"/>
      <c r="K52" s="62"/>
      <c r="L52" s="97"/>
      <c r="M52" s="97"/>
      <c r="N52" s="97"/>
      <c r="O52" s="97"/>
      <c r="P52" s="97"/>
      <c r="Q52" s="97"/>
      <c r="R52" s="97"/>
      <c r="S52" s="97"/>
      <c r="T52" s="97"/>
    </row>
    <row r="53" spans="8:20" x14ac:dyDescent="0.25">
      <c r="H53" s="62"/>
      <c r="I53" s="62"/>
      <c r="J53" s="62"/>
      <c r="K53" s="62"/>
      <c r="L53" s="97"/>
      <c r="M53" s="97"/>
      <c r="N53" s="97"/>
      <c r="O53" s="97"/>
      <c r="P53" s="97"/>
      <c r="Q53" s="97"/>
      <c r="R53" s="97"/>
      <c r="S53" s="97"/>
      <c r="T53" s="97"/>
    </row>
    <row r="54" spans="8:20" x14ac:dyDescent="0.25">
      <c r="H54" s="62"/>
      <c r="I54" s="62"/>
      <c r="J54" s="62"/>
      <c r="K54" s="62"/>
      <c r="L54" s="97"/>
      <c r="M54" s="97"/>
      <c r="N54" s="97"/>
      <c r="O54" s="97"/>
      <c r="P54" s="97"/>
      <c r="Q54" s="97"/>
      <c r="R54" s="97"/>
      <c r="S54" s="97"/>
      <c r="T54" s="97"/>
    </row>
    <row r="55" spans="8:20" x14ac:dyDescent="0.25">
      <c r="H55" s="62"/>
      <c r="I55" s="62"/>
      <c r="J55" s="62"/>
      <c r="K55" s="62"/>
      <c r="L55" s="97"/>
      <c r="M55" s="97"/>
      <c r="N55" s="97"/>
      <c r="O55" s="97"/>
      <c r="P55" s="97"/>
      <c r="Q55" s="97"/>
      <c r="R55" s="97"/>
      <c r="S55" s="97"/>
      <c r="T55" s="97"/>
    </row>
    <row r="56" spans="8:20" x14ac:dyDescent="0.25">
      <c r="H56" s="62"/>
      <c r="I56" s="62"/>
      <c r="J56" s="62"/>
      <c r="K56" s="62"/>
      <c r="L56" s="97"/>
      <c r="M56" s="97"/>
      <c r="N56" s="97"/>
      <c r="O56" s="97"/>
      <c r="P56" s="97"/>
      <c r="Q56" s="97"/>
      <c r="R56" s="97"/>
      <c r="S56" s="97"/>
      <c r="T56" s="97"/>
    </row>
    <row r="57" spans="8:20" x14ac:dyDescent="0.25">
      <c r="H57" s="62"/>
      <c r="I57" s="62"/>
      <c r="J57" s="62"/>
      <c r="K57" s="62"/>
      <c r="L57" s="97"/>
      <c r="M57" s="97"/>
      <c r="N57" s="97"/>
      <c r="O57" s="97"/>
      <c r="P57" s="97"/>
      <c r="Q57" s="97"/>
      <c r="R57" s="97"/>
      <c r="S57" s="97"/>
      <c r="T57" s="97"/>
    </row>
    <row r="58" spans="8:20" x14ac:dyDescent="0.25">
      <c r="H58" s="62"/>
      <c r="I58" s="62"/>
      <c r="J58" s="62"/>
      <c r="K58" s="62"/>
      <c r="L58" s="97"/>
      <c r="M58" s="97"/>
      <c r="N58" s="97"/>
      <c r="O58" s="97"/>
      <c r="P58" s="97"/>
      <c r="Q58" s="97"/>
      <c r="R58" s="97"/>
      <c r="S58" s="97"/>
      <c r="T58" s="97"/>
    </row>
    <row r="59" spans="8:20" x14ac:dyDescent="0.25">
      <c r="H59" s="62"/>
      <c r="I59" s="62"/>
      <c r="J59" s="62"/>
      <c r="K59" s="62"/>
      <c r="L59" s="97"/>
      <c r="M59" s="97"/>
      <c r="N59" s="97"/>
      <c r="O59" s="97"/>
      <c r="P59" s="97"/>
      <c r="Q59" s="97"/>
      <c r="R59" s="97"/>
      <c r="S59" s="97"/>
      <c r="T59" s="97"/>
    </row>
    <row r="60" spans="8:20" x14ac:dyDescent="0.25">
      <c r="H60" s="62"/>
      <c r="I60" s="62"/>
      <c r="J60" s="62"/>
      <c r="K60" s="62"/>
      <c r="L60" s="97"/>
      <c r="M60" s="97"/>
      <c r="N60" s="97"/>
      <c r="O60" s="97"/>
      <c r="P60" s="97"/>
      <c r="Q60" s="97"/>
      <c r="R60" s="97"/>
      <c r="S60" s="97"/>
      <c r="T60" s="97"/>
    </row>
    <row r="61" spans="8:20" x14ac:dyDescent="0.25">
      <c r="H61" s="62"/>
      <c r="I61" s="62"/>
      <c r="J61" s="62"/>
      <c r="K61" s="62"/>
      <c r="L61" s="97"/>
      <c r="M61" s="97"/>
      <c r="N61" s="97"/>
      <c r="O61" s="97"/>
      <c r="P61" s="97"/>
      <c r="Q61" s="97"/>
      <c r="R61" s="97"/>
      <c r="S61" s="97"/>
      <c r="T61" s="97"/>
    </row>
    <row r="62" spans="8:20" x14ac:dyDescent="0.25">
      <c r="H62" s="62"/>
      <c r="I62" s="62"/>
      <c r="J62" s="62"/>
      <c r="K62" s="62"/>
      <c r="L62" s="97"/>
      <c r="M62" s="97"/>
      <c r="N62" s="97"/>
      <c r="O62" s="97"/>
      <c r="P62" s="97"/>
      <c r="Q62" s="97"/>
      <c r="R62" s="97"/>
      <c r="S62" s="97"/>
      <c r="T62" s="97"/>
    </row>
    <row r="63" spans="8:20" x14ac:dyDescent="0.25">
      <c r="H63" s="62"/>
      <c r="I63" s="62"/>
      <c r="J63" s="62"/>
      <c r="K63" s="62"/>
      <c r="L63" s="97"/>
      <c r="M63" s="97"/>
      <c r="N63" s="97"/>
      <c r="O63" s="97"/>
      <c r="P63" s="97"/>
      <c r="Q63" s="97"/>
      <c r="R63" s="97"/>
      <c r="S63" s="97"/>
      <c r="T63" s="97"/>
    </row>
    <row r="64" spans="8:20" x14ac:dyDescent="0.25">
      <c r="H64" s="62"/>
      <c r="I64" s="62"/>
      <c r="J64" s="62"/>
      <c r="K64" s="62"/>
      <c r="L64" s="97"/>
      <c r="M64" s="97"/>
      <c r="N64" s="97"/>
      <c r="O64" s="97"/>
      <c r="P64" s="97"/>
      <c r="Q64" s="97"/>
      <c r="R64" s="97"/>
      <c r="S64" s="97"/>
      <c r="T64" s="97"/>
    </row>
    <row r="65" spans="8:20" x14ac:dyDescent="0.25">
      <c r="H65" s="97"/>
      <c r="I65" s="97"/>
      <c r="J65" s="97"/>
      <c r="K65" s="97"/>
      <c r="L65" s="97"/>
      <c r="M65" s="97"/>
      <c r="N65" s="97"/>
      <c r="O65" s="97"/>
      <c r="P65" s="97"/>
      <c r="Q65" s="97"/>
      <c r="R65" s="97"/>
      <c r="S65" s="97"/>
      <c r="T65" s="97"/>
    </row>
    <row r="66" spans="8:20" x14ac:dyDescent="0.25">
      <c r="H66" s="97"/>
      <c r="I66" s="97"/>
      <c r="J66" s="97"/>
      <c r="K66" s="97"/>
      <c r="L66" s="97"/>
      <c r="M66" s="97"/>
      <c r="N66" s="97"/>
      <c r="O66" s="97"/>
      <c r="P66" s="97"/>
      <c r="Q66" s="97"/>
      <c r="R66" s="97"/>
      <c r="S66" s="97"/>
      <c r="T66" s="97"/>
    </row>
  </sheetData>
  <mergeCells count="1">
    <mergeCell ref="B2:O10"/>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2:M27"/>
  <sheetViews>
    <sheetView topLeftCell="A13" workbookViewId="0">
      <selection activeCell="B2" sqref="B2:M10"/>
    </sheetView>
  </sheetViews>
  <sheetFormatPr baseColWidth="10" defaultColWidth="11.42578125" defaultRowHeight="15" x14ac:dyDescent="0.25"/>
  <cols>
    <col min="1" max="1" width="11.42578125" style="20"/>
    <col min="2" max="2" width="16.28515625" style="20" bestFit="1" customWidth="1"/>
    <col min="3" max="3" width="11.42578125" style="20"/>
    <col min="4" max="4" width="14.28515625" style="20" bestFit="1" customWidth="1"/>
    <col min="5" max="5" width="19.42578125" style="20" bestFit="1" customWidth="1"/>
    <col min="6" max="6" width="11.42578125" style="20"/>
    <col min="7" max="7" width="20" style="20" bestFit="1" customWidth="1"/>
    <col min="8" max="16384" width="11.42578125" style="20"/>
  </cols>
  <sheetData>
    <row r="2" spans="2:13" x14ac:dyDescent="0.25">
      <c r="B2" s="451" t="s">
        <v>66</v>
      </c>
      <c r="C2" s="452"/>
      <c r="D2" s="452"/>
      <c r="E2" s="452"/>
      <c r="F2" s="452"/>
      <c r="G2" s="452"/>
      <c r="H2" s="452"/>
      <c r="I2" s="452"/>
      <c r="J2" s="452"/>
      <c r="K2" s="452"/>
      <c r="L2" s="452"/>
      <c r="M2" s="453"/>
    </row>
    <row r="3" spans="2:13" ht="15" customHeight="1" x14ac:dyDescent="0.25">
      <c r="B3" s="454"/>
      <c r="C3" s="455"/>
      <c r="D3" s="455"/>
      <c r="E3" s="455"/>
      <c r="F3" s="455"/>
      <c r="G3" s="455"/>
      <c r="H3" s="455"/>
      <c r="I3" s="455"/>
      <c r="J3" s="455"/>
      <c r="K3" s="455"/>
      <c r="L3" s="455"/>
      <c r="M3" s="456"/>
    </row>
    <row r="4" spans="2:13" x14ac:dyDescent="0.25">
      <c r="B4" s="454"/>
      <c r="C4" s="455"/>
      <c r="D4" s="455"/>
      <c r="E4" s="455"/>
      <c r="F4" s="455"/>
      <c r="G4" s="455"/>
      <c r="H4" s="455"/>
      <c r="I4" s="455"/>
      <c r="J4" s="455"/>
      <c r="K4" s="455"/>
      <c r="L4" s="455"/>
      <c r="M4" s="456"/>
    </row>
    <row r="5" spans="2:13" x14ac:dyDescent="0.25">
      <c r="B5" s="454"/>
      <c r="C5" s="455"/>
      <c r="D5" s="455"/>
      <c r="E5" s="455"/>
      <c r="F5" s="455"/>
      <c r="G5" s="455"/>
      <c r="H5" s="455"/>
      <c r="I5" s="455"/>
      <c r="J5" s="455"/>
      <c r="K5" s="455"/>
      <c r="L5" s="455"/>
      <c r="M5" s="456"/>
    </row>
    <row r="6" spans="2:13" x14ac:dyDescent="0.25">
      <c r="B6" s="454"/>
      <c r="C6" s="455"/>
      <c r="D6" s="455"/>
      <c r="E6" s="455"/>
      <c r="F6" s="455"/>
      <c r="G6" s="455"/>
      <c r="H6" s="455"/>
      <c r="I6" s="455"/>
      <c r="J6" s="455"/>
      <c r="K6" s="455"/>
      <c r="L6" s="455"/>
      <c r="M6" s="456"/>
    </row>
    <row r="7" spans="2:13" x14ac:dyDescent="0.25">
      <c r="B7" s="454"/>
      <c r="C7" s="455"/>
      <c r="D7" s="455"/>
      <c r="E7" s="455"/>
      <c r="F7" s="455"/>
      <c r="G7" s="455"/>
      <c r="H7" s="455"/>
      <c r="I7" s="455"/>
      <c r="J7" s="455"/>
      <c r="K7" s="455"/>
      <c r="L7" s="455"/>
      <c r="M7" s="456"/>
    </row>
    <row r="8" spans="2:13" x14ac:dyDescent="0.25">
      <c r="B8" s="454"/>
      <c r="C8" s="455"/>
      <c r="D8" s="455"/>
      <c r="E8" s="455"/>
      <c r="F8" s="455"/>
      <c r="G8" s="455"/>
      <c r="H8" s="455"/>
      <c r="I8" s="455"/>
      <c r="J8" s="455"/>
      <c r="K8" s="455"/>
      <c r="L8" s="455"/>
      <c r="M8" s="456"/>
    </row>
    <row r="9" spans="2:13" x14ac:dyDescent="0.25">
      <c r="B9" s="454"/>
      <c r="C9" s="455"/>
      <c r="D9" s="455"/>
      <c r="E9" s="455"/>
      <c r="F9" s="455"/>
      <c r="G9" s="455"/>
      <c r="H9" s="455"/>
      <c r="I9" s="455"/>
      <c r="J9" s="455"/>
      <c r="K9" s="455"/>
      <c r="L9" s="455"/>
      <c r="M9" s="456"/>
    </row>
    <row r="10" spans="2:13" x14ac:dyDescent="0.25">
      <c r="B10" s="457"/>
      <c r="C10" s="458"/>
      <c r="D10" s="458"/>
      <c r="E10" s="458"/>
      <c r="F10" s="458"/>
      <c r="G10" s="458"/>
      <c r="H10" s="458"/>
      <c r="I10" s="458"/>
      <c r="J10" s="458"/>
      <c r="K10" s="458"/>
      <c r="L10" s="458"/>
      <c r="M10" s="459"/>
    </row>
    <row r="11" spans="2:13" x14ac:dyDescent="0.25">
      <c r="B11" s="53"/>
      <c r="C11" s="53"/>
      <c r="D11" s="53"/>
      <c r="E11" s="53"/>
      <c r="F11" s="53"/>
      <c r="G11" s="53"/>
      <c r="H11" s="53"/>
      <c r="I11" s="53"/>
      <c r="J11" s="53"/>
      <c r="K11" s="53"/>
      <c r="L11" s="53"/>
      <c r="M11" s="53"/>
    </row>
    <row r="12" spans="2:13" x14ac:dyDescent="0.25">
      <c r="B12" s="27" t="s">
        <v>56</v>
      </c>
      <c r="C12" s="28" t="s">
        <v>57</v>
      </c>
      <c r="D12" s="28" t="s">
        <v>58</v>
      </c>
      <c r="E12" s="29" t="s">
        <v>61</v>
      </c>
    </row>
    <row r="13" spans="2:13" x14ac:dyDescent="0.25">
      <c r="B13" s="22">
        <v>1750</v>
      </c>
      <c r="C13" s="47">
        <v>0</v>
      </c>
      <c r="D13" s="21">
        <v>125</v>
      </c>
      <c r="E13" s="23">
        <f>LOG(D13,2.71828)</f>
        <v>4.8283169850828447</v>
      </c>
    </row>
    <row r="14" spans="2:13" x14ac:dyDescent="0.25">
      <c r="B14" s="22">
        <v>1800</v>
      </c>
      <c r="C14" s="21">
        <v>50</v>
      </c>
      <c r="D14" s="21">
        <v>187</v>
      </c>
      <c r="E14" s="23">
        <f>LOG(D14,2.71828)</f>
        <v>5.2311121355763825</v>
      </c>
    </row>
    <row r="15" spans="2:13" x14ac:dyDescent="0.25">
      <c r="B15" s="22">
        <v>1850</v>
      </c>
      <c r="C15" s="21">
        <v>100</v>
      </c>
      <c r="D15" s="21">
        <v>274</v>
      </c>
      <c r="E15" s="23">
        <f>LOG(D15,2.71828)</f>
        <v>5.6131318820764875</v>
      </c>
    </row>
    <row r="16" spans="2:13" x14ac:dyDescent="0.25">
      <c r="B16" s="22">
        <v>1900</v>
      </c>
      <c r="C16" s="21">
        <v>150</v>
      </c>
      <c r="D16" s="21">
        <v>423</v>
      </c>
      <c r="E16" s="23">
        <f>LOG(D16,2.71828)</f>
        <v>6.0473762468303462</v>
      </c>
    </row>
    <row r="17" spans="2:7" x14ac:dyDescent="0.25">
      <c r="B17" s="24">
        <v>1950</v>
      </c>
      <c r="C17" s="25">
        <v>200</v>
      </c>
      <c r="D17" s="25">
        <v>594</v>
      </c>
      <c r="E17" s="26">
        <f>LOG(D17,2.71828)</f>
        <v>6.3868836155172684</v>
      </c>
    </row>
    <row r="19" spans="2:7" x14ac:dyDescent="0.25">
      <c r="B19" s="48" t="s">
        <v>59</v>
      </c>
      <c r="C19" s="48">
        <f>CORREL(C13:C17,D13:D17)</f>
        <v>0.97999119297704562</v>
      </c>
      <c r="D19" s="48">
        <f>C19^2</f>
        <v>0.96038273831257304</v>
      </c>
    </row>
    <row r="20" spans="2:7" x14ac:dyDescent="0.25">
      <c r="B20" s="48" t="s">
        <v>60</v>
      </c>
      <c r="C20" s="48">
        <f>CORREL(C13:C17,E13:E17)</f>
        <v>0.99947265068037061</v>
      </c>
      <c r="D20" s="48">
        <f>C20^2</f>
        <v>0.99894557945804618</v>
      </c>
    </row>
    <row r="24" spans="2:7" x14ac:dyDescent="0.25">
      <c r="G24" s="48" t="s">
        <v>62</v>
      </c>
    </row>
    <row r="25" spans="2:7" x14ac:dyDescent="0.25">
      <c r="G25" s="48" t="s">
        <v>63</v>
      </c>
    </row>
    <row r="26" spans="2:7" x14ac:dyDescent="0.25">
      <c r="G26" s="48" t="s">
        <v>64</v>
      </c>
    </row>
    <row r="27" spans="2:7" x14ac:dyDescent="0.25">
      <c r="G27" s="48" t="s">
        <v>65</v>
      </c>
    </row>
  </sheetData>
  <mergeCells count="1">
    <mergeCell ref="B2:M1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2:R111"/>
  <sheetViews>
    <sheetView topLeftCell="G61" workbookViewId="0">
      <selection activeCell="K86" sqref="K86"/>
    </sheetView>
  </sheetViews>
  <sheetFormatPr baseColWidth="10" defaultRowHeight="15" customHeight="1" x14ac:dyDescent="0.25"/>
  <cols>
    <col min="1" max="1" width="11.42578125" style="274"/>
    <col min="2" max="2" width="20.5703125" style="274" bestFit="1" customWidth="1"/>
    <col min="3" max="3" width="23.140625" style="274" bestFit="1" customWidth="1"/>
    <col min="4" max="4" width="12.7109375" style="274" bestFit="1" customWidth="1"/>
    <col min="5" max="5" width="12" style="274" bestFit="1" customWidth="1"/>
    <col min="6" max="6" width="9" style="274" bestFit="1" customWidth="1"/>
    <col min="7" max="7" width="10.140625" style="274" bestFit="1" customWidth="1"/>
    <col min="8" max="8" width="12" style="274" bestFit="1" customWidth="1"/>
    <col min="9" max="9" width="4.42578125" style="274" customWidth="1"/>
    <col min="10" max="10" width="32.85546875" style="274" bestFit="1" customWidth="1"/>
    <col min="11" max="11" width="20.5703125" style="274" bestFit="1" customWidth="1"/>
    <col min="12" max="12" width="19" style="274" bestFit="1" customWidth="1"/>
    <col min="13" max="13" width="25.42578125" style="274" bestFit="1" customWidth="1"/>
    <col min="14" max="14" width="12.7109375" style="274" bestFit="1" customWidth="1"/>
    <col min="15" max="15" width="33.7109375" style="274" bestFit="1" customWidth="1"/>
    <col min="16" max="16" width="12.85546875" style="274" bestFit="1" customWidth="1"/>
    <col min="17" max="17" width="13.5703125" style="274" bestFit="1" customWidth="1"/>
    <col min="18" max="18" width="14.42578125" style="274" bestFit="1" customWidth="1"/>
    <col min="19" max="262" width="11.42578125" style="274"/>
    <col min="263" max="263" width="13.42578125" style="274" customWidth="1"/>
    <col min="264" max="264" width="11.42578125" style="274"/>
    <col min="265" max="265" width="24.42578125" style="274" customWidth="1"/>
    <col min="266" max="266" width="29" style="274" customWidth="1"/>
    <col min="267" max="267" width="19.140625" style="274" customWidth="1"/>
    <col min="268" max="269" width="11.42578125" style="274"/>
    <col min="270" max="270" width="9.5703125" style="274" customWidth="1"/>
    <col min="271" max="271" width="14" style="274" customWidth="1"/>
    <col min="272" max="518" width="11.42578125" style="274"/>
    <col min="519" max="519" width="13.42578125" style="274" customWidth="1"/>
    <col min="520" max="520" width="11.42578125" style="274"/>
    <col min="521" max="521" width="24.42578125" style="274" customWidth="1"/>
    <col min="522" max="522" width="29" style="274" customWidth="1"/>
    <col min="523" max="523" width="19.140625" style="274" customWidth="1"/>
    <col min="524" max="525" width="11.42578125" style="274"/>
    <col min="526" max="526" width="9.5703125" style="274" customWidth="1"/>
    <col min="527" max="527" width="14" style="274" customWidth="1"/>
    <col min="528" max="774" width="11.42578125" style="274"/>
    <col min="775" max="775" width="13.42578125" style="274" customWidth="1"/>
    <col min="776" max="776" width="11.42578125" style="274"/>
    <col min="777" max="777" width="24.42578125" style="274" customWidth="1"/>
    <col min="778" max="778" width="29" style="274" customWidth="1"/>
    <col min="779" max="779" width="19.140625" style="274" customWidth="1"/>
    <col min="780" max="781" width="11.42578125" style="274"/>
    <col min="782" max="782" width="9.5703125" style="274" customWidth="1"/>
    <col min="783" max="783" width="14" style="274" customWidth="1"/>
    <col min="784" max="1030" width="11.42578125" style="274"/>
    <col min="1031" max="1031" width="13.42578125" style="274" customWidth="1"/>
    <col min="1032" max="1032" width="11.42578125" style="274"/>
    <col min="1033" max="1033" width="24.42578125" style="274" customWidth="1"/>
    <col min="1034" max="1034" width="29" style="274" customWidth="1"/>
    <col min="1035" max="1035" width="19.140625" style="274" customWidth="1"/>
    <col min="1036" max="1037" width="11.42578125" style="274"/>
    <col min="1038" max="1038" width="9.5703125" style="274" customWidth="1"/>
    <col min="1039" max="1039" width="14" style="274" customWidth="1"/>
    <col min="1040" max="1286" width="11.42578125" style="274"/>
    <col min="1287" max="1287" width="13.42578125" style="274" customWidth="1"/>
    <col min="1288" max="1288" width="11.42578125" style="274"/>
    <col min="1289" max="1289" width="24.42578125" style="274" customWidth="1"/>
    <col min="1290" max="1290" width="29" style="274" customWidth="1"/>
    <col min="1291" max="1291" width="19.140625" style="274" customWidth="1"/>
    <col min="1292" max="1293" width="11.42578125" style="274"/>
    <col min="1294" max="1294" width="9.5703125" style="274" customWidth="1"/>
    <col min="1295" max="1295" width="14" style="274" customWidth="1"/>
    <col min="1296" max="1542" width="11.42578125" style="274"/>
    <col min="1543" max="1543" width="13.42578125" style="274" customWidth="1"/>
    <col min="1544" max="1544" width="11.42578125" style="274"/>
    <col min="1545" max="1545" width="24.42578125" style="274" customWidth="1"/>
    <col min="1546" max="1546" width="29" style="274" customWidth="1"/>
    <col min="1547" max="1547" width="19.140625" style="274" customWidth="1"/>
    <col min="1548" max="1549" width="11.42578125" style="274"/>
    <col min="1550" max="1550" width="9.5703125" style="274" customWidth="1"/>
    <col min="1551" max="1551" width="14" style="274" customWidth="1"/>
    <col min="1552" max="1798" width="11.42578125" style="274"/>
    <col min="1799" max="1799" width="13.42578125" style="274" customWidth="1"/>
    <col min="1800" max="1800" width="11.42578125" style="274"/>
    <col min="1801" max="1801" width="24.42578125" style="274" customWidth="1"/>
    <col min="1802" max="1802" width="29" style="274" customWidth="1"/>
    <col min="1803" max="1803" width="19.140625" style="274" customWidth="1"/>
    <col min="1804" max="1805" width="11.42578125" style="274"/>
    <col min="1806" max="1806" width="9.5703125" style="274" customWidth="1"/>
    <col min="1807" max="1807" width="14" style="274" customWidth="1"/>
    <col min="1808" max="2054" width="11.42578125" style="274"/>
    <col min="2055" max="2055" width="13.42578125" style="274" customWidth="1"/>
    <col min="2056" max="2056" width="11.42578125" style="274"/>
    <col min="2057" max="2057" width="24.42578125" style="274" customWidth="1"/>
    <col min="2058" max="2058" width="29" style="274" customWidth="1"/>
    <col min="2059" max="2059" width="19.140625" style="274" customWidth="1"/>
    <col min="2060" max="2061" width="11.42578125" style="274"/>
    <col min="2062" max="2062" width="9.5703125" style="274" customWidth="1"/>
    <col min="2063" max="2063" width="14" style="274" customWidth="1"/>
    <col min="2064" max="2310" width="11.42578125" style="274"/>
    <col min="2311" max="2311" width="13.42578125" style="274" customWidth="1"/>
    <col min="2312" max="2312" width="11.42578125" style="274"/>
    <col min="2313" max="2313" width="24.42578125" style="274" customWidth="1"/>
    <col min="2314" max="2314" width="29" style="274" customWidth="1"/>
    <col min="2315" max="2315" width="19.140625" style="274" customWidth="1"/>
    <col min="2316" max="2317" width="11.42578125" style="274"/>
    <col min="2318" max="2318" width="9.5703125" style="274" customWidth="1"/>
    <col min="2319" max="2319" width="14" style="274" customWidth="1"/>
    <col min="2320" max="2566" width="11.42578125" style="274"/>
    <col min="2567" max="2567" width="13.42578125" style="274" customWidth="1"/>
    <col min="2568" max="2568" width="11.42578125" style="274"/>
    <col min="2569" max="2569" width="24.42578125" style="274" customWidth="1"/>
    <col min="2570" max="2570" width="29" style="274" customWidth="1"/>
    <col min="2571" max="2571" width="19.140625" style="274" customWidth="1"/>
    <col min="2572" max="2573" width="11.42578125" style="274"/>
    <col min="2574" max="2574" width="9.5703125" style="274" customWidth="1"/>
    <col min="2575" max="2575" width="14" style="274" customWidth="1"/>
    <col min="2576" max="2822" width="11.42578125" style="274"/>
    <col min="2823" max="2823" width="13.42578125" style="274" customWidth="1"/>
    <col min="2824" max="2824" width="11.42578125" style="274"/>
    <col min="2825" max="2825" width="24.42578125" style="274" customWidth="1"/>
    <col min="2826" max="2826" width="29" style="274" customWidth="1"/>
    <col min="2827" max="2827" width="19.140625" style="274" customWidth="1"/>
    <col min="2828" max="2829" width="11.42578125" style="274"/>
    <col min="2830" max="2830" width="9.5703125" style="274" customWidth="1"/>
    <col min="2831" max="2831" width="14" style="274" customWidth="1"/>
    <col min="2832" max="3078" width="11.42578125" style="274"/>
    <col min="3079" max="3079" width="13.42578125" style="274" customWidth="1"/>
    <col min="3080" max="3080" width="11.42578125" style="274"/>
    <col min="3081" max="3081" width="24.42578125" style="274" customWidth="1"/>
    <col min="3082" max="3082" width="29" style="274" customWidth="1"/>
    <col min="3083" max="3083" width="19.140625" style="274" customWidth="1"/>
    <col min="3084" max="3085" width="11.42578125" style="274"/>
    <col min="3086" max="3086" width="9.5703125" style="274" customWidth="1"/>
    <col min="3087" max="3087" width="14" style="274" customWidth="1"/>
    <col min="3088" max="3334" width="11.42578125" style="274"/>
    <col min="3335" max="3335" width="13.42578125" style="274" customWidth="1"/>
    <col min="3336" max="3336" width="11.42578125" style="274"/>
    <col min="3337" max="3337" width="24.42578125" style="274" customWidth="1"/>
    <col min="3338" max="3338" width="29" style="274" customWidth="1"/>
    <col min="3339" max="3339" width="19.140625" style="274" customWidth="1"/>
    <col min="3340" max="3341" width="11.42578125" style="274"/>
    <col min="3342" max="3342" width="9.5703125" style="274" customWidth="1"/>
    <col min="3343" max="3343" width="14" style="274" customWidth="1"/>
    <col min="3344" max="3590" width="11.42578125" style="274"/>
    <col min="3591" max="3591" width="13.42578125" style="274" customWidth="1"/>
    <col min="3592" max="3592" width="11.42578125" style="274"/>
    <col min="3593" max="3593" width="24.42578125" style="274" customWidth="1"/>
    <col min="3594" max="3594" width="29" style="274" customWidth="1"/>
    <col min="3595" max="3595" width="19.140625" style="274" customWidth="1"/>
    <col min="3596" max="3597" width="11.42578125" style="274"/>
    <col min="3598" max="3598" width="9.5703125" style="274" customWidth="1"/>
    <col min="3599" max="3599" width="14" style="274" customWidth="1"/>
    <col min="3600" max="3846" width="11.42578125" style="274"/>
    <col min="3847" max="3847" width="13.42578125" style="274" customWidth="1"/>
    <col min="3848" max="3848" width="11.42578125" style="274"/>
    <col min="3849" max="3849" width="24.42578125" style="274" customWidth="1"/>
    <col min="3850" max="3850" width="29" style="274" customWidth="1"/>
    <col min="3851" max="3851" width="19.140625" style="274" customWidth="1"/>
    <col min="3852" max="3853" width="11.42578125" style="274"/>
    <col min="3854" max="3854" width="9.5703125" style="274" customWidth="1"/>
    <col min="3855" max="3855" width="14" style="274" customWidth="1"/>
    <col min="3856" max="4102" width="11.42578125" style="274"/>
    <col min="4103" max="4103" width="13.42578125" style="274" customWidth="1"/>
    <col min="4104" max="4104" width="11.42578125" style="274"/>
    <col min="4105" max="4105" width="24.42578125" style="274" customWidth="1"/>
    <col min="4106" max="4106" width="29" style="274" customWidth="1"/>
    <col min="4107" max="4107" width="19.140625" style="274" customWidth="1"/>
    <col min="4108" max="4109" width="11.42578125" style="274"/>
    <col min="4110" max="4110" width="9.5703125" style="274" customWidth="1"/>
    <col min="4111" max="4111" width="14" style="274" customWidth="1"/>
    <col min="4112" max="4358" width="11.42578125" style="274"/>
    <col min="4359" max="4359" width="13.42578125" style="274" customWidth="1"/>
    <col min="4360" max="4360" width="11.42578125" style="274"/>
    <col min="4361" max="4361" width="24.42578125" style="274" customWidth="1"/>
    <col min="4362" max="4362" width="29" style="274" customWidth="1"/>
    <col min="4363" max="4363" width="19.140625" style="274" customWidth="1"/>
    <col min="4364" max="4365" width="11.42578125" style="274"/>
    <col min="4366" max="4366" width="9.5703125" style="274" customWidth="1"/>
    <col min="4367" max="4367" width="14" style="274" customWidth="1"/>
    <col min="4368" max="4614" width="11.42578125" style="274"/>
    <col min="4615" max="4615" width="13.42578125" style="274" customWidth="1"/>
    <col min="4616" max="4616" width="11.42578125" style="274"/>
    <col min="4617" max="4617" width="24.42578125" style="274" customWidth="1"/>
    <col min="4618" max="4618" width="29" style="274" customWidth="1"/>
    <col min="4619" max="4619" width="19.140625" style="274" customWidth="1"/>
    <col min="4620" max="4621" width="11.42578125" style="274"/>
    <col min="4622" max="4622" width="9.5703125" style="274" customWidth="1"/>
    <col min="4623" max="4623" width="14" style="274" customWidth="1"/>
    <col min="4624" max="4870" width="11.42578125" style="274"/>
    <col min="4871" max="4871" width="13.42578125" style="274" customWidth="1"/>
    <col min="4872" max="4872" width="11.42578125" style="274"/>
    <col min="4873" max="4873" width="24.42578125" style="274" customWidth="1"/>
    <col min="4874" max="4874" width="29" style="274" customWidth="1"/>
    <col min="4875" max="4875" width="19.140625" style="274" customWidth="1"/>
    <col min="4876" max="4877" width="11.42578125" style="274"/>
    <col min="4878" max="4878" width="9.5703125" style="274" customWidth="1"/>
    <col min="4879" max="4879" width="14" style="274" customWidth="1"/>
    <col min="4880" max="5126" width="11.42578125" style="274"/>
    <col min="5127" max="5127" width="13.42578125" style="274" customWidth="1"/>
    <col min="5128" max="5128" width="11.42578125" style="274"/>
    <col min="5129" max="5129" width="24.42578125" style="274" customWidth="1"/>
    <col min="5130" max="5130" width="29" style="274" customWidth="1"/>
    <col min="5131" max="5131" width="19.140625" style="274" customWidth="1"/>
    <col min="5132" max="5133" width="11.42578125" style="274"/>
    <col min="5134" max="5134" width="9.5703125" style="274" customWidth="1"/>
    <col min="5135" max="5135" width="14" style="274" customWidth="1"/>
    <col min="5136" max="5382" width="11.42578125" style="274"/>
    <col min="5383" max="5383" width="13.42578125" style="274" customWidth="1"/>
    <col min="5384" max="5384" width="11.42578125" style="274"/>
    <col min="5385" max="5385" width="24.42578125" style="274" customWidth="1"/>
    <col min="5386" max="5386" width="29" style="274" customWidth="1"/>
    <col min="5387" max="5387" width="19.140625" style="274" customWidth="1"/>
    <col min="5388" max="5389" width="11.42578125" style="274"/>
    <col min="5390" max="5390" width="9.5703125" style="274" customWidth="1"/>
    <col min="5391" max="5391" width="14" style="274" customWidth="1"/>
    <col min="5392" max="5638" width="11.42578125" style="274"/>
    <col min="5639" max="5639" width="13.42578125" style="274" customWidth="1"/>
    <col min="5640" max="5640" width="11.42578125" style="274"/>
    <col min="5641" max="5641" width="24.42578125" style="274" customWidth="1"/>
    <col min="5642" max="5642" width="29" style="274" customWidth="1"/>
    <col min="5643" max="5643" width="19.140625" style="274" customWidth="1"/>
    <col min="5644" max="5645" width="11.42578125" style="274"/>
    <col min="5646" max="5646" width="9.5703125" style="274" customWidth="1"/>
    <col min="5647" max="5647" width="14" style="274" customWidth="1"/>
    <col min="5648" max="5894" width="11.42578125" style="274"/>
    <col min="5895" max="5895" width="13.42578125" style="274" customWidth="1"/>
    <col min="5896" max="5896" width="11.42578125" style="274"/>
    <col min="5897" max="5897" width="24.42578125" style="274" customWidth="1"/>
    <col min="5898" max="5898" width="29" style="274" customWidth="1"/>
    <col min="5899" max="5899" width="19.140625" style="274" customWidth="1"/>
    <col min="5900" max="5901" width="11.42578125" style="274"/>
    <col min="5902" max="5902" width="9.5703125" style="274" customWidth="1"/>
    <col min="5903" max="5903" width="14" style="274" customWidth="1"/>
    <col min="5904" max="6150" width="11.42578125" style="274"/>
    <col min="6151" max="6151" width="13.42578125" style="274" customWidth="1"/>
    <col min="6152" max="6152" width="11.42578125" style="274"/>
    <col min="6153" max="6153" width="24.42578125" style="274" customWidth="1"/>
    <col min="6154" max="6154" width="29" style="274" customWidth="1"/>
    <col min="6155" max="6155" width="19.140625" style="274" customWidth="1"/>
    <col min="6156" max="6157" width="11.42578125" style="274"/>
    <col min="6158" max="6158" width="9.5703125" style="274" customWidth="1"/>
    <col min="6159" max="6159" width="14" style="274" customWidth="1"/>
    <col min="6160" max="6406" width="11.42578125" style="274"/>
    <col min="6407" max="6407" width="13.42578125" style="274" customWidth="1"/>
    <col min="6408" max="6408" width="11.42578125" style="274"/>
    <col min="6409" max="6409" width="24.42578125" style="274" customWidth="1"/>
    <col min="6410" max="6410" width="29" style="274" customWidth="1"/>
    <col min="6411" max="6411" width="19.140625" style="274" customWidth="1"/>
    <col min="6412" max="6413" width="11.42578125" style="274"/>
    <col min="6414" max="6414" width="9.5703125" style="274" customWidth="1"/>
    <col min="6415" max="6415" width="14" style="274" customWidth="1"/>
    <col min="6416" max="6662" width="11.42578125" style="274"/>
    <col min="6663" max="6663" width="13.42578125" style="274" customWidth="1"/>
    <col min="6664" max="6664" width="11.42578125" style="274"/>
    <col min="6665" max="6665" width="24.42578125" style="274" customWidth="1"/>
    <col min="6666" max="6666" width="29" style="274" customWidth="1"/>
    <col min="6667" max="6667" width="19.140625" style="274" customWidth="1"/>
    <col min="6668" max="6669" width="11.42578125" style="274"/>
    <col min="6670" max="6670" width="9.5703125" style="274" customWidth="1"/>
    <col min="6671" max="6671" width="14" style="274" customWidth="1"/>
    <col min="6672" max="6918" width="11.42578125" style="274"/>
    <col min="6919" max="6919" width="13.42578125" style="274" customWidth="1"/>
    <col min="6920" max="6920" width="11.42578125" style="274"/>
    <col min="6921" max="6921" width="24.42578125" style="274" customWidth="1"/>
    <col min="6922" max="6922" width="29" style="274" customWidth="1"/>
    <col min="6923" max="6923" width="19.140625" style="274" customWidth="1"/>
    <col min="6924" max="6925" width="11.42578125" style="274"/>
    <col min="6926" max="6926" width="9.5703125" style="274" customWidth="1"/>
    <col min="6927" max="6927" width="14" style="274" customWidth="1"/>
    <col min="6928" max="7174" width="11.42578125" style="274"/>
    <col min="7175" max="7175" width="13.42578125" style="274" customWidth="1"/>
    <col min="7176" max="7176" width="11.42578125" style="274"/>
    <col min="7177" max="7177" width="24.42578125" style="274" customWidth="1"/>
    <col min="7178" max="7178" width="29" style="274" customWidth="1"/>
    <col min="7179" max="7179" width="19.140625" style="274" customWidth="1"/>
    <col min="7180" max="7181" width="11.42578125" style="274"/>
    <col min="7182" max="7182" width="9.5703125" style="274" customWidth="1"/>
    <col min="7183" max="7183" width="14" style="274" customWidth="1"/>
    <col min="7184" max="7430" width="11.42578125" style="274"/>
    <col min="7431" max="7431" width="13.42578125" style="274" customWidth="1"/>
    <col min="7432" max="7432" width="11.42578125" style="274"/>
    <col min="7433" max="7433" width="24.42578125" style="274" customWidth="1"/>
    <col min="7434" max="7434" width="29" style="274" customWidth="1"/>
    <col min="7435" max="7435" width="19.140625" style="274" customWidth="1"/>
    <col min="7436" max="7437" width="11.42578125" style="274"/>
    <col min="7438" max="7438" width="9.5703125" style="274" customWidth="1"/>
    <col min="7439" max="7439" width="14" style="274" customWidth="1"/>
    <col min="7440" max="7686" width="11.42578125" style="274"/>
    <col min="7687" max="7687" width="13.42578125" style="274" customWidth="1"/>
    <col min="7688" max="7688" width="11.42578125" style="274"/>
    <col min="7689" max="7689" width="24.42578125" style="274" customWidth="1"/>
    <col min="7690" max="7690" width="29" style="274" customWidth="1"/>
    <col min="7691" max="7691" width="19.140625" style="274" customWidth="1"/>
    <col min="7692" max="7693" width="11.42578125" style="274"/>
    <col min="7694" max="7694" width="9.5703125" style="274" customWidth="1"/>
    <col min="7695" max="7695" width="14" style="274" customWidth="1"/>
    <col min="7696" max="7942" width="11.42578125" style="274"/>
    <col min="7943" max="7943" width="13.42578125" style="274" customWidth="1"/>
    <col min="7944" max="7944" width="11.42578125" style="274"/>
    <col min="7945" max="7945" width="24.42578125" style="274" customWidth="1"/>
    <col min="7946" max="7946" width="29" style="274" customWidth="1"/>
    <col min="7947" max="7947" width="19.140625" style="274" customWidth="1"/>
    <col min="7948" max="7949" width="11.42578125" style="274"/>
    <col min="7950" max="7950" width="9.5703125" style="274" customWidth="1"/>
    <col min="7951" max="7951" width="14" style="274" customWidth="1"/>
    <col min="7952" max="8198" width="11.42578125" style="274"/>
    <col min="8199" max="8199" width="13.42578125" style="274" customWidth="1"/>
    <col min="8200" max="8200" width="11.42578125" style="274"/>
    <col min="8201" max="8201" width="24.42578125" style="274" customWidth="1"/>
    <col min="8202" max="8202" width="29" style="274" customWidth="1"/>
    <col min="8203" max="8203" width="19.140625" style="274" customWidth="1"/>
    <col min="8204" max="8205" width="11.42578125" style="274"/>
    <col min="8206" max="8206" width="9.5703125" style="274" customWidth="1"/>
    <col min="8207" max="8207" width="14" style="274" customWidth="1"/>
    <col min="8208" max="8454" width="11.42578125" style="274"/>
    <col min="8455" max="8455" width="13.42578125" style="274" customWidth="1"/>
    <col min="8456" max="8456" width="11.42578125" style="274"/>
    <col min="8457" max="8457" width="24.42578125" style="274" customWidth="1"/>
    <col min="8458" max="8458" width="29" style="274" customWidth="1"/>
    <col min="8459" max="8459" width="19.140625" style="274" customWidth="1"/>
    <col min="8460" max="8461" width="11.42578125" style="274"/>
    <col min="8462" max="8462" width="9.5703125" style="274" customWidth="1"/>
    <col min="8463" max="8463" width="14" style="274" customWidth="1"/>
    <col min="8464" max="8710" width="11.42578125" style="274"/>
    <col min="8711" max="8711" width="13.42578125" style="274" customWidth="1"/>
    <col min="8712" max="8712" width="11.42578125" style="274"/>
    <col min="8713" max="8713" width="24.42578125" style="274" customWidth="1"/>
    <col min="8714" max="8714" width="29" style="274" customWidth="1"/>
    <col min="8715" max="8715" width="19.140625" style="274" customWidth="1"/>
    <col min="8716" max="8717" width="11.42578125" style="274"/>
    <col min="8718" max="8718" width="9.5703125" style="274" customWidth="1"/>
    <col min="8719" max="8719" width="14" style="274" customWidth="1"/>
    <col min="8720" max="8966" width="11.42578125" style="274"/>
    <col min="8967" max="8967" width="13.42578125" style="274" customWidth="1"/>
    <col min="8968" max="8968" width="11.42578125" style="274"/>
    <col min="8969" max="8969" width="24.42578125" style="274" customWidth="1"/>
    <col min="8970" max="8970" width="29" style="274" customWidth="1"/>
    <col min="8971" max="8971" width="19.140625" style="274" customWidth="1"/>
    <col min="8972" max="8973" width="11.42578125" style="274"/>
    <col min="8974" max="8974" width="9.5703125" style="274" customWidth="1"/>
    <col min="8975" max="8975" width="14" style="274" customWidth="1"/>
    <col min="8976" max="9222" width="11.42578125" style="274"/>
    <col min="9223" max="9223" width="13.42578125" style="274" customWidth="1"/>
    <col min="9224" max="9224" width="11.42578125" style="274"/>
    <col min="9225" max="9225" width="24.42578125" style="274" customWidth="1"/>
    <col min="9226" max="9226" width="29" style="274" customWidth="1"/>
    <col min="9227" max="9227" width="19.140625" style="274" customWidth="1"/>
    <col min="9228" max="9229" width="11.42578125" style="274"/>
    <col min="9230" max="9230" width="9.5703125" style="274" customWidth="1"/>
    <col min="9231" max="9231" width="14" style="274" customWidth="1"/>
    <col min="9232" max="9478" width="11.42578125" style="274"/>
    <col min="9479" max="9479" width="13.42578125" style="274" customWidth="1"/>
    <col min="9480" max="9480" width="11.42578125" style="274"/>
    <col min="9481" max="9481" width="24.42578125" style="274" customWidth="1"/>
    <col min="9482" max="9482" width="29" style="274" customWidth="1"/>
    <col min="9483" max="9483" width="19.140625" style="274" customWidth="1"/>
    <col min="9484" max="9485" width="11.42578125" style="274"/>
    <col min="9486" max="9486" width="9.5703125" style="274" customWidth="1"/>
    <col min="9487" max="9487" width="14" style="274" customWidth="1"/>
    <col min="9488" max="9734" width="11.42578125" style="274"/>
    <col min="9735" max="9735" width="13.42578125" style="274" customWidth="1"/>
    <col min="9736" max="9736" width="11.42578125" style="274"/>
    <col min="9737" max="9737" width="24.42578125" style="274" customWidth="1"/>
    <col min="9738" max="9738" width="29" style="274" customWidth="1"/>
    <col min="9739" max="9739" width="19.140625" style="274" customWidth="1"/>
    <col min="9740" max="9741" width="11.42578125" style="274"/>
    <col min="9742" max="9742" width="9.5703125" style="274" customWidth="1"/>
    <col min="9743" max="9743" width="14" style="274" customWidth="1"/>
    <col min="9744" max="9990" width="11.42578125" style="274"/>
    <col min="9991" max="9991" width="13.42578125" style="274" customWidth="1"/>
    <col min="9992" max="9992" width="11.42578125" style="274"/>
    <col min="9993" max="9993" width="24.42578125" style="274" customWidth="1"/>
    <col min="9994" max="9994" width="29" style="274" customWidth="1"/>
    <col min="9995" max="9995" width="19.140625" style="274" customWidth="1"/>
    <col min="9996" max="9997" width="11.42578125" style="274"/>
    <col min="9998" max="9998" width="9.5703125" style="274" customWidth="1"/>
    <col min="9999" max="9999" width="14" style="274" customWidth="1"/>
    <col min="10000" max="10246" width="11.42578125" style="274"/>
    <col min="10247" max="10247" width="13.42578125" style="274" customWidth="1"/>
    <col min="10248" max="10248" width="11.42578125" style="274"/>
    <col min="10249" max="10249" width="24.42578125" style="274" customWidth="1"/>
    <col min="10250" max="10250" width="29" style="274" customWidth="1"/>
    <col min="10251" max="10251" width="19.140625" style="274" customWidth="1"/>
    <col min="10252" max="10253" width="11.42578125" style="274"/>
    <col min="10254" max="10254" width="9.5703125" style="274" customWidth="1"/>
    <col min="10255" max="10255" width="14" style="274" customWidth="1"/>
    <col min="10256" max="10502" width="11.42578125" style="274"/>
    <col min="10503" max="10503" width="13.42578125" style="274" customWidth="1"/>
    <col min="10504" max="10504" width="11.42578125" style="274"/>
    <col min="10505" max="10505" width="24.42578125" style="274" customWidth="1"/>
    <col min="10506" max="10506" width="29" style="274" customWidth="1"/>
    <col min="10507" max="10507" width="19.140625" style="274" customWidth="1"/>
    <col min="10508" max="10509" width="11.42578125" style="274"/>
    <col min="10510" max="10510" width="9.5703125" style="274" customWidth="1"/>
    <col min="10511" max="10511" width="14" style="274" customWidth="1"/>
    <col min="10512" max="10758" width="11.42578125" style="274"/>
    <col min="10759" max="10759" width="13.42578125" style="274" customWidth="1"/>
    <col min="10760" max="10760" width="11.42578125" style="274"/>
    <col min="10761" max="10761" width="24.42578125" style="274" customWidth="1"/>
    <col min="10762" max="10762" width="29" style="274" customWidth="1"/>
    <col min="10763" max="10763" width="19.140625" style="274" customWidth="1"/>
    <col min="10764" max="10765" width="11.42578125" style="274"/>
    <col min="10766" max="10766" width="9.5703125" style="274" customWidth="1"/>
    <col min="10767" max="10767" width="14" style="274" customWidth="1"/>
    <col min="10768" max="11014" width="11.42578125" style="274"/>
    <col min="11015" max="11015" width="13.42578125" style="274" customWidth="1"/>
    <col min="11016" max="11016" width="11.42578125" style="274"/>
    <col min="11017" max="11017" width="24.42578125" style="274" customWidth="1"/>
    <col min="11018" max="11018" width="29" style="274" customWidth="1"/>
    <col min="11019" max="11019" width="19.140625" style="274" customWidth="1"/>
    <col min="11020" max="11021" width="11.42578125" style="274"/>
    <col min="11022" max="11022" width="9.5703125" style="274" customWidth="1"/>
    <col min="11023" max="11023" width="14" style="274" customWidth="1"/>
    <col min="11024" max="11270" width="11.42578125" style="274"/>
    <col min="11271" max="11271" width="13.42578125" style="274" customWidth="1"/>
    <col min="11272" max="11272" width="11.42578125" style="274"/>
    <col min="11273" max="11273" width="24.42578125" style="274" customWidth="1"/>
    <col min="11274" max="11274" width="29" style="274" customWidth="1"/>
    <col min="11275" max="11275" width="19.140625" style="274" customWidth="1"/>
    <col min="11276" max="11277" width="11.42578125" style="274"/>
    <col min="11278" max="11278" width="9.5703125" style="274" customWidth="1"/>
    <col min="11279" max="11279" width="14" style="274" customWidth="1"/>
    <col min="11280" max="11526" width="11.42578125" style="274"/>
    <col min="11527" max="11527" width="13.42578125" style="274" customWidth="1"/>
    <col min="11528" max="11528" width="11.42578125" style="274"/>
    <col min="11529" max="11529" width="24.42578125" style="274" customWidth="1"/>
    <col min="11530" max="11530" width="29" style="274" customWidth="1"/>
    <col min="11531" max="11531" width="19.140625" style="274" customWidth="1"/>
    <col min="11532" max="11533" width="11.42578125" style="274"/>
    <col min="11534" max="11534" width="9.5703125" style="274" customWidth="1"/>
    <col min="11535" max="11535" width="14" style="274" customWidth="1"/>
    <col min="11536" max="11782" width="11.42578125" style="274"/>
    <col min="11783" max="11783" width="13.42578125" style="274" customWidth="1"/>
    <col min="11784" max="11784" width="11.42578125" style="274"/>
    <col min="11785" max="11785" width="24.42578125" style="274" customWidth="1"/>
    <col min="11786" max="11786" width="29" style="274" customWidth="1"/>
    <col min="11787" max="11787" width="19.140625" style="274" customWidth="1"/>
    <col min="11788" max="11789" width="11.42578125" style="274"/>
    <col min="11790" max="11790" width="9.5703125" style="274" customWidth="1"/>
    <col min="11791" max="11791" width="14" style="274" customWidth="1"/>
    <col min="11792" max="12038" width="11.42578125" style="274"/>
    <col min="12039" max="12039" width="13.42578125" style="274" customWidth="1"/>
    <col min="12040" max="12040" width="11.42578125" style="274"/>
    <col min="12041" max="12041" width="24.42578125" style="274" customWidth="1"/>
    <col min="12042" max="12042" width="29" style="274" customWidth="1"/>
    <col min="12043" max="12043" width="19.140625" style="274" customWidth="1"/>
    <col min="12044" max="12045" width="11.42578125" style="274"/>
    <col min="12046" max="12046" width="9.5703125" style="274" customWidth="1"/>
    <col min="12047" max="12047" width="14" style="274" customWidth="1"/>
    <col min="12048" max="12294" width="11.42578125" style="274"/>
    <col min="12295" max="12295" width="13.42578125" style="274" customWidth="1"/>
    <col min="12296" max="12296" width="11.42578125" style="274"/>
    <col min="12297" max="12297" width="24.42578125" style="274" customWidth="1"/>
    <col min="12298" max="12298" width="29" style="274" customWidth="1"/>
    <col min="12299" max="12299" width="19.140625" style="274" customWidth="1"/>
    <col min="12300" max="12301" width="11.42578125" style="274"/>
    <col min="12302" max="12302" width="9.5703125" style="274" customWidth="1"/>
    <col min="12303" max="12303" width="14" style="274" customWidth="1"/>
    <col min="12304" max="12550" width="11.42578125" style="274"/>
    <col min="12551" max="12551" width="13.42578125" style="274" customWidth="1"/>
    <col min="12552" max="12552" width="11.42578125" style="274"/>
    <col min="12553" max="12553" width="24.42578125" style="274" customWidth="1"/>
    <col min="12554" max="12554" width="29" style="274" customWidth="1"/>
    <col min="12555" max="12555" width="19.140625" style="274" customWidth="1"/>
    <col min="12556" max="12557" width="11.42578125" style="274"/>
    <col min="12558" max="12558" width="9.5703125" style="274" customWidth="1"/>
    <col min="12559" max="12559" width="14" style="274" customWidth="1"/>
    <col min="12560" max="12806" width="11.42578125" style="274"/>
    <col min="12807" max="12807" width="13.42578125" style="274" customWidth="1"/>
    <col min="12808" max="12808" width="11.42578125" style="274"/>
    <col min="12809" max="12809" width="24.42578125" style="274" customWidth="1"/>
    <col min="12810" max="12810" width="29" style="274" customWidth="1"/>
    <col min="12811" max="12811" width="19.140625" style="274" customWidth="1"/>
    <col min="12812" max="12813" width="11.42578125" style="274"/>
    <col min="12814" max="12814" width="9.5703125" style="274" customWidth="1"/>
    <col min="12815" max="12815" width="14" style="274" customWidth="1"/>
    <col min="12816" max="13062" width="11.42578125" style="274"/>
    <col min="13063" max="13063" width="13.42578125" style="274" customWidth="1"/>
    <col min="13064" max="13064" width="11.42578125" style="274"/>
    <col min="13065" max="13065" width="24.42578125" style="274" customWidth="1"/>
    <col min="13066" max="13066" width="29" style="274" customWidth="1"/>
    <col min="13067" max="13067" width="19.140625" style="274" customWidth="1"/>
    <col min="13068" max="13069" width="11.42578125" style="274"/>
    <col min="13070" max="13070" width="9.5703125" style="274" customWidth="1"/>
    <col min="13071" max="13071" width="14" style="274" customWidth="1"/>
    <col min="13072" max="13318" width="11.42578125" style="274"/>
    <col min="13319" max="13319" width="13.42578125" style="274" customWidth="1"/>
    <col min="13320" max="13320" width="11.42578125" style="274"/>
    <col min="13321" max="13321" width="24.42578125" style="274" customWidth="1"/>
    <col min="13322" max="13322" width="29" style="274" customWidth="1"/>
    <col min="13323" max="13323" width="19.140625" style="274" customWidth="1"/>
    <col min="13324" max="13325" width="11.42578125" style="274"/>
    <col min="13326" max="13326" width="9.5703125" style="274" customWidth="1"/>
    <col min="13327" max="13327" width="14" style="274" customWidth="1"/>
    <col min="13328" max="13574" width="11.42578125" style="274"/>
    <col min="13575" max="13575" width="13.42578125" style="274" customWidth="1"/>
    <col min="13576" max="13576" width="11.42578125" style="274"/>
    <col min="13577" max="13577" width="24.42578125" style="274" customWidth="1"/>
    <col min="13578" max="13578" width="29" style="274" customWidth="1"/>
    <col min="13579" max="13579" width="19.140625" style="274" customWidth="1"/>
    <col min="13580" max="13581" width="11.42578125" style="274"/>
    <col min="13582" max="13582" width="9.5703125" style="274" customWidth="1"/>
    <col min="13583" max="13583" width="14" style="274" customWidth="1"/>
    <col min="13584" max="13830" width="11.42578125" style="274"/>
    <col min="13831" max="13831" width="13.42578125" style="274" customWidth="1"/>
    <col min="13832" max="13832" width="11.42578125" style="274"/>
    <col min="13833" max="13833" width="24.42578125" style="274" customWidth="1"/>
    <col min="13834" max="13834" width="29" style="274" customWidth="1"/>
    <col min="13835" max="13835" width="19.140625" style="274" customWidth="1"/>
    <col min="13836" max="13837" width="11.42578125" style="274"/>
    <col min="13838" max="13838" width="9.5703125" style="274" customWidth="1"/>
    <col min="13839" max="13839" width="14" style="274" customWidth="1"/>
    <col min="13840" max="14086" width="11.42578125" style="274"/>
    <col min="14087" max="14087" width="13.42578125" style="274" customWidth="1"/>
    <col min="14088" max="14088" width="11.42578125" style="274"/>
    <col min="14089" max="14089" width="24.42578125" style="274" customWidth="1"/>
    <col min="14090" max="14090" width="29" style="274" customWidth="1"/>
    <col min="14091" max="14091" width="19.140625" style="274" customWidth="1"/>
    <col min="14092" max="14093" width="11.42578125" style="274"/>
    <col min="14094" max="14094" width="9.5703125" style="274" customWidth="1"/>
    <col min="14095" max="14095" width="14" style="274" customWidth="1"/>
    <col min="14096" max="14342" width="11.42578125" style="274"/>
    <col min="14343" max="14343" width="13.42578125" style="274" customWidth="1"/>
    <col min="14344" max="14344" width="11.42578125" style="274"/>
    <col min="14345" max="14345" width="24.42578125" style="274" customWidth="1"/>
    <col min="14346" max="14346" width="29" style="274" customWidth="1"/>
    <col min="14347" max="14347" width="19.140625" style="274" customWidth="1"/>
    <col min="14348" max="14349" width="11.42578125" style="274"/>
    <col min="14350" max="14350" width="9.5703125" style="274" customWidth="1"/>
    <col min="14351" max="14351" width="14" style="274" customWidth="1"/>
    <col min="14352" max="14598" width="11.42578125" style="274"/>
    <col min="14599" max="14599" width="13.42578125" style="274" customWidth="1"/>
    <col min="14600" max="14600" width="11.42578125" style="274"/>
    <col min="14601" max="14601" width="24.42578125" style="274" customWidth="1"/>
    <col min="14602" max="14602" width="29" style="274" customWidth="1"/>
    <col min="14603" max="14603" width="19.140625" style="274" customWidth="1"/>
    <col min="14604" max="14605" width="11.42578125" style="274"/>
    <col min="14606" max="14606" width="9.5703125" style="274" customWidth="1"/>
    <col min="14607" max="14607" width="14" style="274" customWidth="1"/>
    <col min="14608" max="14854" width="11.42578125" style="274"/>
    <col min="14855" max="14855" width="13.42578125" style="274" customWidth="1"/>
    <col min="14856" max="14856" width="11.42578125" style="274"/>
    <col min="14857" max="14857" width="24.42578125" style="274" customWidth="1"/>
    <col min="14858" max="14858" width="29" style="274" customWidth="1"/>
    <col min="14859" max="14859" width="19.140625" style="274" customWidth="1"/>
    <col min="14860" max="14861" width="11.42578125" style="274"/>
    <col min="14862" max="14862" width="9.5703125" style="274" customWidth="1"/>
    <col min="14863" max="14863" width="14" style="274" customWidth="1"/>
    <col min="14864" max="15110" width="11.42578125" style="274"/>
    <col min="15111" max="15111" width="13.42578125" style="274" customWidth="1"/>
    <col min="15112" max="15112" width="11.42578125" style="274"/>
    <col min="15113" max="15113" width="24.42578125" style="274" customWidth="1"/>
    <col min="15114" max="15114" width="29" style="274" customWidth="1"/>
    <col min="15115" max="15115" width="19.140625" style="274" customWidth="1"/>
    <col min="15116" max="15117" width="11.42578125" style="274"/>
    <col min="15118" max="15118" width="9.5703125" style="274" customWidth="1"/>
    <col min="15119" max="15119" width="14" style="274" customWidth="1"/>
    <col min="15120" max="15366" width="11.42578125" style="274"/>
    <col min="15367" max="15367" width="13.42578125" style="274" customWidth="1"/>
    <col min="15368" max="15368" width="11.42578125" style="274"/>
    <col min="15369" max="15369" width="24.42578125" style="274" customWidth="1"/>
    <col min="15370" max="15370" width="29" style="274" customWidth="1"/>
    <col min="15371" max="15371" width="19.140625" style="274" customWidth="1"/>
    <col min="15372" max="15373" width="11.42578125" style="274"/>
    <col min="15374" max="15374" width="9.5703125" style="274" customWidth="1"/>
    <col min="15375" max="15375" width="14" style="274" customWidth="1"/>
    <col min="15376" max="15622" width="11.42578125" style="274"/>
    <col min="15623" max="15623" width="13.42578125" style="274" customWidth="1"/>
    <col min="15624" max="15624" width="11.42578125" style="274"/>
    <col min="15625" max="15625" width="24.42578125" style="274" customWidth="1"/>
    <col min="15626" max="15626" width="29" style="274" customWidth="1"/>
    <col min="15627" max="15627" width="19.140625" style="274" customWidth="1"/>
    <col min="15628" max="15629" width="11.42578125" style="274"/>
    <col min="15630" max="15630" width="9.5703125" style="274" customWidth="1"/>
    <col min="15631" max="15631" width="14" style="274" customWidth="1"/>
    <col min="15632" max="15878" width="11.42578125" style="274"/>
    <col min="15879" max="15879" width="13.42578125" style="274" customWidth="1"/>
    <col min="15880" max="15880" width="11.42578125" style="274"/>
    <col min="15881" max="15881" width="24.42578125" style="274" customWidth="1"/>
    <col min="15882" max="15882" width="29" style="274" customWidth="1"/>
    <col min="15883" max="15883" width="19.140625" style="274" customWidth="1"/>
    <col min="15884" max="15885" width="11.42578125" style="274"/>
    <col min="15886" max="15886" width="9.5703125" style="274" customWidth="1"/>
    <col min="15887" max="15887" width="14" style="274" customWidth="1"/>
    <col min="15888" max="16134" width="11.42578125" style="274"/>
    <col min="16135" max="16135" width="13.42578125" style="274" customWidth="1"/>
    <col min="16136" max="16136" width="11.42578125" style="274"/>
    <col min="16137" max="16137" width="24.42578125" style="274" customWidth="1"/>
    <col min="16138" max="16138" width="29" style="274" customWidth="1"/>
    <col min="16139" max="16139" width="19.140625" style="274" customWidth="1"/>
    <col min="16140" max="16141" width="11.42578125" style="274"/>
    <col min="16142" max="16142" width="9.5703125" style="274" customWidth="1"/>
    <col min="16143" max="16143" width="14" style="274" customWidth="1"/>
    <col min="16144" max="16384" width="11.42578125" style="274"/>
  </cols>
  <sheetData>
    <row r="2" spans="2:11" ht="15" customHeight="1" x14ac:dyDescent="0.25">
      <c r="B2" s="469" t="s">
        <v>339</v>
      </c>
      <c r="C2" s="470"/>
      <c r="D2" s="470"/>
      <c r="E2" s="470"/>
      <c r="F2" s="470"/>
      <c r="G2" s="470"/>
      <c r="H2" s="470"/>
      <c r="I2" s="470"/>
      <c r="J2" s="470"/>
      <c r="K2" s="471"/>
    </row>
    <row r="3" spans="2:11" ht="15" customHeight="1" x14ac:dyDescent="0.25">
      <c r="B3" s="472"/>
      <c r="C3" s="473"/>
      <c r="D3" s="473"/>
      <c r="E3" s="473"/>
      <c r="F3" s="473"/>
      <c r="G3" s="473"/>
      <c r="H3" s="473"/>
      <c r="I3" s="473"/>
      <c r="J3" s="473"/>
      <c r="K3" s="474"/>
    </row>
    <row r="4" spans="2:11" ht="15" customHeight="1" x14ac:dyDescent="0.25">
      <c r="B4" s="472"/>
      <c r="C4" s="473"/>
      <c r="D4" s="473"/>
      <c r="E4" s="473"/>
      <c r="F4" s="473"/>
      <c r="G4" s="473"/>
      <c r="H4" s="473"/>
      <c r="I4" s="473"/>
      <c r="J4" s="473"/>
      <c r="K4" s="474"/>
    </row>
    <row r="5" spans="2:11" ht="15" customHeight="1" x14ac:dyDescent="0.25">
      <c r="B5" s="472"/>
      <c r="C5" s="473"/>
      <c r="D5" s="473"/>
      <c r="E5" s="473"/>
      <c r="F5" s="473"/>
      <c r="G5" s="473"/>
      <c r="H5" s="473"/>
      <c r="I5" s="473"/>
      <c r="J5" s="473"/>
      <c r="K5" s="474"/>
    </row>
    <row r="6" spans="2:11" ht="15" customHeight="1" x14ac:dyDescent="0.25">
      <c r="B6" s="472"/>
      <c r="C6" s="473"/>
      <c r="D6" s="473"/>
      <c r="E6" s="473"/>
      <c r="F6" s="473"/>
      <c r="G6" s="473"/>
      <c r="H6" s="473"/>
      <c r="I6" s="473"/>
      <c r="J6" s="473"/>
      <c r="K6" s="474"/>
    </row>
    <row r="7" spans="2:11" ht="15" customHeight="1" x14ac:dyDescent="0.25">
      <c r="B7" s="472"/>
      <c r="C7" s="473"/>
      <c r="D7" s="473"/>
      <c r="E7" s="473"/>
      <c r="F7" s="473"/>
      <c r="G7" s="473"/>
      <c r="H7" s="473"/>
      <c r="I7" s="473"/>
      <c r="J7" s="473"/>
      <c r="K7" s="474"/>
    </row>
    <row r="8" spans="2:11" ht="15" customHeight="1" x14ac:dyDescent="0.25">
      <c r="B8" s="472"/>
      <c r="C8" s="473"/>
      <c r="D8" s="473"/>
      <c r="E8" s="473"/>
      <c r="F8" s="473"/>
      <c r="G8" s="473"/>
      <c r="H8" s="473"/>
      <c r="I8" s="473"/>
      <c r="J8" s="473"/>
      <c r="K8" s="474"/>
    </row>
    <row r="9" spans="2:11" ht="15" customHeight="1" x14ac:dyDescent="0.25">
      <c r="B9" s="472"/>
      <c r="C9" s="473"/>
      <c r="D9" s="473"/>
      <c r="E9" s="473"/>
      <c r="F9" s="473"/>
      <c r="G9" s="473"/>
      <c r="H9" s="473"/>
      <c r="I9" s="473"/>
      <c r="J9" s="473"/>
      <c r="K9" s="474"/>
    </row>
    <row r="10" spans="2:11" ht="15" customHeight="1" x14ac:dyDescent="0.25">
      <c r="B10" s="472"/>
      <c r="C10" s="473"/>
      <c r="D10" s="473"/>
      <c r="E10" s="473"/>
      <c r="F10" s="473"/>
      <c r="G10" s="473"/>
      <c r="H10" s="473"/>
      <c r="I10" s="473"/>
      <c r="J10" s="473"/>
      <c r="K10" s="474"/>
    </row>
    <row r="11" spans="2:11" ht="15" customHeight="1" x14ac:dyDescent="0.25">
      <c r="B11" s="472"/>
      <c r="C11" s="473"/>
      <c r="D11" s="473"/>
      <c r="E11" s="473"/>
      <c r="F11" s="473"/>
      <c r="G11" s="473"/>
      <c r="H11" s="473"/>
      <c r="I11" s="473"/>
      <c r="J11" s="473"/>
      <c r="K11" s="474"/>
    </row>
    <row r="12" spans="2:11" ht="15" customHeight="1" x14ac:dyDescent="0.25">
      <c r="B12" s="475"/>
      <c r="C12" s="476"/>
      <c r="D12" s="476"/>
      <c r="E12" s="476"/>
      <c r="F12" s="476"/>
      <c r="G12" s="476"/>
      <c r="H12" s="476"/>
      <c r="I12" s="476"/>
      <c r="J12" s="476"/>
      <c r="K12" s="477"/>
    </row>
    <row r="15" spans="2:11" ht="15" customHeight="1" x14ac:dyDescent="0.25">
      <c r="B15" s="292" t="s">
        <v>328</v>
      </c>
      <c r="C15" s="293" t="s">
        <v>329</v>
      </c>
      <c r="D15" s="294" t="s">
        <v>330</v>
      </c>
      <c r="E15" s="279"/>
      <c r="F15" s="288" t="s">
        <v>328</v>
      </c>
      <c r="G15" s="289" t="s">
        <v>330</v>
      </c>
      <c r="J15" s="274" t="s">
        <v>67</v>
      </c>
    </row>
    <row r="16" spans="2:11" ht="15" customHeight="1" thickBot="1" x14ac:dyDescent="0.3">
      <c r="B16" s="280">
        <v>1</v>
      </c>
      <c r="C16" s="290">
        <f>B16^2</f>
        <v>1</v>
      </c>
      <c r="D16" s="281">
        <v>47.23</v>
      </c>
      <c r="E16" s="279"/>
      <c r="F16" s="284">
        <v>1</v>
      </c>
      <c r="G16" s="285">
        <v>47.23</v>
      </c>
      <c r="H16" s="274">
        <f>G16^2</f>
        <v>2230.6728999999996</v>
      </c>
    </row>
    <row r="17" spans="2:18" ht="15" customHeight="1" x14ac:dyDescent="0.25">
      <c r="B17" s="280">
        <v>2</v>
      </c>
      <c r="C17" s="290">
        <f t="shared" ref="C17:C36" si="0">B17^2</f>
        <v>4</v>
      </c>
      <c r="D17" s="281">
        <v>48.01</v>
      </c>
      <c r="E17" s="279"/>
      <c r="F17" s="284">
        <v>2</v>
      </c>
      <c r="G17" s="285">
        <v>48.01</v>
      </c>
      <c r="H17" s="274">
        <f t="shared" ref="H17:H36" si="1">G17^2</f>
        <v>2304.9600999999998</v>
      </c>
      <c r="J17" s="275" t="s">
        <v>68</v>
      </c>
      <c r="K17" s="275"/>
    </row>
    <row r="18" spans="2:18" ht="15" customHeight="1" x14ac:dyDescent="0.25">
      <c r="B18" s="280">
        <v>3</v>
      </c>
      <c r="C18" s="290">
        <f t="shared" si="0"/>
        <v>9</v>
      </c>
      <c r="D18" s="281">
        <v>48</v>
      </c>
      <c r="E18" s="279"/>
      <c r="F18" s="284">
        <v>3</v>
      </c>
      <c r="G18" s="285">
        <v>48</v>
      </c>
      <c r="H18" s="274">
        <f t="shared" si="1"/>
        <v>2304</v>
      </c>
      <c r="J18" s="296" t="s">
        <v>69</v>
      </c>
      <c r="K18" s="296">
        <v>0.95484709032292836</v>
      </c>
    </row>
    <row r="19" spans="2:18" ht="15" customHeight="1" x14ac:dyDescent="0.25">
      <c r="B19" s="280">
        <v>4</v>
      </c>
      <c r="C19" s="290">
        <f t="shared" si="0"/>
        <v>16</v>
      </c>
      <c r="D19" s="281">
        <v>48.06</v>
      </c>
      <c r="E19" s="279"/>
      <c r="F19" s="284">
        <v>4</v>
      </c>
      <c r="G19" s="285">
        <v>48.06</v>
      </c>
      <c r="H19" s="274">
        <f t="shared" si="1"/>
        <v>2309.7636000000002</v>
      </c>
      <c r="J19" s="296" t="s">
        <v>70</v>
      </c>
      <c r="K19" s="296">
        <v>0.91173296589816244</v>
      </c>
    </row>
    <row r="20" spans="2:18" ht="15" customHeight="1" x14ac:dyDescent="0.25">
      <c r="B20" s="280">
        <v>5</v>
      </c>
      <c r="C20" s="290">
        <f t="shared" si="0"/>
        <v>25</v>
      </c>
      <c r="D20" s="281">
        <v>48.99</v>
      </c>
      <c r="E20" s="279"/>
      <c r="F20" s="284">
        <v>5</v>
      </c>
      <c r="G20" s="285">
        <v>48.99</v>
      </c>
      <c r="H20" s="274">
        <f t="shared" si="1"/>
        <v>2400.0201000000002</v>
      </c>
      <c r="J20" s="276" t="s">
        <v>71</v>
      </c>
      <c r="K20" s="276">
        <v>0.90708733252438156</v>
      </c>
    </row>
    <row r="21" spans="2:18" ht="15" customHeight="1" x14ac:dyDescent="0.25">
      <c r="B21" s="280">
        <v>6</v>
      </c>
      <c r="C21" s="290">
        <f t="shared" si="0"/>
        <v>36</v>
      </c>
      <c r="D21" s="281">
        <v>50.71</v>
      </c>
      <c r="E21" s="279"/>
      <c r="F21" s="284">
        <v>6</v>
      </c>
      <c r="G21" s="285">
        <v>50.71</v>
      </c>
      <c r="H21" s="274">
        <f t="shared" si="1"/>
        <v>2571.5041000000001</v>
      </c>
      <c r="J21" s="276" t="s">
        <v>36</v>
      </c>
      <c r="K21" s="276">
        <v>1.5621842441492084</v>
      </c>
    </row>
    <row r="22" spans="2:18" ht="15" customHeight="1" thickBot="1" x14ac:dyDescent="0.3">
      <c r="B22" s="280">
        <v>7</v>
      </c>
      <c r="C22" s="290">
        <f t="shared" si="0"/>
        <v>49</v>
      </c>
      <c r="D22" s="281">
        <v>51.85</v>
      </c>
      <c r="E22" s="279"/>
      <c r="F22" s="284">
        <v>7</v>
      </c>
      <c r="G22" s="285">
        <v>51.85</v>
      </c>
      <c r="H22" s="274">
        <f t="shared" si="1"/>
        <v>2688.4225000000001</v>
      </c>
      <c r="J22" s="277" t="s">
        <v>72</v>
      </c>
      <c r="K22" s="277">
        <v>21</v>
      </c>
    </row>
    <row r="23" spans="2:18" ht="15" customHeight="1" x14ac:dyDescent="0.25">
      <c r="B23" s="280">
        <v>8</v>
      </c>
      <c r="C23" s="290">
        <f t="shared" si="0"/>
        <v>64</v>
      </c>
      <c r="D23" s="281">
        <v>53.06</v>
      </c>
      <c r="E23" s="279"/>
      <c r="F23" s="284">
        <v>8</v>
      </c>
      <c r="G23" s="285">
        <v>53.06</v>
      </c>
      <c r="H23" s="274">
        <f t="shared" si="1"/>
        <v>2815.3636000000001</v>
      </c>
    </row>
    <row r="24" spans="2:18" ht="15" customHeight="1" thickBot="1" x14ac:dyDescent="0.3">
      <c r="B24" s="280">
        <v>9</v>
      </c>
      <c r="C24" s="290">
        <f t="shared" si="0"/>
        <v>81</v>
      </c>
      <c r="D24" s="281">
        <v>54.25</v>
      </c>
      <c r="E24" s="279"/>
      <c r="F24" s="284">
        <v>9</v>
      </c>
      <c r="G24" s="285">
        <v>54.25</v>
      </c>
      <c r="H24" s="274">
        <f t="shared" si="1"/>
        <v>2943.0625</v>
      </c>
      <c r="J24" s="274" t="s">
        <v>73</v>
      </c>
    </row>
    <row r="25" spans="2:18" ht="15" customHeight="1" x14ac:dyDescent="0.25">
      <c r="B25" s="280">
        <v>10</v>
      </c>
      <c r="C25" s="290">
        <f t="shared" si="0"/>
        <v>100</v>
      </c>
      <c r="D25" s="281">
        <v>55.62</v>
      </c>
      <c r="E25" s="279"/>
      <c r="F25" s="284">
        <v>10</v>
      </c>
      <c r="G25" s="285">
        <v>55.62</v>
      </c>
      <c r="H25" s="274">
        <f t="shared" si="1"/>
        <v>3093.5843999999997</v>
      </c>
      <c r="J25" s="278"/>
      <c r="K25" s="278" t="s">
        <v>78</v>
      </c>
      <c r="L25" s="278" t="s">
        <v>79</v>
      </c>
      <c r="M25" s="278" t="s">
        <v>80</v>
      </c>
      <c r="N25" s="278" t="s">
        <v>81</v>
      </c>
      <c r="O25" s="278" t="s">
        <v>82</v>
      </c>
    </row>
    <row r="26" spans="2:18" ht="15" customHeight="1" x14ac:dyDescent="0.25">
      <c r="B26" s="280">
        <v>11</v>
      </c>
      <c r="C26" s="290">
        <f t="shared" si="0"/>
        <v>121</v>
      </c>
      <c r="D26" s="281">
        <v>57.04</v>
      </c>
      <c r="E26" s="279"/>
      <c r="F26" s="284">
        <v>11</v>
      </c>
      <c r="G26" s="285">
        <v>57.04</v>
      </c>
      <c r="H26" s="274">
        <f t="shared" si="1"/>
        <v>3253.5616</v>
      </c>
      <c r="J26" s="276" t="s">
        <v>74</v>
      </c>
      <c r="K26" s="296">
        <v>1</v>
      </c>
      <c r="L26" s="296">
        <v>478.94675116883127</v>
      </c>
      <c r="M26" s="296">
        <v>478.94675116883127</v>
      </c>
      <c r="N26" s="297">
        <v>196.25590151900718</v>
      </c>
      <c r="O26" s="276">
        <v>1.819792520599967E-11</v>
      </c>
    </row>
    <row r="27" spans="2:18" ht="15" customHeight="1" x14ac:dyDescent="0.25">
      <c r="B27" s="280">
        <v>12</v>
      </c>
      <c r="C27" s="290">
        <f t="shared" si="0"/>
        <v>144</v>
      </c>
      <c r="D27" s="281">
        <v>58.61</v>
      </c>
      <c r="E27" s="279"/>
      <c r="F27" s="284">
        <v>12</v>
      </c>
      <c r="G27" s="285">
        <v>58.61</v>
      </c>
      <c r="H27" s="274">
        <f t="shared" si="1"/>
        <v>3435.1320999999998</v>
      </c>
      <c r="J27" s="276" t="s">
        <v>75</v>
      </c>
      <c r="K27" s="296">
        <v>19</v>
      </c>
      <c r="L27" s="296">
        <v>46.367972640692642</v>
      </c>
      <c r="M27" s="296">
        <v>2.440419612668034</v>
      </c>
      <c r="N27" s="276"/>
      <c r="O27" s="276"/>
    </row>
    <row r="28" spans="2:18" ht="15" customHeight="1" thickBot="1" x14ac:dyDescent="0.3">
      <c r="B28" s="280">
        <v>13</v>
      </c>
      <c r="C28" s="290">
        <f t="shared" si="0"/>
        <v>169</v>
      </c>
      <c r="D28" s="281">
        <v>59.24</v>
      </c>
      <c r="E28" s="279"/>
      <c r="F28" s="284">
        <v>13</v>
      </c>
      <c r="G28" s="285">
        <v>59.24</v>
      </c>
      <c r="H28" s="274">
        <f t="shared" si="1"/>
        <v>3509.3776000000003</v>
      </c>
      <c r="J28" s="277" t="s">
        <v>76</v>
      </c>
      <c r="K28" s="310">
        <v>20</v>
      </c>
      <c r="L28" s="310">
        <v>525.31472380952391</v>
      </c>
      <c r="M28" s="277"/>
      <c r="N28" s="277"/>
      <c r="O28" s="277"/>
    </row>
    <row r="29" spans="2:18" ht="15" customHeight="1" thickBot="1" x14ac:dyDescent="0.3">
      <c r="B29" s="280">
        <v>14</v>
      </c>
      <c r="C29" s="290">
        <f t="shared" si="0"/>
        <v>196</v>
      </c>
      <c r="D29" s="281">
        <v>59.81</v>
      </c>
      <c r="E29" s="279"/>
      <c r="F29" s="284">
        <v>14</v>
      </c>
      <c r="G29" s="285">
        <v>59.81</v>
      </c>
      <c r="H29" s="274">
        <f t="shared" si="1"/>
        <v>3577.2361000000001</v>
      </c>
    </row>
    <row r="30" spans="2:18" ht="15" customHeight="1" x14ac:dyDescent="0.25">
      <c r="B30" s="280">
        <v>15</v>
      </c>
      <c r="C30" s="290">
        <f t="shared" si="0"/>
        <v>225</v>
      </c>
      <c r="D30" s="281">
        <v>61.09</v>
      </c>
      <c r="E30" s="279"/>
      <c r="F30" s="284">
        <v>15</v>
      </c>
      <c r="G30" s="285">
        <v>61.09</v>
      </c>
      <c r="H30" s="274">
        <f t="shared" si="1"/>
        <v>3731.9881000000005</v>
      </c>
      <c r="J30" s="278"/>
      <c r="K30" s="278" t="s">
        <v>83</v>
      </c>
      <c r="L30" s="278" t="s">
        <v>36</v>
      </c>
      <c r="M30" s="278" t="s">
        <v>84</v>
      </c>
      <c r="N30" s="278" t="s">
        <v>85</v>
      </c>
      <c r="O30" s="278" t="s">
        <v>86</v>
      </c>
      <c r="P30" s="278" t="s">
        <v>87</v>
      </c>
      <c r="Q30" s="278" t="s">
        <v>88</v>
      </c>
      <c r="R30" s="278" t="s">
        <v>89</v>
      </c>
    </row>
    <row r="31" spans="2:18" ht="15" customHeight="1" x14ac:dyDescent="0.25">
      <c r="B31" s="280">
        <v>16</v>
      </c>
      <c r="C31" s="290">
        <f t="shared" si="0"/>
        <v>256</v>
      </c>
      <c r="D31" s="281">
        <v>59.43</v>
      </c>
      <c r="E31" s="279"/>
      <c r="F31" s="284">
        <v>16</v>
      </c>
      <c r="G31" s="285">
        <v>59.43</v>
      </c>
      <c r="H31" s="274">
        <f t="shared" si="1"/>
        <v>3531.9249</v>
      </c>
      <c r="J31" s="276" t="s">
        <v>77</v>
      </c>
      <c r="K31" s="276">
        <v>46.642666666666614</v>
      </c>
      <c r="L31" s="276">
        <v>0.70689813149294467</v>
      </c>
      <c r="M31" s="276">
        <v>65.982161486491549</v>
      </c>
      <c r="N31" s="276">
        <v>6.5886342883012927E-24</v>
      </c>
      <c r="O31" s="276">
        <v>45.163111413771375</v>
      </c>
      <c r="P31" s="276">
        <v>48.122221919561852</v>
      </c>
      <c r="Q31" s="276">
        <v>45.163111413771375</v>
      </c>
      <c r="R31" s="276">
        <v>48.122221919561852</v>
      </c>
    </row>
    <row r="32" spans="2:18" ht="15" customHeight="1" thickBot="1" x14ac:dyDescent="0.3">
      <c r="B32" s="280">
        <v>17</v>
      </c>
      <c r="C32" s="290">
        <f t="shared" si="0"/>
        <v>289</v>
      </c>
      <c r="D32" s="281">
        <v>58.79</v>
      </c>
      <c r="E32" s="279"/>
      <c r="F32" s="284">
        <v>17</v>
      </c>
      <c r="G32" s="285">
        <v>58.79</v>
      </c>
      <c r="H32" s="274">
        <f t="shared" si="1"/>
        <v>3456.2640999999999</v>
      </c>
      <c r="J32" s="277" t="s">
        <v>328</v>
      </c>
      <c r="K32" s="277">
        <v>0.78867532467532853</v>
      </c>
      <c r="L32" s="277">
        <v>5.6297212367470706E-2</v>
      </c>
      <c r="M32" s="277">
        <v>14.009136358784184</v>
      </c>
      <c r="N32" s="277">
        <v>1.8197925205998223E-11</v>
      </c>
      <c r="O32" s="277">
        <v>0.6708438683865221</v>
      </c>
      <c r="P32" s="277">
        <v>0.90650678096413495</v>
      </c>
      <c r="Q32" s="277">
        <v>0.6708438683865221</v>
      </c>
      <c r="R32" s="277">
        <v>0.90650678096413495</v>
      </c>
    </row>
    <row r="33" spans="2:16" ht="15" customHeight="1" x14ac:dyDescent="0.25">
      <c r="B33" s="280">
        <v>18</v>
      </c>
      <c r="C33" s="290">
        <f t="shared" si="0"/>
        <v>324</v>
      </c>
      <c r="D33" s="281">
        <v>59.68</v>
      </c>
      <c r="E33" s="279"/>
      <c r="F33" s="284">
        <v>18</v>
      </c>
      <c r="G33" s="285">
        <v>59.68</v>
      </c>
      <c r="H33" s="274">
        <f t="shared" si="1"/>
        <v>3561.7024000000001</v>
      </c>
    </row>
    <row r="34" spans="2:16" ht="15" customHeight="1" x14ac:dyDescent="0.25">
      <c r="B34" s="280">
        <v>19</v>
      </c>
      <c r="C34" s="290">
        <f t="shared" si="0"/>
        <v>361</v>
      </c>
      <c r="D34" s="281">
        <v>59.96</v>
      </c>
      <c r="E34" s="279"/>
      <c r="F34" s="284">
        <v>19</v>
      </c>
      <c r="G34" s="285">
        <v>59.96</v>
      </c>
      <c r="H34" s="274">
        <f t="shared" si="1"/>
        <v>3595.2016000000003</v>
      </c>
    </row>
    <row r="35" spans="2:16" ht="15" customHeight="1" x14ac:dyDescent="0.25">
      <c r="B35" s="280">
        <v>20</v>
      </c>
      <c r="C35" s="290">
        <f t="shared" si="0"/>
        <v>400</v>
      </c>
      <c r="D35" s="281">
        <v>60.43</v>
      </c>
      <c r="E35" s="279"/>
      <c r="F35" s="284">
        <v>20</v>
      </c>
      <c r="G35" s="285">
        <v>60.43</v>
      </c>
      <c r="H35" s="274">
        <f t="shared" si="1"/>
        <v>3651.7849000000001</v>
      </c>
    </row>
    <row r="36" spans="2:16" ht="15" customHeight="1" x14ac:dyDescent="0.25">
      <c r="B36" s="282">
        <v>21</v>
      </c>
      <c r="C36" s="291">
        <f t="shared" si="0"/>
        <v>441</v>
      </c>
      <c r="D36" s="283">
        <v>61.82</v>
      </c>
      <c r="E36" s="279"/>
      <c r="F36" s="286">
        <v>21</v>
      </c>
      <c r="G36" s="287">
        <v>61.82</v>
      </c>
      <c r="H36" s="274">
        <f t="shared" si="1"/>
        <v>3821.7123999999999</v>
      </c>
      <c r="J36" s="274" t="s">
        <v>93</v>
      </c>
      <c r="O36" s="274" t="s">
        <v>331</v>
      </c>
    </row>
    <row r="37" spans="2:16" ht="15" customHeight="1" x14ac:dyDescent="0.25">
      <c r="B37" s="290"/>
      <c r="C37" s="290"/>
      <c r="D37" s="290">
        <f>AVERAGE(D16:D36)</f>
        <v>55.318095238095232</v>
      </c>
      <c r="E37" s="279"/>
      <c r="F37" s="290"/>
      <c r="G37" s="290"/>
      <c r="H37" s="290"/>
    </row>
    <row r="38" spans="2:16" ht="15" customHeight="1" x14ac:dyDescent="0.25">
      <c r="B38" s="290"/>
      <c r="C38" s="290"/>
      <c r="D38" s="290"/>
      <c r="E38" s="279"/>
      <c r="F38" s="290"/>
      <c r="G38" s="290"/>
    </row>
    <row r="39" spans="2:16" ht="15" customHeight="1" thickBot="1" x14ac:dyDescent="0.3"/>
    <row r="40" spans="2:16" ht="15" customHeight="1" x14ac:dyDescent="0.25">
      <c r="J40" s="278" t="s">
        <v>94</v>
      </c>
      <c r="K40" s="278" t="s">
        <v>332</v>
      </c>
      <c r="L40" s="278" t="s">
        <v>75</v>
      </c>
      <c r="M40" s="278" t="s">
        <v>96</v>
      </c>
      <c r="O40" s="278" t="s">
        <v>333</v>
      </c>
      <c r="P40" s="278" t="s">
        <v>330</v>
      </c>
    </row>
    <row r="41" spans="2:16" ht="15" customHeight="1" x14ac:dyDescent="0.25">
      <c r="J41" s="276">
        <v>1</v>
      </c>
      <c r="K41" s="276">
        <v>47.431341991341945</v>
      </c>
      <c r="L41" s="276">
        <v>-0.2013419913419483</v>
      </c>
      <c r="M41" s="276">
        <v>-0.13223313783647736</v>
      </c>
      <c r="O41" s="276">
        <v>2.3809523809523809</v>
      </c>
      <c r="P41" s="276">
        <v>47.23</v>
      </c>
    </row>
    <row r="42" spans="2:16" ht="15" customHeight="1" x14ac:dyDescent="0.25">
      <c r="J42" s="276">
        <v>2</v>
      </c>
      <c r="K42" s="276">
        <v>48.22001731601727</v>
      </c>
      <c r="L42" s="276">
        <v>-0.21001731601727158</v>
      </c>
      <c r="M42" s="276">
        <v>-0.13793073422917387</v>
      </c>
      <c r="O42" s="276">
        <v>7.1428571428571423</v>
      </c>
      <c r="P42" s="276">
        <v>48</v>
      </c>
    </row>
    <row r="43" spans="2:16" ht="15" customHeight="1" x14ac:dyDescent="0.25">
      <c r="J43" s="276">
        <v>3</v>
      </c>
      <c r="K43" s="276">
        <v>49.008692640692601</v>
      </c>
      <c r="L43" s="276">
        <v>-1.0086926406926011</v>
      </c>
      <c r="M43" s="276">
        <v>-0.6624678344658631</v>
      </c>
      <c r="O43" s="276">
        <v>11.904761904761905</v>
      </c>
      <c r="P43" s="276">
        <v>48.01</v>
      </c>
    </row>
    <row r="44" spans="2:16" ht="15" customHeight="1" x14ac:dyDescent="0.25">
      <c r="J44" s="276">
        <v>4</v>
      </c>
      <c r="K44" s="276">
        <v>49.797367965367926</v>
      </c>
      <c r="L44" s="276">
        <v>-1.7373679653679233</v>
      </c>
      <c r="M44" s="276">
        <v>-1.1410318141087763</v>
      </c>
      <c r="O44" s="276">
        <v>16.666666666666664</v>
      </c>
      <c r="P44" s="276">
        <v>48.06</v>
      </c>
    </row>
    <row r="45" spans="2:16" ht="15" customHeight="1" x14ac:dyDescent="0.25">
      <c r="J45" s="276">
        <v>5</v>
      </c>
      <c r="K45" s="276">
        <v>50.586043290043257</v>
      </c>
      <c r="L45" s="276">
        <v>-1.5960432900432551</v>
      </c>
      <c r="M45" s="276">
        <v>-1.0482155806576832</v>
      </c>
      <c r="O45" s="276">
        <v>21.428571428571427</v>
      </c>
      <c r="P45" s="276">
        <v>48.99</v>
      </c>
    </row>
    <row r="46" spans="2:16" ht="15" customHeight="1" x14ac:dyDescent="0.25">
      <c r="J46" s="276">
        <v>6</v>
      </c>
      <c r="K46" s="276">
        <v>51.374718614718589</v>
      </c>
      <c r="L46" s="276">
        <v>-0.66471861471858773</v>
      </c>
      <c r="M46" s="276">
        <v>-0.4365598433626019</v>
      </c>
      <c r="O46" s="276">
        <v>26.19047619047619</v>
      </c>
      <c r="P46" s="276">
        <v>50.71</v>
      </c>
    </row>
    <row r="47" spans="2:16" ht="15" customHeight="1" x14ac:dyDescent="0.25">
      <c r="J47" s="276">
        <v>7</v>
      </c>
      <c r="K47" s="276">
        <v>52.163393939393913</v>
      </c>
      <c r="L47" s="276">
        <v>-0.31339393939391158</v>
      </c>
      <c r="M47" s="276">
        <v>-0.20582424813019004</v>
      </c>
      <c r="O47" s="276">
        <v>30.952380952380949</v>
      </c>
      <c r="P47" s="276">
        <v>51.85</v>
      </c>
    </row>
    <row r="48" spans="2:16" ht="15" customHeight="1" x14ac:dyDescent="0.25">
      <c r="J48" s="276">
        <v>8</v>
      </c>
      <c r="K48" s="276">
        <v>52.952069264069245</v>
      </c>
      <c r="L48" s="276">
        <v>0.10793073593075775</v>
      </c>
      <c r="M48" s="276">
        <v>7.0884467695988496E-2</v>
      </c>
      <c r="O48" s="276">
        <v>35.714285714285715</v>
      </c>
      <c r="P48" s="276">
        <v>53.06</v>
      </c>
    </row>
    <row r="49" spans="2:16" ht="15" customHeight="1" x14ac:dyDescent="0.25">
      <c r="J49" s="276">
        <v>9</v>
      </c>
      <c r="K49" s="276">
        <v>53.740744588744569</v>
      </c>
      <c r="L49" s="276">
        <v>0.50925541125543106</v>
      </c>
      <c r="M49" s="276">
        <v>0.33445800620966359</v>
      </c>
      <c r="O49" s="276">
        <v>40.476190476190474</v>
      </c>
      <c r="P49" s="276">
        <v>54.25</v>
      </c>
    </row>
    <row r="50" spans="2:16" ht="15" customHeight="1" x14ac:dyDescent="0.25">
      <c r="J50" s="276">
        <v>10</v>
      </c>
      <c r="K50" s="276">
        <v>54.5294199134199</v>
      </c>
      <c r="L50" s="276">
        <v>1.090580086580097</v>
      </c>
      <c r="M50" s="276">
        <v>0.71624814053588826</v>
      </c>
      <c r="O50" s="276">
        <v>45.238095238095234</v>
      </c>
      <c r="P50" s="276">
        <v>55.62</v>
      </c>
    </row>
    <row r="51" spans="2:16" ht="15" customHeight="1" x14ac:dyDescent="0.25">
      <c r="J51" s="276">
        <v>11</v>
      </c>
      <c r="K51" s="276">
        <v>55.318095238095225</v>
      </c>
      <c r="L51" s="276">
        <v>1.7219047619047743</v>
      </c>
      <c r="M51" s="276">
        <v>1.1308762181433853</v>
      </c>
      <c r="O51" s="276">
        <v>50</v>
      </c>
      <c r="P51" s="276">
        <v>57.04</v>
      </c>
    </row>
    <row r="52" spans="2:16" ht="15" customHeight="1" x14ac:dyDescent="0.25">
      <c r="J52" s="276">
        <v>12</v>
      </c>
      <c r="K52" s="276">
        <v>56.106770562770556</v>
      </c>
      <c r="L52" s="276">
        <v>2.503229437229443</v>
      </c>
      <c r="M52" s="276">
        <v>1.6440181255946722</v>
      </c>
      <c r="O52" s="276">
        <v>54.761904761904759</v>
      </c>
      <c r="P52" s="276">
        <v>58.61</v>
      </c>
    </row>
    <row r="53" spans="2:16" ht="15" customHeight="1" x14ac:dyDescent="0.25">
      <c r="J53" s="276">
        <v>13</v>
      </c>
      <c r="K53" s="276">
        <v>56.895445887445888</v>
      </c>
      <c r="L53" s="276">
        <v>2.3445541125541141</v>
      </c>
      <c r="M53" s="276">
        <v>1.5398066993581767</v>
      </c>
      <c r="O53" s="276">
        <v>59.523809523809518</v>
      </c>
      <c r="P53" s="276">
        <v>58.79</v>
      </c>
    </row>
    <row r="54" spans="2:16" ht="15" customHeight="1" x14ac:dyDescent="0.25">
      <c r="J54" s="276">
        <v>14</v>
      </c>
      <c r="K54" s="276">
        <v>57.684121212121212</v>
      </c>
      <c r="L54" s="276">
        <v>2.1258787878787899</v>
      </c>
      <c r="M54" s="276">
        <v>1.3961897411841662</v>
      </c>
      <c r="O54" s="276">
        <v>64.285714285714292</v>
      </c>
      <c r="P54" s="276">
        <v>59.24</v>
      </c>
    </row>
    <row r="55" spans="2:16" ht="15" customHeight="1" x14ac:dyDescent="0.25">
      <c r="J55" s="276">
        <v>15</v>
      </c>
      <c r="K55" s="276">
        <v>58.472796536796544</v>
      </c>
      <c r="L55" s="276">
        <v>2.6172034632034595</v>
      </c>
      <c r="M55" s="276">
        <v>1.7188715776041161</v>
      </c>
      <c r="O55" s="276">
        <v>69.047619047619051</v>
      </c>
      <c r="P55" s="276">
        <v>59.43</v>
      </c>
    </row>
    <row r="56" spans="2:16" ht="15" customHeight="1" x14ac:dyDescent="0.25">
      <c r="B56" s="300" t="s">
        <v>332</v>
      </c>
      <c r="C56" s="301" t="s">
        <v>335</v>
      </c>
      <c r="D56" s="302" t="s">
        <v>75</v>
      </c>
      <c r="E56" s="303" t="s">
        <v>336</v>
      </c>
      <c r="F56" s="295"/>
      <c r="G56" s="295"/>
      <c r="H56" s="295"/>
      <c r="J56" s="276">
        <v>16</v>
      </c>
      <c r="K56" s="276">
        <v>59.261471861471868</v>
      </c>
      <c r="L56" s="276">
        <v>0.16852813852813142</v>
      </c>
      <c r="M56" s="276">
        <v>0.11068234908567935</v>
      </c>
      <c r="O56" s="276">
        <v>73.80952380952381</v>
      </c>
      <c r="P56" s="276">
        <v>59.68</v>
      </c>
    </row>
    <row r="57" spans="2:16" ht="15" customHeight="1" x14ac:dyDescent="0.25">
      <c r="B57" s="280">
        <v>47.431341991341945</v>
      </c>
      <c r="C57" s="290">
        <f>(B57-$D$37)^2</f>
        <v>62.200876775173512</v>
      </c>
      <c r="D57" s="276">
        <v>-0.2013419913419483</v>
      </c>
      <c r="E57" s="304">
        <f>D57^2</f>
        <v>4.0538597477541183E-2</v>
      </c>
      <c r="F57" s="295"/>
      <c r="G57" s="295"/>
      <c r="H57" s="295"/>
      <c r="J57" s="276">
        <v>17</v>
      </c>
      <c r="K57" s="276">
        <v>60.0501471861472</v>
      </c>
      <c r="L57" s="276">
        <v>-1.2601471861472007</v>
      </c>
      <c r="M57" s="276">
        <v>-0.82761283649495188</v>
      </c>
      <c r="O57" s="276">
        <v>78.571428571428569</v>
      </c>
      <c r="P57" s="276">
        <v>59.81</v>
      </c>
    </row>
    <row r="58" spans="2:16" ht="15" customHeight="1" x14ac:dyDescent="0.25">
      <c r="B58" s="280">
        <v>48.22001731601727</v>
      </c>
      <c r="C58" s="290">
        <f t="shared" ref="C58:C77" si="2">(B58-$D$37)^2</f>
        <v>50.382710187890602</v>
      </c>
      <c r="D58" s="276">
        <v>-0.21001731601727158</v>
      </c>
      <c r="E58" s="304">
        <f t="shared" ref="E58:E77" si="3">D58^2</f>
        <v>4.410727302709852E-2</v>
      </c>
      <c r="F58" s="295"/>
      <c r="G58" s="295"/>
      <c r="H58" s="295"/>
      <c r="J58" s="276">
        <v>18</v>
      </c>
      <c r="K58" s="276">
        <v>60.838822510822524</v>
      </c>
      <c r="L58" s="276">
        <v>-1.1588225108225245</v>
      </c>
      <c r="M58" s="276">
        <v>-0.76106695766886556</v>
      </c>
      <c r="O58" s="276">
        <v>83.333333333333329</v>
      </c>
      <c r="P58" s="276">
        <v>59.96</v>
      </c>
    </row>
    <row r="59" spans="2:16" ht="15" customHeight="1" x14ac:dyDescent="0.25">
      <c r="B59" s="280">
        <v>49.008692640692601</v>
      </c>
      <c r="C59" s="290">
        <f t="shared" si="2"/>
        <v>39.808561136111067</v>
      </c>
      <c r="D59" s="276">
        <v>-1.0086926406926011</v>
      </c>
      <c r="E59" s="304">
        <f t="shared" si="3"/>
        <v>1.0174608433874128</v>
      </c>
      <c r="F59" s="295"/>
      <c r="G59" s="295"/>
      <c r="H59" s="295"/>
      <c r="J59" s="276">
        <v>19</v>
      </c>
      <c r="K59" s="276">
        <v>61.627497835497856</v>
      </c>
      <c r="L59" s="276">
        <v>-1.6674978354978549</v>
      </c>
      <c r="M59" s="276">
        <v>-1.0951439868742177</v>
      </c>
      <c r="O59" s="276">
        <v>88.095238095238088</v>
      </c>
      <c r="P59" s="276">
        <v>60.43</v>
      </c>
    </row>
    <row r="60" spans="2:16" ht="15" customHeight="1" x14ac:dyDescent="0.25">
      <c r="B60" s="280">
        <v>49.797367965367926</v>
      </c>
      <c r="C60" s="290">
        <f t="shared" si="2"/>
        <v>30.478429619835083</v>
      </c>
      <c r="D60" s="276">
        <v>-1.7373679653679233</v>
      </c>
      <c r="E60" s="304">
        <f t="shared" si="3"/>
        <v>3.0184474470866776</v>
      </c>
      <c r="F60" s="295"/>
      <c r="G60" s="295"/>
      <c r="H60" s="295"/>
      <c r="J60" s="276">
        <v>20</v>
      </c>
      <c r="K60" s="276">
        <v>62.416173160173187</v>
      </c>
      <c r="L60" s="276">
        <v>-1.9861731601731876</v>
      </c>
      <c r="M60" s="276">
        <v>-1.304436831610764</v>
      </c>
      <c r="O60" s="276">
        <v>92.857142857142861</v>
      </c>
      <c r="P60" s="276">
        <v>61.09</v>
      </c>
    </row>
    <row r="61" spans="2:16" ht="15" customHeight="1" thickBot="1" x14ac:dyDescent="0.3">
      <c r="B61" s="280">
        <v>50.586043290043257</v>
      </c>
      <c r="C61" s="290">
        <f t="shared" si="2"/>
        <v>22.392315639062492</v>
      </c>
      <c r="D61" s="276">
        <v>-1.5960432900432551</v>
      </c>
      <c r="E61" s="304">
        <f t="shared" si="3"/>
        <v>2.5473541836920979</v>
      </c>
      <c r="F61" s="295"/>
      <c r="G61" s="295"/>
      <c r="H61" s="295"/>
      <c r="J61" s="277">
        <v>21</v>
      </c>
      <c r="K61" s="277">
        <v>63.204848484848512</v>
      </c>
      <c r="L61" s="277">
        <v>-1.3848484848485114</v>
      </c>
      <c r="M61" s="277">
        <v>-0.90951151997202673</v>
      </c>
      <c r="O61" s="277">
        <v>97.61904761904762</v>
      </c>
      <c r="P61" s="277">
        <v>61.82</v>
      </c>
    </row>
    <row r="62" spans="2:16" ht="15" customHeight="1" x14ac:dyDescent="0.25">
      <c r="B62" s="280">
        <v>51.374718614718589</v>
      </c>
      <c r="C62" s="290">
        <f t="shared" si="2"/>
        <v>15.550219193793378</v>
      </c>
      <c r="D62" s="276">
        <v>-0.66471861471858773</v>
      </c>
      <c r="E62" s="304">
        <f t="shared" si="3"/>
        <v>0.44185083675339826</v>
      </c>
      <c r="F62" s="295"/>
      <c r="G62" s="295"/>
      <c r="H62" s="295"/>
    </row>
    <row r="63" spans="2:16" ht="15" customHeight="1" x14ac:dyDescent="0.25">
      <c r="B63" s="280">
        <v>52.163393939393913</v>
      </c>
      <c r="C63" s="290">
        <f t="shared" si="2"/>
        <v>9.9521402840277879</v>
      </c>
      <c r="D63" s="276">
        <v>-0.31339393939391158</v>
      </c>
      <c r="E63" s="304">
        <f t="shared" si="3"/>
        <v>9.8215761248834729E-2</v>
      </c>
      <c r="F63" s="295"/>
      <c r="G63" s="295"/>
      <c r="H63" s="295"/>
    </row>
    <row r="64" spans="2:16" ht="15" customHeight="1" x14ac:dyDescent="0.25">
      <c r="B64" s="280">
        <v>52.952069264069245</v>
      </c>
      <c r="C64" s="290">
        <f t="shared" si="2"/>
        <v>5.5980789097656229</v>
      </c>
      <c r="D64" s="276">
        <v>0.10793073593075775</v>
      </c>
      <c r="E64" s="304">
        <f t="shared" si="3"/>
        <v>1.1649043758554961E-2</v>
      </c>
      <c r="F64" s="295"/>
      <c r="G64" s="295"/>
      <c r="H64" s="295"/>
    </row>
    <row r="65" spans="2:15" ht="15" customHeight="1" x14ac:dyDescent="0.25">
      <c r="B65" s="280">
        <v>53.740744588744569</v>
      </c>
      <c r="C65" s="290">
        <f t="shared" si="2"/>
        <v>2.4880350710069585</v>
      </c>
      <c r="D65" s="276">
        <v>0.50925541125543106</v>
      </c>
      <c r="E65" s="304">
        <f t="shared" si="3"/>
        <v>0.2593410738929382</v>
      </c>
      <c r="F65" s="295"/>
      <c r="G65" s="295"/>
      <c r="H65" s="295"/>
    </row>
    <row r="66" spans="2:15" ht="15" customHeight="1" x14ac:dyDescent="0.25">
      <c r="B66" s="280">
        <v>54.5294199134199</v>
      </c>
      <c r="C66" s="290">
        <f t="shared" si="2"/>
        <v>0.62200876775173963</v>
      </c>
      <c r="D66" s="276">
        <v>1.090580086580097</v>
      </c>
      <c r="E66" s="304">
        <f t="shared" si="3"/>
        <v>1.1893649252450518</v>
      </c>
      <c r="F66" s="295"/>
      <c r="G66" s="295"/>
      <c r="H66" s="295"/>
      <c r="J66" s="274" t="s">
        <v>67</v>
      </c>
    </row>
    <row r="67" spans="2:15" ht="15" customHeight="1" thickBot="1" x14ac:dyDescent="0.3">
      <c r="B67" s="280">
        <v>55.318095238095225</v>
      </c>
      <c r="C67" s="290">
        <f t="shared" si="2"/>
        <v>5.0487097934144756E-29</v>
      </c>
      <c r="D67" s="276">
        <v>1.7219047619047743</v>
      </c>
      <c r="E67" s="304">
        <f t="shared" si="3"/>
        <v>2.9649560090703373</v>
      </c>
      <c r="F67" s="295"/>
      <c r="G67" s="295"/>
      <c r="H67" s="295"/>
    </row>
    <row r="68" spans="2:15" ht="15" customHeight="1" x14ac:dyDescent="0.25">
      <c r="B68" s="280">
        <v>56.106770562770556</v>
      </c>
      <c r="C68" s="290">
        <f t="shared" si="2"/>
        <v>0.62200876775172842</v>
      </c>
      <c r="D68" s="276">
        <v>2.503229437229443</v>
      </c>
      <c r="E68" s="304">
        <f t="shared" si="3"/>
        <v>6.266157615412034</v>
      </c>
      <c r="F68" s="295"/>
      <c r="G68" s="295"/>
      <c r="H68" s="295"/>
      <c r="J68" s="275" t="s">
        <v>68</v>
      </c>
      <c r="K68" s="275"/>
    </row>
    <row r="69" spans="2:15" ht="15" customHeight="1" x14ac:dyDescent="0.25">
      <c r="B69" s="280">
        <v>56.895445887445888</v>
      </c>
      <c r="C69" s="290">
        <f t="shared" si="2"/>
        <v>2.4880350710069359</v>
      </c>
      <c r="D69" s="276">
        <v>2.3445541125541141</v>
      </c>
      <c r="E69" s="304">
        <f t="shared" si="3"/>
        <v>5.4969339866944091</v>
      </c>
      <c r="F69" s="295"/>
      <c r="G69" s="295"/>
      <c r="H69" s="295"/>
      <c r="J69" s="276" t="s">
        <v>69</v>
      </c>
      <c r="K69" s="276">
        <v>0.97595137107225471</v>
      </c>
    </row>
    <row r="70" spans="2:15" ht="15" customHeight="1" x14ac:dyDescent="0.25">
      <c r="B70" s="280">
        <v>57.684121212121212</v>
      </c>
      <c r="C70" s="290">
        <f t="shared" si="2"/>
        <v>5.5980789097655892</v>
      </c>
      <c r="D70" s="276">
        <v>2.1258787878787899</v>
      </c>
      <c r="E70" s="304">
        <f t="shared" si="3"/>
        <v>4.5193606207529928</v>
      </c>
      <c r="F70" s="295"/>
      <c r="G70" s="295"/>
      <c r="H70" s="295"/>
      <c r="J70" s="276" t="s">
        <v>70</v>
      </c>
      <c r="K70" s="276">
        <v>0.95248107869781373</v>
      </c>
    </row>
    <row r="71" spans="2:15" ht="15" customHeight="1" x14ac:dyDescent="0.25">
      <c r="B71" s="280">
        <v>58.472796536796544</v>
      </c>
      <c r="C71" s="290">
        <f t="shared" si="2"/>
        <v>9.9521402840277435</v>
      </c>
      <c r="D71" s="276">
        <v>2.6172034632034595</v>
      </c>
      <c r="E71" s="304">
        <f t="shared" si="3"/>
        <v>6.8497539678041823</v>
      </c>
      <c r="F71" s="295"/>
      <c r="G71" s="295"/>
      <c r="H71" s="295"/>
      <c r="J71" s="276" t="s">
        <v>71</v>
      </c>
      <c r="K71" s="276">
        <v>0.94720119855312623</v>
      </c>
    </row>
    <row r="72" spans="2:15" ht="15" customHeight="1" x14ac:dyDescent="0.25">
      <c r="B72" s="280">
        <v>59.261471861471868</v>
      </c>
      <c r="C72" s="290">
        <f t="shared" si="2"/>
        <v>15.550219193793321</v>
      </c>
      <c r="D72" s="276">
        <v>0.16852813852813142</v>
      </c>
      <c r="E72" s="304">
        <f t="shared" si="3"/>
        <v>2.8401733475757054E-2</v>
      </c>
      <c r="F72" s="295"/>
      <c r="G72" s="295"/>
      <c r="H72" s="295"/>
      <c r="J72" s="276" t="s">
        <v>36</v>
      </c>
      <c r="K72" s="276">
        <v>1.1776244689954924</v>
      </c>
    </row>
    <row r="73" spans="2:15" ht="15" customHeight="1" thickBot="1" x14ac:dyDescent="0.3">
      <c r="B73" s="280">
        <v>60.0501471861472</v>
      </c>
      <c r="C73" s="290">
        <f t="shared" si="2"/>
        <v>22.392315639062424</v>
      </c>
      <c r="D73" s="276">
        <v>-1.2601471861472007</v>
      </c>
      <c r="E73" s="304">
        <f t="shared" si="3"/>
        <v>1.5879709307547076</v>
      </c>
      <c r="F73" s="295"/>
      <c r="G73" s="295"/>
      <c r="H73" s="295"/>
      <c r="J73" s="277" t="s">
        <v>72</v>
      </c>
      <c r="K73" s="277">
        <v>21</v>
      </c>
    </row>
    <row r="74" spans="2:15" ht="15" customHeight="1" x14ac:dyDescent="0.25">
      <c r="B74" s="280">
        <v>60.838822510822524</v>
      </c>
      <c r="C74" s="290">
        <f t="shared" si="2"/>
        <v>30.478429619834927</v>
      </c>
      <c r="D74" s="276">
        <v>-1.1588225108225245</v>
      </c>
      <c r="E74" s="304">
        <f t="shared" si="3"/>
        <v>1.34286961158902</v>
      </c>
      <c r="F74" s="295"/>
      <c r="G74" s="295"/>
      <c r="H74" s="295"/>
    </row>
    <row r="75" spans="2:15" ht="15" customHeight="1" thickBot="1" x14ac:dyDescent="0.3">
      <c r="B75" s="280">
        <v>61.627497835497856</v>
      </c>
      <c r="C75" s="290">
        <f t="shared" si="2"/>
        <v>39.808561136110974</v>
      </c>
      <c r="D75" s="276">
        <v>-1.6674978354978549</v>
      </c>
      <c r="E75" s="304">
        <f t="shared" si="3"/>
        <v>2.7805490313900312</v>
      </c>
      <c r="F75" s="295"/>
      <c r="G75" s="295"/>
      <c r="H75" s="295"/>
      <c r="J75" s="274" t="s">
        <v>73</v>
      </c>
    </row>
    <row r="76" spans="2:15" ht="15" customHeight="1" x14ac:dyDescent="0.25">
      <c r="B76" s="280">
        <v>62.416173160173187</v>
      </c>
      <c r="C76" s="290">
        <f t="shared" si="2"/>
        <v>50.382710187890503</v>
      </c>
      <c r="D76" s="276">
        <v>-1.9861731601731876</v>
      </c>
      <c r="E76" s="304">
        <f t="shared" si="3"/>
        <v>3.9448838221923466</v>
      </c>
      <c r="F76" s="295"/>
      <c r="G76" s="295"/>
      <c r="H76" s="295"/>
      <c r="J76" s="278"/>
      <c r="K76" s="278" t="s">
        <v>78</v>
      </c>
      <c r="L76" s="278" t="s">
        <v>79</v>
      </c>
      <c r="M76" s="278" t="s">
        <v>80</v>
      </c>
      <c r="N76" s="278" t="s">
        <v>81</v>
      </c>
      <c r="O76" s="278" t="s">
        <v>82</v>
      </c>
    </row>
    <row r="77" spans="2:15" ht="15" customHeight="1" x14ac:dyDescent="0.25">
      <c r="B77" s="282">
        <v>63.204848484848512</v>
      </c>
      <c r="C77" s="291">
        <f t="shared" si="2"/>
        <v>62.200876775173398</v>
      </c>
      <c r="D77" s="305">
        <v>-1.3848484848485114</v>
      </c>
      <c r="E77" s="306">
        <f t="shared" si="3"/>
        <v>1.9178053259872179</v>
      </c>
      <c r="F77" s="295"/>
      <c r="G77" s="295"/>
      <c r="H77" s="295"/>
      <c r="J77" s="276" t="s">
        <v>74</v>
      </c>
      <c r="K77" s="276">
        <v>2</v>
      </c>
      <c r="L77" s="276">
        <v>500.35233478993945</v>
      </c>
      <c r="M77" s="276">
        <v>250.17616739496972</v>
      </c>
      <c r="N77" s="276">
        <v>180.39823870930178</v>
      </c>
      <c r="O77" s="276">
        <v>1.2353760028218385E-12</v>
      </c>
    </row>
    <row r="78" spans="2:15" ht="15" customHeight="1" x14ac:dyDescent="0.25">
      <c r="B78" s="307" t="s">
        <v>334</v>
      </c>
      <c r="C78" s="293">
        <f>SUM(C57:C77)</f>
        <v>478.94675116883582</v>
      </c>
      <c r="D78" s="308" t="s">
        <v>337</v>
      </c>
      <c r="E78" s="309">
        <f>SUM(E57:E77)/19</f>
        <v>2.440419612668034</v>
      </c>
      <c r="F78" s="295"/>
      <c r="G78" s="295"/>
      <c r="H78" s="295"/>
      <c r="J78" s="276" t="s">
        <v>75</v>
      </c>
      <c r="K78" s="276">
        <v>18</v>
      </c>
      <c r="L78" s="276">
        <v>24.962389019584482</v>
      </c>
      <c r="M78" s="276">
        <v>1.3867993899769155</v>
      </c>
      <c r="N78" s="276"/>
      <c r="O78" s="276"/>
    </row>
    <row r="79" spans="2:15" ht="15" customHeight="1" thickBot="1" x14ac:dyDescent="0.3">
      <c r="B79" s="295"/>
      <c r="C79" s="295"/>
      <c r="D79" s="295"/>
      <c r="E79" s="295"/>
      <c r="F79" s="295"/>
      <c r="G79" s="295"/>
      <c r="H79" s="295"/>
      <c r="J79" s="277" t="s">
        <v>76</v>
      </c>
      <c r="K79" s="277">
        <v>20</v>
      </c>
      <c r="L79" s="277">
        <v>525.31472380952391</v>
      </c>
      <c r="M79" s="277"/>
      <c r="N79" s="277"/>
      <c r="O79" s="277"/>
    </row>
    <row r="80" spans="2:15" ht="15" customHeight="1" thickBot="1" x14ac:dyDescent="0.3">
      <c r="B80" s="295"/>
      <c r="C80" s="298" t="s">
        <v>81</v>
      </c>
      <c r="D80" s="299">
        <f>C78/E78</f>
        <v>196.25590151900903</v>
      </c>
      <c r="E80" s="295"/>
      <c r="F80" s="295"/>
      <c r="G80" s="295"/>
      <c r="H80" s="295"/>
    </row>
    <row r="81" spans="2:18" ht="15" customHeight="1" x14ac:dyDescent="0.25">
      <c r="B81" s="295"/>
      <c r="C81" s="298" t="s">
        <v>17</v>
      </c>
      <c r="D81" s="299">
        <f>L26/L28</f>
        <v>0.91173296589816244</v>
      </c>
      <c r="E81" s="295"/>
      <c r="F81" s="295"/>
      <c r="G81" s="295"/>
      <c r="H81" s="295"/>
      <c r="J81" s="278"/>
      <c r="K81" s="278" t="s">
        <v>83</v>
      </c>
      <c r="L81" s="278" t="s">
        <v>36</v>
      </c>
      <c r="M81" s="278" t="s">
        <v>84</v>
      </c>
      <c r="N81" s="278" t="s">
        <v>85</v>
      </c>
      <c r="O81" s="278" t="s">
        <v>86</v>
      </c>
      <c r="P81" s="278" t="s">
        <v>87</v>
      </c>
      <c r="Q81" s="278" t="s">
        <v>88</v>
      </c>
      <c r="R81" s="278" t="s">
        <v>89</v>
      </c>
    </row>
    <row r="82" spans="2:18" ht="15" customHeight="1" x14ac:dyDescent="0.25">
      <c r="J82" s="276" t="s">
        <v>77</v>
      </c>
      <c r="K82" s="276">
        <v>44.037578947368353</v>
      </c>
      <c r="L82" s="276">
        <v>0.85066925295781315</v>
      </c>
      <c r="M82" s="276">
        <v>51.768156418311605</v>
      </c>
      <c r="N82" s="276">
        <v>4.8723888125822822E-21</v>
      </c>
      <c r="O82" s="276">
        <v>42.250387781764466</v>
      </c>
      <c r="P82" s="276">
        <v>45.824770112972239</v>
      </c>
      <c r="Q82" s="276">
        <v>42.250387781764466</v>
      </c>
      <c r="R82" s="276">
        <v>45.824770112972239</v>
      </c>
    </row>
    <row r="83" spans="2:18" ht="15" customHeight="1" x14ac:dyDescent="0.25">
      <c r="J83" s="276" t="s">
        <v>328</v>
      </c>
      <c r="K83" s="276">
        <v>1.4682634253618405</v>
      </c>
      <c r="L83" s="276">
        <v>0.17810720285823203</v>
      </c>
      <c r="M83" s="276">
        <v>8.2437060478151132</v>
      </c>
      <c r="N83" s="276">
        <v>1.5942322719556356E-7</v>
      </c>
      <c r="O83" s="276">
        <v>1.0940737877654785</v>
      </c>
      <c r="P83" s="276">
        <v>1.8424530629582025</v>
      </c>
      <c r="Q83" s="276">
        <v>1.0940737877654785</v>
      </c>
      <c r="R83" s="276">
        <v>1.8424530629582025</v>
      </c>
    </row>
    <row r="84" spans="2:18" ht="15" customHeight="1" thickBot="1" x14ac:dyDescent="0.3">
      <c r="J84" s="277" t="s">
        <v>329</v>
      </c>
      <c r="K84" s="277">
        <v>-3.0890368213023441E-2</v>
      </c>
      <c r="L84" s="277">
        <v>7.8626033926353332E-3</v>
      </c>
      <c r="M84" s="277">
        <v>-3.9287710024846896</v>
      </c>
      <c r="N84" s="277">
        <v>9.8424885805232934E-4</v>
      </c>
      <c r="O84" s="277">
        <v>-4.7409097758150082E-2</v>
      </c>
      <c r="P84" s="277">
        <v>-1.4371638667896803E-2</v>
      </c>
      <c r="Q84" s="277">
        <v>-4.7409097758150082E-2</v>
      </c>
      <c r="R84" s="277">
        <v>-1.4371638667896803E-2</v>
      </c>
    </row>
    <row r="86" spans="2:18" ht="15" customHeight="1" x14ac:dyDescent="0.25">
      <c r="B86" s="460" t="s">
        <v>338</v>
      </c>
      <c r="C86" s="461"/>
      <c r="D86" s="461"/>
      <c r="E86" s="461"/>
      <c r="F86" s="462"/>
    </row>
    <row r="87" spans="2:18" ht="15" customHeight="1" x14ac:dyDescent="0.25">
      <c r="B87" s="463"/>
      <c r="C87" s="464"/>
      <c r="D87" s="464"/>
      <c r="E87" s="464"/>
      <c r="F87" s="465"/>
    </row>
    <row r="88" spans="2:18" ht="15" customHeight="1" x14ac:dyDescent="0.25">
      <c r="B88" s="463"/>
      <c r="C88" s="464"/>
      <c r="D88" s="464"/>
      <c r="E88" s="464"/>
      <c r="F88" s="465"/>
      <c r="J88" s="274" t="s">
        <v>93</v>
      </c>
    </row>
    <row r="89" spans="2:18" ht="15" customHeight="1" thickBot="1" x14ac:dyDescent="0.3">
      <c r="B89" s="463"/>
      <c r="C89" s="464"/>
      <c r="D89" s="464"/>
      <c r="E89" s="464"/>
      <c r="F89" s="465"/>
    </row>
    <row r="90" spans="2:18" ht="15" customHeight="1" x14ac:dyDescent="0.25">
      <c r="B90" s="463"/>
      <c r="C90" s="464"/>
      <c r="D90" s="464"/>
      <c r="E90" s="464"/>
      <c r="F90" s="465"/>
      <c r="J90" s="278" t="s">
        <v>94</v>
      </c>
      <c r="K90" s="278" t="s">
        <v>332</v>
      </c>
      <c r="L90" s="278" t="s">
        <v>75</v>
      </c>
      <c r="M90" s="278" t="s">
        <v>96</v>
      </c>
    </row>
    <row r="91" spans="2:18" ht="15" customHeight="1" x14ac:dyDescent="0.25">
      <c r="B91" s="463"/>
      <c r="C91" s="464"/>
      <c r="D91" s="464"/>
      <c r="E91" s="464"/>
      <c r="F91" s="465"/>
      <c r="J91" s="276">
        <v>1</v>
      </c>
      <c r="K91" s="276">
        <v>45.474952004517171</v>
      </c>
      <c r="L91" s="276">
        <v>1.7550479954828262</v>
      </c>
      <c r="M91" s="276">
        <v>1.5709447889254309</v>
      </c>
    </row>
    <row r="92" spans="2:18" ht="15" customHeight="1" x14ac:dyDescent="0.25">
      <c r="B92" s="463"/>
      <c r="C92" s="464"/>
      <c r="D92" s="464"/>
      <c r="E92" s="464"/>
      <c r="F92" s="465"/>
      <c r="J92" s="276">
        <v>2</v>
      </c>
      <c r="K92" s="276">
        <v>46.850544325239937</v>
      </c>
      <c r="L92" s="276">
        <v>1.1594556747600606</v>
      </c>
      <c r="M92" s="276">
        <v>1.0378296519197157</v>
      </c>
    </row>
    <row r="93" spans="2:18" ht="15" customHeight="1" x14ac:dyDescent="0.25">
      <c r="B93" s="466"/>
      <c r="C93" s="467"/>
      <c r="D93" s="467"/>
      <c r="E93" s="467"/>
      <c r="F93" s="468"/>
      <c r="J93" s="276">
        <v>3</v>
      </c>
      <c r="K93" s="276">
        <v>48.16435590953666</v>
      </c>
      <c r="L93" s="276">
        <v>-0.16435590953665979</v>
      </c>
      <c r="M93" s="276">
        <v>-0.14711509900598713</v>
      </c>
    </row>
    <row r="94" spans="2:18" ht="15" customHeight="1" x14ac:dyDescent="0.25">
      <c r="J94" s="276">
        <v>4</v>
      </c>
      <c r="K94" s="276">
        <v>49.416386757407338</v>
      </c>
      <c r="L94" s="276">
        <v>-1.3563867574073356</v>
      </c>
      <c r="M94" s="276">
        <v>-1.2141028130289484</v>
      </c>
    </row>
    <row r="95" spans="2:18" ht="15" customHeight="1" x14ac:dyDescent="0.25">
      <c r="J95" s="276">
        <v>5</v>
      </c>
      <c r="K95" s="276">
        <v>50.606636868851965</v>
      </c>
      <c r="L95" s="276">
        <v>-1.6166368688519626</v>
      </c>
      <c r="M95" s="276">
        <v>-1.4470528847326711</v>
      </c>
    </row>
    <row r="96" spans="2:18" ht="15" customHeight="1" x14ac:dyDescent="0.25">
      <c r="J96" s="276">
        <v>6</v>
      </c>
      <c r="K96" s="276">
        <v>51.735106243870547</v>
      </c>
      <c r="L96" s="276">
        <v>-1.0251062438705461</v>
      </c>
      <c r="M96" s="276">
        <v>-0.91757337465880962</v>
      </c>
    </row>
    <row r="97" spans="10:13" ht="15" customHeight="1" x14ac:dyDescent="0.25">
      <c r="J97" s="276">
        <v>7</v>
      </c>
      <c r="K97" s="276">
        <v>52.801794882463085</v>
      </c>
      <c r="L97" s="276">
        <v>-0.95179488246308352</v>
      </c>
      <c r="M97" s="276">
        <v>-0.8519523195831058</v>
      </c>
    </row>
    <row r="98" spans="10:13" ht="15" customHeight="1" x14ac:dyDescent="0.25">
      <c r="J98" s="276">
        <v>8</v>
      </c>
      <c r="K98" s="276">
        <v>53.806702784629572</v>
      </c>
      <c r="L98" s="276">
        <v>-0.74670278462956929</v>
      </c>
      <c r="M98" s="276">
        <v>-0.66837422760465393</v>
      </c>
    </row>
    <row r="99" spans="10:13" ht="15" customHeight="1" x14ac:dyDescent="0.25">
      <c r="J99" s="276">
        <v>9</v>
      </c>
      <c r="K99" s="276">
        <v>54.749829950370014</v>
      </c>
      <c r="L99" s="276">
        <v>-0.49982995037001388</v>
      </c>
      <c r="M99" s="276">
        <v>-0.44739816683281897</v>
      </c>
    </row>
    <row r="100" spans="10:13" ht="15" customHeight="1" x14ac:dyDescent="0.25">
      <c r="J100" s="276">
        <v>10</v>
      </c>
      <c r="K100" s="276">
        <v>55.631176379684412</v>
      </c>
      <c r="L100" s="276">
        <v>-1.1176379684414428E-2</v>
      </c>
      <c r="M100" s="276">
        <v>-1.0003985913475096E-2</v>
      </c>
    </row>
    <row r="101" spans="10:13" ht="15" customHeight="1" x14ac:dyDescent="0.25">
      <c r="J101" s="276">
        <v>11</v>
      </c>
      <c r="K101" s="276">
        <v>56.450742072572766</v>
      </c>
      <c r="L101" s="276">
        <v>0.5892579274272336</v>
      </c>
      <c r="M101" s="276">
        <v>0.52744521677320166</v>
      </c>
    </row>
    <row r="102" spans="10:13" ht="15" customHeight="1" x14ac:dyDescent="0.25">
      <c r="J102" s="276">
        <v>12</v>
      </c>
      <c r="K102" s="276">
        <v>57.208527029035068</v>
      </c>
      <c r="L102" s="276">
        <v>1.4014729709649316</v>
      </c>
      <c r="M102" s="276">
        <v>1.254459516904274</v>
      </c>
    </row>
    <row r="103" spans="10:13" ht="15" customHeight="1" x14ac:dyDescent="0.25">
      <c r="J103" s="276">
        <v>13</v>
      </c>
      <c r="K103" s="276">
        <v>57.904531249071326</v>
      </c>
      <c r="L103" s="276">
        <v>1.3354687509286762</v>
      </c>
      <c r="M103" s="276">
        <v>1.1953790895997676</v>
      </c>
    </row>
    <row r="104" spans="10:13" ht="15" customHeight="1" x14ac:dyDescent="0.25">
      <c r="J104" s="276">
        <v>14</v>
      </c>
      <c r="K104" s="276">
        <v>58.538754732681532</v>
      </c>
      <c r="L104" s="276">
        <v>1.27124526731847</v>
      </c>
      <c r="M104" s="276">
        <v>1.1378926008178267</v>
      </c>
    </row>
    <row r="105" spans="10:13" ht="15" customHeight="1" x14ac:dyDescent="0.25">
      <c r="J105" s="276">
        <v>15</v>
      </c>
      <c r="K105" s="276">
        <v>59.111197479865687</v>
      </c>
      <c r="L105" s="276">
        <v>1.978802520134316</v>
      </c>
      <c r="M105" s="276">
        <v>1.7712276332718289</v>
      </c>
    </row>
    <row r="106" spans="10:13" ht="15" customHeight="1" x14ac:dyDescent="0.25">
      <c r="J106" s="276">
        <v>16</v>
      </c>
      <c r="K106" s="276">
        <v>59.621859490623805</v>
      </c>
      <c r="L106" s="276">
        <v>-0.19185949062380558</v>
      </c>
      <c r="M106" s="276">
        <v>-0.17173357525099334</v>
      </c>
    </row>
    <row r="107" spans="10:13" ht="15" customHeight="1" x14ac:dyDescent="0.25">
      <c r="J107" s="276">
        <v>17</v>
      </c>
      <c r="K107" s="276">
        <v>60.070740764955872</v>
      </c>
      <c r="L107" s="276">
        <v>-1.2807407649558726</v>
      </c>
      <c r="M107" s="276">
        <v>-1.1463920279389794</v>
      </c>
    </row>
    <row r="108" spans="10:13" ht="15" customHeight="1" x14ac:dyDescent="0.25">
      <c r="J108" s="276">
        <v>18</v>
      </c>
      <c r="K108" s="276">
        <v>60.457841302861894</v>
      </c>
      <c r="L108" s="276">
        <v>-0.77784130286189423</v>
      </c>
      <c r="M108" s="276">
        <v>-0.69624633883912357</v>
      </c>
    </row>
    <row r="109" spans="10:13" ht="15" customHeight="1" x14ac:dyDescent="0.25">
      <c r="J109" s="276">
        <v>19</v>
      </c>
      <c r="K109" s="276">
        <v>60.783161104341865</v>
      </c>
      <c r="L109" s="276">
        <v>-0.82316110434186385</v>
      </c>
      <c r="M109" s="276">
        <v>-0.73681212744053848</v>
      </c>
    </row>
    <row r="110" spans="10:13" ht="15" customHeight="1" x14ac:dyDescent="0.25">
      <c r="J110" s="276">
        <v>20</v>
      </c>
      <c r="K110" s="276">
        <v>61.046700169395791</v>
      </c>
      <c r="L110" s="276">
        <v>-0.61670016939579142</v>
      </c>
      <c r="M110" s="276">
        <v>-0.55200878832674016</v>
      </c>
    </row>
    <row r="111" spans="10:13" ht="15" customHeight="1" thickBot="1" x14ac:dyDescent="0.3">
      <c r="J111" s="277">
        <v>21</v>
      </c>
      <c r="K111" s="277">
        <v>61.248458498023666</v>
      </c>
      <c r="L111" s="277">
        <v>0.57154150197633413</v>
      </c>
      <c r="M111" s="277">
        <v>0.51158723094483138</v>
      </c>
    </row>
  </sheetData>
  <mergeCells count="2">
    <mergeCell ref="B86:F93"/>
    <mergeCell ref="B2:K12"/>
  </mergeCells>
  <pageMargins left="0.75" right="0.75" top="1" bottom="1" header="0" footer="0"/>
  <pageSetup paperSize="9" orientation="portrait" horizontalDpi="2438" verticalDpi="2438"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2:W41"/>
  <sheetViews>
    <sheetView topLeftCell="F13" workbookViewId="0">
      <selection activeCell="P13" sqref="P13"/>
    </sheetView>
  </sheetViews>
  <sheetFormatPr baseColWidth="10" defaultColWidth="11.42578125" defaultRowHeight="15" x14ac:dyDescent="0.25"/>
  <cols>
    <col min="1" max="1" width="4.28515625" style="1" customWidth="1"/>
    <col min="2" max="2" width="6" style="20" bestFit="1" customWidth="1"/>
    <col min="3" max="3" width="7.5703125" style="20" bestFit="1" customWidth="1"/>
    <col min="4" max="4" width="8" style="20" bestFit="1" customWidth="1"/>
    <col min="5" max="5" width="10.85546875" style="20" bestFit="1" customWidth="1"/>
    <col min="6" max="6" width="11.140625" style="20" bestFit="1" customWidth="1"/>
    <col min="7" max="7" width="18.140625" style="20" bestFit="1" customWidth="1"/>
    <col min="8" max="8" width="15.85546875" style="20" bestFit="1" customWidth="1"/>
    <col min="9" max="9" width="16.28515625" style="20" bestFit="1" customWidth="1"/>
    <col min="10" max="10" width="19.28515625" style="20" bestFit="1" customWidth="1"/>
    <col min="11" max="11" width="14.7109375" style="20" bestFit="1" customWidth="1"/>
    <col min="12" max="14" width="11.42578125" style="1"/>
    <col min="15" max="15" width="32.85546875" style="1" bestFit="1" customWidth="1"/>
    <col min="16" max="16" width="17.7109375" style="1" bestFit="1" customWidth="1"/>
    <col min="17" max="17" width="19" style="1" bestFit="1" customWidth="1"/>
    <col min="18" max="18" width="25.42578125" style="1" bestFit="1" customWidth="1"/>
    <col min="19" max="19" width="12.7109375" style="1" bestFit="1" customWidth="1"/>
    <col min="20" max="20" width="15.85546875" style="1" bestFit="1" customWidth="1"/>
    <col min="21" max="21" width="12.85546875" style="1" bestFit="1" customWidth="1"/>
    <col min="22" max="22" width="13.5703125" style="1" bestFit="1" customWidth="1"/>
    <col min="23" max="23" width="14.42578125" style="1" bestFit="1" customWidth="1"/>
    <col min="24" max="16384" width="11.42578125" style="1"/>
  </cols>
  <sheetData>
    <row r="2" spans="2:20" x14ac:dyDescent="0.25">
      <c r="B2" s="42" t="s">
        <v>90</v>
      </c>
      <c r="C2" s="43" t="s">
        <v>91</v>
      </c>
      <c r="D2" s="44" t="s">
        <v>92</v>
      </c>
      <c r="E2" s="43" t="s">
        <v>97</v>
      </c>
      <c r="F2" s="43" t="s">
        <v>98</v>
      </c>
      <c r="G2" s="43" t="s">
        <v>99</v>
      </c>
      <c r="H2" s="43" t="s">
        <v>100</v>
      </c>
      <c r="I2" s="44" t="s">
        <v>101</v>
      </c>
      <c r="J2" s="42" t="s">
        <v>105</v>
      </c>
      <c r="K2" s="43" t="s">
        <v>106</v>
      </c>
      <c r="L2" s="101" t="s">
        <v>107</v>
      </c>
      <c r="M2" s="103" t="s">
        <v>111</v>
      </c>
      <c r="O2" s="1" t="s">
        <v>67</v>
      </c>
    </row>
    <row r="3" spans="2:20" ht="15.75" thickBot="1" x14ac:dyDescent="0.3">
      <c r="B3" s="45">
        <v>0.43</v>
      </c>
      <c r="C3" s="6">
        <v>2.1</v>
      </c>
      <c r="D3" s="7">
        <v>3</v>
      </c>
      <c r="E3" s="6">
        <f>C3^2</f>
        <v>4.41</v>
      </c>
      <c r="F3" s="6">
        <f>D3^2</f>
        <v>9</v>
      </c>
      <c r="G3" s="6">
        <f>C3*D3</f>
        <v>6.3000000000000007</v>
      </c>
      <c r="H3" s="6">
        <f>C3*B3</f>
        <v>0.90300000000000002</v>
      </c>
      <c r="I3" s="7">
        <f>D3*B3</f>
        <v>1.29</v>
      </c>
      <c r="J3" s="45">
        <f t="shared" ref="J3:J17" si="0">$L$20+$L$21*C3+$L$22*D3</f>
        <v>0.3826142878965324</v>
      </c>
      <c r="K3" s="6">
        <f>B3-J3</f>
        <v>4.7385712103467592E-2</v>
      </c>
      <c r="L3" s="96">
        <f>K3^2</f>
        <v>2.245405711552715E-3</v>
      </c>
      <c r="M3" s="104">
        <f>(B3-$L$27)^2</f>
        <v>1.1663999999999985E-2</v>
      </c>
    </row>
    <row r="4" spans="2:20" x14ac:dyDescent="0.25">
      <c r="B4" s="45">
        <v>0.31</v>
      </c>
      <c r="C4" s="6">
        <v>1.1000000000000001</v>
      </c>
      <c r="D4" s="7">
        <v>4</v>
      </c>
      <c r="E4" s="6">
        <f t="shared" ref="E4:F17" si="1">C4^2</f>
        <v>1.2100000000000002</v>
      </c>
      <c r="F4" s="6">
        <f t="shared" si="1"/>
        <v>16</v>
      </c>
      <c r="G4" s="6">
        <f t="shared" ref="G4:G17" si="2">C4*D4</f>
        <v>4.4000000000000004</v>
      </c>
      <c r="H4" s="6">
        <f t="shared" ref="H4:H17" si="3">C4*B4</f>
        <v>0.34100000000000003</v>
      </c>
      <c r="I4" s="7">
        <f t="shared" ref="I4:I17" si="4">D4*B4</f>
        <v>1.24</v>
      </c>
      <c r="J4" s="45">
        <f t="shared" si="0"/>
        <v>0.31080245939202616</v>
      </c>
      <c r="K4" s="6">
        <f t="shared" ref="K4:K17" si="5">B4-J4</f>
        <v>-8.024593920261669E-4</v>
      </c>
      <c r="L4" s="96">
        <f t="shared" ref="L4:L17" si="6">K4^2</f>
        <v>6.4394107585100544E-7</v>
      </c>
      <c r="M4" s="105">
        <f t="shared" ref="M4:M17" si="7">(B4-$L$27)^2</f>
        <v>5.1983999999999968E-2</v>
      </c>
      <c r="O4" s="61" t="s">
        <v>68</v>
      </c>
      <c r="P4" s="61"/>
    </row>
    <row r="5" spans="2:20" x14ac:dyDescent="0.25">
      <c r="B5" s="45">
        <v>0.32</v>
      </c>
      <c r="C5" s="6">
        <v>0.9</v>
      </c>
      <c r="D5" s="7">
        <v>5</v>
      </c>
      <c r="E5" s="6">
        <f t="shared" si="1"/>
        <v>0.81</v>
      </c>
      <c r="F5" s="6">
        <f t="shared" si="1"/>
        <v>25</v>
      </c>
      <c r="G5" s="6">
        <f t="shared" si="2"/>
        <v>4.5</v>
      </c>
      <c r="H5" s="6">
        <f t="shared" si="3"/>
        <v>0.28800000000000003</v>
      </c>
      <c r="I5" s="7">
        <f t="shared" si="4"/>
        <v>1.6</v>
      </c>
      <c r="J5" s="45">
        <f t="shared" si="0"/>
        <v>0.3579722490961863</v>
      </c>
      <c r="K5" s="6">
        <f t="shared" si="5"/>
        <v>-3.7972249096186295E-2</v>
      </c>
      <c r="L5" s="96">
        <f t="shared" si="6"/>
        <v>1.4418917014228209E-3</v>
      </c>
      <c r="M5" s="105">
        <f t="shared" si="7"/>
        <v>4.7523999999999962E-2</v>
      </c>
      <c r="O5" s="66" t="s">
        <v>69</v>
      </c>
      <c r="P5" s="66">
        <v>0.97449457691315755</v>
      </c>
    </row>
    <row r="6" spans="2:20" x14ac:dyDescent="0.25">
      <c r="B6" s="45">
        <v>0.46</v>
      </c>
      <c r="C6" s="6">
        <v>1.6</v>
      </c>
      <c r="D6" s="7">
        <v>4</v>
      </c>
      <c r="E6" s="6">
        <f t="shared" si="1"/>
        <v>2.5600000000000005</v>
      </c>
      <c r="F6" s="6">
        <f t="shared" si="1"/>
        <v>16</v>
      </c>
      <c r="G6" s="6">
        <f t="shared" si="2"/>
        <v>6.4</v>
      </c>
      <c r="H6" s="6">
        <f t="shared" si="3"/>
        <v>0.7360000000000001</v>
      </c>
      <c r="I6" s="7">
        <f t="shared" si="4"/>
        <v>1.84</v>
      </c>
      <c r="J6" s="45">
        <f t="shared" si="0"/>
        <v>0.38516597077244263</v>
      </c>
      <c r="K6" s="6">
        <f t="shared" si="5"/>
        <v>7.4834029227557386E-2</v>
      </c>
      <c r="L6" s="96">
        <f t="shared" si="6"/>
        <v>5.6001319304309133E-3</v>
      </c>
      <c r="M6" s="105">
        <f t="shared" si="7"/>
        <v>6.0839999999999853E-3</v>
      </c>
      <c r="O6" s="66" t="s">
        <v>70</v>
      </c>
      <c r="P6" s="66">
        <v>0.94963968043315394</v>
      </c>
    </row>
    <row r="7" spans="2:20" x14ac:dyDescent="0.25">
      <c r="B7" s="45">
        <v>1.25</v>
      </c>
      <c r="C7" s="6">
        <v>6.2</v>
      </c>
      <c r="D7" s="7">
        <v>4</v>
      </c>
      <c r="E7" s="6">
        <f t="shared" si="1"/>
        <v>38.440000000000005</v>
      </c>
      <c r="F7" s="6">
        <f t="shared" si="1"/>
        <v>16</v>
      </c>
      <c r="G7" s="6">
        <f t="shared" si="2"/>
        <v>24.8</v>
      </c>
      <c r="H7" s="6">
        <f t="shared" si="3"/>
        <v>7.75</v>
      </c>
      <c r="I7" s="7">
        <f t="shared" si="4"/>
        <v>5</v>
      </c>
      <c r="J7" s="45">
        <f t="shared" si="0"/>
        <v>1.0693102754722743</v>
      </c>
      <c r="K7" s="6">
        <f t="shared" si="5"/>
        <v>0.18068972452772569</v>
      </c>
      <c r="L7" s="96">
        <f t="shared" si="6"/>
        <v>3.2648776549905396E-2</v>
      </c>
      <c r="M7" s="105">
        <f t="shared" si="7"/>
        <v>0.50694400000000006</v>
      </c>
      <c r="O7" s="66" t="s">
        <v>71</v>
      </c>
      <c r="P7" s="66">
        <v>0.94124629383867964</v>
      </c>
    </row>
    <row r="8" spans="2:20" x14ac:dyDescent="0.25">
      <c r="B8" s="45">
        <v>0.44</v>
      </c>
      <c r="C8" s="6">
        <v>2.2999999999999998</v>
      </c>
      <c r="D8" s="7">
        <v>3</v>
      </c>
      <c r="E8" s="6">
        <f t="shared" si="1"/>
        <v>5.2899999999999991</v>
      </c>
      <c r="F8" s="6">
        <f t="shared" si="1"/>
        <v>9</v>
      </c>
      <c r="G8" s="6">
        <f t="shared" si="2"/>
        <v>6.8999999999999995</v>
      </c>
      <c r="H8" s="6">
        <f t="shared" si="3"/>
        <v>1.012</v>
      </c>
      <c r="I8" s="7">
        <f t="shared" si="4"/>
        <v>1.32</v>
      </c>
      <c r="J8" s="45">
        <f t="shared" si="0"/>
        <v>0.41235969244869897</v>
      </c>
      <c r="K8" s="6">
        <f t="shared" si="5"/>
        <v>2.7640307551301035E-2</v>
      </c>
      <c r="L8" s="96">
        <f t="shared" si="6"/>
        <v>7.6398660153050902E-4</v>
      </c>
      <c r="M8" s="105">
        <f t="shared" si="7"/>
        <v>9.6039999999999841E-3</v>
      </c>
      <c r="O8" s="66" t="s">
        <v>36</v>
      </c>
      <c r="P8" s="66">
        <v>7.7512282846376179E-2</v>
      </c>
    </row>
    <row r="9" spans="2:20" ht="15.75" thickBot="1" x14ac:dyDescent="0.3">
      <c r="B9" s="45">
        <v>0.52</v>
      </c>
      <c r="C9" s="6">
        <v>1.8</v>
      </c>
      <c r="D9" s="7">
        <v>6</v>
      </c>
      <c r="E9" s="6">
        <f t="shared" si="1"/>
        <v>3.24</v>
      </c>
      <c r="F9" s="6">
        <f t="shared" si="1"/>
        <v>36</v>
      </c>
      <c r="G9" s="6">
        <f t="shared" si="2"/>
        <v>10.8</v>
      </c>
      <c r="H9" s="6">
        <f t="shared" si="3"/>
        <v>0.93600000000000005</v>
      </c>
      <c r="I9" s="7">
        <f t="shared" si="4"/>
        <v>3.12</v>
      </c>
      <c r="J9" s="45">
        <f t="shared" si="0"/>
        <v>0.56874176383726271</v>
      </c>
      <c r="K9" s="6">
        <f t="shared" si="5"/>
        <v>-4.8741763837262697E-2</v>
      </c>
      <c r="L9" s="96">
        <f t="shared" si="6"/>
        <v>2.3757595419674894E-3</v>
      </c>
      <c r="M9" s="105">
        <f t="shared" si="7"/>
        <v>3.239999999999966E-4</v>
      </c>
      <c r="O9" s="67" t="s">
        <v>72</v>
      </c>
      <c r="P9" s="67">
        <v>15</v>
      </c>
    </row>
    <row r="10" spans="2:20" x14ac:dyDescent="0.25">
      <c r="B10" s="45">
        <v>0.28999999999999998</v>
      </c>
      <c r="C10" s="6">
        <v>1</v>
      </c>
      <c r="D10" s="7">
        <v>5</v>
      </c>
      <c r="E10" s="6">
        <f t="shared" si="1"/>
        <v>1</v>
      </c>
      <c r="F10" s="6">
        <f t="shared" si="1"/>
        <v>25</v>
      </c>
      <c r="G10" s="6">
        <f t="shared" si="2"/>
        <v>5</v>
      </c>
      <c r="H10" s="6">
        <f t="shared" si="3"/>
        <v>0.28999999999999998</v>
      </c>
      <c r="I10" s="7">
        <f t="shared" si="4"/>
        <v>1.45</v>
      </c>
      <c r="J10" s="45">
        <f t="shared" si="0"/>
        <v>0.37284495137226958</v>
      </c>
      <c r="K10" s="6">
        <f t="shared" si="5"/>
        <v>-8.2844951372269604E-2</v>
      </c>
      <c r="L10" s="96">
        <f t="shared" si="6"/>
        <v>6.8632859678737154E-3</v>
      </c>
      <c r="M10" s="105">
        <f t="shared" si="7"/>
        <v>6.1503999999999968E-2</v>
      </c>
    </row>
    <row r="11" spans="2:20" ht="15.75" thickBot="1" x14ac:dyDescent="0.3">
      <c r="B11" s="45">
        <v>1.29</v>
      </c>
      <c r="C11" s="6">
        <v>8.9</v>
      </c>
      <c r="D11" s="7">
        <v>3</v>
      </c>
      <c r="E11" s="6">
        <f t="shared" si="1"/>
        <v>79.210000000000008</v>
      </c>
      <c r="F11" s="6">
        <f t="shared" si="1"/>
        <v>9</v>
      </c>
      <c r="G11" s="6">
        <f t="shared" si="2"/>
        <v>26.700000000000003</v>
      </c>
      <c r="H11" s="6">
        <f t="shared" si="3"/>
        <v>11.481000000000002</v>
      </c>
      <c r="I11" s="7">
        <f t="shared" si="4"/>
        <v>3.87</v>
      </c>
      <c r="J11" s="45">
        <f t="shared" si="0"/>
        <v>1.3939580426701967</v>
      </c>
      <c r="K11" s="6">
        <f t="shared" si="5"/>
        <v>-0.1039580426701967</v>
      </c>
      <c r="L11" s="96">
        <f t="shared" si="6"/>
        <v>1.0807274635818438E-2</v>
      </c>
      <c r="M11" s="105">
        <f t="shared" si="7"/>
        <v>0.56550400000000012</v>
      </c>
      <c r="O11" s="1" t="s">
        <v>73</v>
      </c>
    </row>
    <row r="12" spans="2:20" x14ac:dyDescent="0.25">
      <c r="B12" s="45">
        <v>0.35</v>
      </c>
      <c r="C12" s="6">
        <v>2.4</v>
      </c>
      <c r="D12" s="7">
        <v>2</v>
      </c>
      <c r="E12" s="6">
        <f t="shared" si="1"/>
        <v>5.76</v>
      </c>
      <c r="F12" s="6">
        <f t="shared" si="1"/>
        <v>4</v>
      </c>
      <c r="G12" s="6">
        <f t="shared" si="2"/>
        <v>4.8</v>
      </c>
      <c r="H12" s="6">
        <f t="shared" si="3"/>
        <v>0.84</v>
      </c>
      <c r="I12" s="7">
        <f t="shared" si="4"/>
        <v>0.7</v>
      </c>
      <c r="J12" s="45">
        <f t="shared" si="0"/>
        <v>0.3503172004684556</v>
      </c>
      <c r="K12" s="6">
        <f t="shared" si="5"/>
        <v>-3.1720046845562511E-4</v>
      </c>
      <c r="L12" s="96">
        <f t="shared" si="6"/>
        <v>1.0061613718846802E-7</v>
      </c>
      <c r="M12" s="105">
        <f t="shared" si="7"/>
        <v>3.534399999999998E-2</v>
      </c>
      <c r="O12" s="64"/>
      <c r="P12" s="65" t="s">
        <v>78</v>
      </c>
      <c r="Q12" s="65" t="s">
        <v>79</v>
      </c>
      <c r="R12" s="64" t="s">
        <v>80</v>
      </c>
      <c r="S12" s="64" t="s">
        <v>81</v>
      </c>
      <c r="T12" s="64" t="s">
        <v>82</v>
      </c>
    </row>
    <row r="13" spans="2:20" x14ac:dyDescent="0.25">
      <c r="B13" s="45">
        <v>0.35</v>
      </c>
      <c r="C13" s="6">
        <v>1.2</v>
      </c>
      <c r="D13" s="7">
        <v>4</v>
      </c>
      <c r="E13" s="6">
        <f t="shared" si="1"/>
        <v>1.44</v>
      </c>
      <c r="F13" s="6">
        <f t="shared" si="1"/>
        <v>16</v>
      </c>
      <c r="G13" s="6">
        <f t="shared" si="2"/>
        <v>4.8</v>
      </c>
      <c r="H13" s="6">
        <f t="shared" si="3"/>
        <v>0.42</v>
      </c>
      <c r="I13" s="7">
        <f t="shared" si="4"/>
        <v>1.4</v>
      </c>
      <c r="J13" s="45">
        <f t="shared" si="0"/>
        <v>0.32567516166810945</v>
      </c>
      <c r="K13" s="6">
        <f t="shared" si="5"/>
        <v>2.432483833189053E-2</v>
      </c>
      <c r="L13" s="96">
        <f t="shared" si="6"/>
        <v>5.9169775987261088E-4</v>
      </c>
      <c r="M13" s="105">
        <f t="shared" si="7"/>
        <v>3.534399999999998E-2</v>
      </c>
      <c r="O13" s="62" t="s">
        <v>74</v>
      </c>
      <c r="P13" s="66">
        <v>2</v>
      </c>
      <c r="Q13" s="66">
        <v>1.3595421520953206</v>
      </c>
      <c r="R13" s="62">
        <v>0.67977107604766029</v>
      </c>
      <c r="S13" s="62">
        <v>113.14142030087534</v>
      </c>
      <c r="T13" s="62">
        <v>1.6312888352986931E-8</v>
      </c>
    </row>
    <row r="14" spans="2:20" x14ac:dyDescent="0.25">
      <c r="B14" s="45">
        <v>0.78</v>
      </c>
      <c r="C14" s="6">
        <v>4.7</v>
      </c>
      <c r="D14" s="7">
        <v>3</v>
      </c>
      <c r="E14" s="6">
        <f t="shared" si="1"/>
        <v>22.090000000000003</v>
      </c>
      <c r="F14" s="6">
        <f t="shared" si="1"/>
        <v>9</v>
      </c>
      <c r="G14" s="6">
        <f t="shared" si="2"/>
        <v>14.100000000000001</v>
      </c>
      <c r="H14" s="6">
        <f t="shared" si="3"/>
        <v>3.6660000000000004</v>
      </c>
      <c r="I14" s="7">
        <f t="shared" si="4"/>
        <v>2.34</v>
      </c>
      <c r="J14" s="45">
        <f t="shared" si="0"/>
        <v>0.7693045470746982</v>
      </c>
      <c r="K14" s="6">
        <f t="shared" si="5"/>
        <v>1.0695452925301829E-2</v>
      </c>
      <c r="L14" s="96">
        <f t="shared" si="6"/>
        <v>1.1439271327734746E-4</v>
      </c>
      <c r="M14" s="105">
        <f t="shared" si="7"/>
        <v>5.8564000000000054E-2</v>
      </c>
      <c r="O14" s="62" t="s">
        <v>75</v>
      </c>
      <c r="P14" s="66">
        <v>12</v>
      </c>
      <c r="Q14" s="66">
        <v>7.2097847904679463E-2</v>
      </c>
      <c r="R14" s="62">
        <v>6.0081539920566222E-3</v>
      </c>
      <c r="S14" s="62"/>
      <c r="T14" s="62"/>
    </row>
    <row r="15" spans="2:20" ht="15.75" thickBot="1" x14ac:dyDescent="0.3">
      <c r="B15" s="45">
        <v>0.43</v>
      </c>
      <c r="C15" s="6">
        <v>3.5</v>
      </c>
      <c r="D15" s="7">
        <v>2</v>
      </c>
      <c r="E15" s="6">
        <f t="shared" si="1"/>
        <v>12.25</v>
      </c>
      <c r="F15" s="6">
        <f t="shared" si="1"/>
        <v>4</v>
      </c>
      <c r="G15" s="6">
        <f t="shared" si="2"/>
        <v>7</v>
      </c>
      <c r="H15" s="6">
        <f t="shared" si="3"/>
        <v>1.5049999999999999</v>
      </c>
      <c r="I15" s="7">
        <f t="shared" si="4"/>
        <v>0.86</v>
      </c>
      <c r="J15" s="45">
        <f t="shared" si="0"/>
        <v>0.51391692550537182</v>
      </c>
      <c r="K15" s="6">
        <f t="shared" si="5"/>
        <v>-8.3916925505371831E-2</v>
      </c>
      <c r="L15" s="96">
        <f t="shared" si="6"/>
        <v>7.0420503862741258E-3</v>
      </c>
      <c r="M15" s="105">
        <f t="shared" si="7"/>
        <v>1.1663999999999985E-2</v>
      </c>
      <c r="O15" s="63" t="s">
        <v>76</v>
      </c>
      <c r="P15" s="67">
        <v>14</v>
      </c>
      <c r="Q15" s="67">
        <v>1.43164</v>
      </c>
      <c r="R15" s="63"/>
      <c r="S15" s="63"/>
      <c r="T15" s="63"/>
    </row>
    <row r="16" spans="2:20" ht="15.75" thickBot="1" x14ac:dyDescent="0.3">
      <c r="B16" s="45">
        <v>0.47</v>
      </c>
      <c r="C16" s="6">
        <v>2.9</v>
      </c>
      <c r="D16" s="7">
        <v>3</v>
      </c>
      <c r="E16" s="6">
        <f t="shared" si="1"/>
        <v>8.41</v>
      </c>
      <c r="F16" s="6">
        <f t="shared" si="1"/>
        <v>9</v>
      </c>
      <c r="G16" s="6">
        <f t="shared" si="2"/>
        <v>8.6999999999999993</v>
      </c>
      <c r="H16" s="6">
        <f t="shared" si="3"/>
        <v>1.363</v>
      </c>
      <c r="I16" s="7">
        <f t="shared" si="4"/>
        <v>1.41</v>
      </c>
      <c r="J16" s="45">
        <f t="shared" si="0"/>
        <v>0.50159590610519877</v>
      </c>
      <c r="K16" s="6">
        <f t="shared" si="5"/>
        <v>-3.1595906105198801E-2</v>
      </c>
      <c r="L16" s="96">
        <f t="shared" si="6"/>
        <v>9.9830128260853883E-4</v>
      </c>
      <c r="M16" s="105">
        <f t="shared" si="7"/>
        <v>4.6239999999999927E-3</v>
      </c>
    </row>
    <row r="17" spans="2:23" x14ac:dyDescent="0.25">
      <c r="B17" s="45">
        <v>0.38</v>
      </c>
      <c r="C17" s="6">
        <v>1.4</v>
      </c>
      <c r="D17" s="7">
        <v>4</v>
      </c>
      <c r="E17" s="6">
        <f t="shared" si="1"/>
        <v>1.9599999999999997</v>
      </c>
      <c r="F17" s="6">
        <f t="shared" si="1"/>
        <v>16</v>
      </c>
      <c r="G17" s="6">
        <f t="shared" si="2"/>
        <v>5.6</v>
      </c>
      <c r="H17" s="6">
        <f t="shared" si="3"/>
        <v>0.53199999999999992</v>
      </c>
      <c r="I17" s="7">
        <f t="shared" si="4"/>
        <v>1.52</v>
      </c>
      <c r="J17" s="46">
        <f t="shared" si="0"/>
        <v>0.35542056622027607</v>
      </c>
      <c r="K17" s="9">
        <f t="shared" si="5"/>
        <v>2.4579433779723936E-2</v>
      </c>
      <c r="L17" s="102">
        <f t="shared" si="6"/>
        <v>6.0414856493183405E-4</v>
      </c>
      <c r="M17" s="106">
        <f t="shared" si="7"/>
        <v>2.4963999999999976E-2</v>
      </c>
      <c r="O17" s="65"/>
      <c r="P17" s="65" t="s">
        <v>83</v>
      </c>
      <c r="Q17" s="64" t="s">
        <v>36</v>
      </c>
      <c r="R17" s="64" t="s">
        <v>84</v>
      </c>
      <c r="S17" s="64" t="s">
        <v>85</v>
      </c>
      <c r="T17" s="64" t="s">
        <v>86</v>
      </c>
      <c r="U17" s="64" t="s">
        <v>87</v>
      </c>
      <c r="V17" s="64" t="s">
        <v>88</v>
      </c>
      <c r="W17" s="64" t="s">
        <v>89</v>
      </c>
    </row>
    <row r="18" spans="2:23" x14ac:dyDescent="0.25">
      <c r="B18" s="42">
        <f>SUM(B3:B17)</f>
        <v>8.0699999999999985</v>
      </c>
      <c r="C18" s="43">
        <f t="shared" ref="C18:I18" si="8">SUM(C3:C17)</f>
        <v>42</v>
      </c>
      <c r="D18" s="44">
        <f t="shared" si="8"/>
        <v>55</v>
      </c>
      <c r="E18" s="43">
        <f t="shared" si="8"/>
        <v>188.08</v>
      </c>
      <c r="F18" s="43">
        <f t="shared" si="8"/>
        <v>219</v>
      </c>
      <c r="G18" s="43">
        <f t="shared" si="8"/>
        <v>140.79999999999998</v>
      </c>
      <c r="H18" s="43">
        <f t="shared" si="8"/>
        <v>32.063000000000002</v>
      </c>
      <c r="I18" s="44">
        <f t="shared" si="8"/>
        <v>28.959999999999997</v>
      </c>
      <c r="J18" s="42"/>
      <c r="K18" s="43"/>
      <c r="L18" s="78">
        <f>SUM(L3:L17)</f>
        <v>7.2097847904679491E-2</v>
      </c>
      <c r="M18" s="10">
        <f>SUM(M3:M17)</f>
        <v>1.43164</v>
      </c>
      <c r="O18" s="66" t="s">
        <v>77</v>
      </c>
      <c r="P18" s="66">
        <v>-0.16045804267019692</v>
      </c>
      <c r="Q18" s="62">
        <v>9.0389103302262713E-2</v>
      </c>
      <c r="R18" s="62">
        <v>-1.7751923274824672</v>
      </c>
      <c r="S18" s="62">
        <v>0.10121136469144064</v>
      </c>
      <c r="T18" s="62">
        <v>-0.35739898060728337</v>
      </c>
      <c r="U18" s="62">
        <v>3.6482895266889526E-2</v>
      </c>
      <c r="V18" s="62">
        <v>-0.35739898060728337</v>
      </c>
      <c r="W18" s="62">
        <v>3.6482895266889526E-2</v>
      </c>
    </row>
    <row r="19" spans="2:23" x14ac:dyDescent="0.25">
      <c r="L19" s="84"/>
      <c r="M19" s="97"/>
      <c r="O19" s="66" t="s">
        <v>91</v>
      </c>
      <c r="P19" s="66">
        <v>0.14872702276083297</v>
      </c>
      <c r="Q19" s="62">
        <v>9.9713169971110977E-3</v>
      </c>
      <c r="R19" s="62">
        <v>14.915484364194052</v>
      </c>
      <c r="S19" s="62">
        <v>4.1457706878914763E-9</v>
      </c>
      <c r="T19" s="62">
        <v>0.12700138935884842</v>
      </c>
      <c r="U19" s="62">
        <v>0.17045265616281752</v>
      </c>
      <c r="V19" s="62">
        <v>0.12700138935884842</v>
      </c>
      <c r="W19" s="62">
        <v>0.17045265616281752</v>
      </c>
    </row>
    <row r="20" spans="2:23" ht="15.75" thickBot="1" x14ac:dyDescent="0.3">
      <c r="K20" s="85" t="s">
        <v>102</v>
      </c>
      <c r="L20" s="88">
        <f>P18</f>
        <v>-0.16045804267019692</v>
      </c>
      <c r="M20" s="87"/>
      <c r="O20" s="67" t="s">
        <v>92</v>
      </c>
      <c r="P20" s="67">
        <v>7.6915194256326702E-2</v>
      </c>
      <c r="Q20" s="63">
        <v>2.0106867977122227E-2</v>
      </c>
      <c r="R20" s="63">
        <v>3.8253195049493285</v>
      </c>
      <c r="S20" s="63">
        <v>2.4160201046074282E-3</v>
      </c>
      <c r="T20" s="63">
        <v>3.3106092343347639E-2</v>
      </c>
      <c r="U20" s="63">
        <v>0.12072429616930577</v>
      </c>
      <c r="V20" s="63">
        <v>3.3106092343347639E-2</v>
      </c>
      <c r="W20" s="63">
        <v>0.12072429616930577</v>
      </c>
    </row>
    <row r="21" spans="2:23" x14ac:dyDescent="0.25">
      <c r="K21" s="89" t="s">
        <v>103</v>
      </c>
      <c r="L21" s="90">
        <f>P19</f>
        <v>0.14872702276083297</v>
      </c>
      <c r="M21" s="87"/>
    </row>
    <row r="22" spans="2:23" x14ac:dyDescent="0.25">
      <c r="K22" s="91" t="s">
        <v>104</v>
      </c>
      <c r="L22" s="92">
        <f>P20</f>
        <v>7.6915194256326702E-2</v>
      </c>
      <c r="M22" s="87"/>
    </row>
    <row r="23" spans="2:23" x14ac:dyDescent="0.25">
      <c r="K23" s="86"/>
    </row>
    <row r="24" spans="2:23" x14ac:dyDescent="0.25">
      <c r="K24" s="94" t="s">
        <v>108</v>
      </c>
      <c r="L24" s="88">
        <f>L18/(15-2-1)</f>
        <v>6.0081539920566239E-3</v>
      </c>
      <c r="M24" s="87"/>
      <c r="O24" s="1" t="s">
        <v>93</v>
      </c>
    </row>
    <row r="25" spans="2:23" ht="15.75" thickBot="1" x14ac:dyDescent="0.3">
      <c r="K25" s="95" t="s">
        <v>109</v>
      </c>
      <c r="L25" s="92">
        <f>SQRT(L24)</f>
        <v>7.7512282846376179E-2</v>
      </c>
      <c r="M25" s="87"/>
    </row>
    <row r="26" spans="2:23" x14ac:dyDescent="0.25">
      <c r="O26" s="65" t="s">
        <v>94</v>
      </c>
      <c r="P26" s="65" t="s">
        <v>95</v>
      </c>
      <c r="Q26" s="65" t="s">
        <v>75</v>
      </c>
      <c r="R26" s="64" t="s">
        <v>96</v>
      </c>
    </row>
    <row r="27" spans="2:23" x14ac:dyDescent="0.25">
      <c r="K27" s="98" t="s">
        <v>110</v>
      </c>
      <c r="L27" s="88">
        <f>AVERAGE(B3:B17)</f>
        <v>0.53799999999999992</v>
      </c>
      <c r="O27" s="66">
        <v>1</v>
      </c>
      <c r="P27" s="66">
        <v>0.3826142878965324</v>
      </c>
      <c r="Q27" s="66">
        <v>4.7385712103467592E-2</v>
      </c>
      <c r="R27" s="62">
        <v>0.66031365540826559</v>
      </c>
    </row>
    <row r="28" spans="2:23" x14ac:dyDescent="0.25">
      <c r="K28" s="99" t="s">
        <v>111</v>
      </c>
      <c r="L28" s="90">
        <f>M18</f>
        <v>1.43164</v>
      </c>
      <c r="O28" s="66">
        <v>2</v>
      </c>
      <c r="P28" s="66">
        <v>0.31080245939202616</v>
      </c>
      <c r="Q28" s="66">
        <v>-8.024593920261669E-4</v>
      </c>
      <c r="R28" s="62">
        <v>-1.1182165909177453E-2</v>
      </c>
    </row>
    <row r="29" spans="2:23" x14ac:dyDescent="0.25">
      <c r="K29" s="99" t="s">
        <v>112</v>
      </c>
      <c r="L29" s="90">
        <f>L28-L18</f>
        <v>1.3595421520953206</v>
      </c>
      <c r="O29" s="66">
        <v>3</v>
      </c>
      <c r="P29" s="66">
        <v>0.3579722490961863</v>
      </c>
      <c r="Q29" s="66">
        <v>-3.7972249096186295E-2</v>
      </c>
      <c r="R29" s="62">
        <v>-0.52913828856317102</v>
      </c>
    </row>
    <row r="30" spans="2:23" x14ac:dyDescent="0.25">
      <c r="K30" s="100" t="s">
        <v>113</v>
      </c>
      <c r="L30" s="90">
        <f>L29/L28</f>
        <v>0.94963968043315394</v>
      </c>
      <c r="O30" s="66">
        <v>4</v>
      </c>
      <c r="P30" s="66">
        <v>0.38516597077244263</v>
      </c>
      <c r="Q30" s="66">
        <v>7.4834029227557386E-2</v>
      </c>
      <c r="R30" s="62">
        <v>1.0428023383985696</v>
      </c>
    </row>
    <row r="31" spans="2:23" x14ac:dyDescent="0.25">
      <c r="K31" s="99" t="s">
        <v>114</v>
      </c>
      <c r="L31" s="90">
        <f>SQRT(L30)</f>
        <v>0.97449457691315755</v>
      </c>
      <c r="O31" s="66">
        <v>5</v>
      </c>
      <c r="P31" s="66">
        <v>1.0693102754722743</v>
      </c>
      <c r="Q31" s="66">
        <v>0.18068972452772569</v>
      </c>
      <c r="R31" s="62">
        <v>2.5178875066200406</v>
      </c>
    </row>
    <row r="32" spans="2:23" x14ac:dyDescent="0.25">
      <c r="K32" s="95" t="s">
        <v>115</v>
      </c>
      <c r="L32" s="92">
        <f>1-L24/(M18/(15-1))</f>
        <v>0.94124629383867964</v>
      </c>
      <c r="O32" s="66">
        <v>6</v>
      </c>
      <c r="P32" s="66">
        <v>0.41235969244869897</v>
      </c>
      <c r="Q32" s="66">
        <v>2.7640307551301035E-2</v>
      </c>
      <c r="R32" s="62">
        <v>0.3851640443000261</v>
      </c>
    </row>
    <row r="33" spans="15:18" x14ac:dyDescent="0.25">
      <c r="O33" s="66">
        <v>7</v>
      </c>
      <c r="P33" s="66">
        <v>0.56874176383726271</v>
      </c>
      <c r="Q33" s="66">
        <v>-4.8741763837262697E-2</v>
      </c>
      <c r="R33" s="62">
        <v>-0.67921005766787068</v>
      </c>
    </row>
    <row r="34" spans="15:18" x14ac:dyDescent="0.25">
      <c r="O34" s="66">
        <v>8</v>
      </c>
      <c r="P34" s="66">
        <v>0.37284495137226958</v>
      </c>
      <c r="Q34" s="66">
        <v>-8.2844951372269604E-2</v>
      </c>
      <c r="R34" s="62">
        <v>-1.1544334830992282</v>
      </c>
    </row>
    <row r="35" spans="15:18" x14ac:dyDescent="0.25">
      <c r="O35" s="66">
        <v>9</v>
      </c>
      <c r="P35" s="66">
        <v>1.3939580426701967</v>
      </c>
      <c r="Q35" s="66">
        <v>-0.1039580426701967</v>
      </c>
      <c r="R35" s="62">
        <v>-1.4486416288259756</v>
      </c>
    </row>
    <row r="36" spans="15:18" x14ac:dyDescent="0.25">
      <c r="O36" s="66">
        <v>10</v>
      </c>
      <c r="P36" s="66">
        <v>0.3503172004684556</v>
      </c>
      <c r="Q36" s="66">
        <v>-3.1720046845562511E-4</v>
      </c>
      <c r="R36" s="62">
        <v>-4.4201467388694324E-3</v>
      </c>
    </row>
    <row r="37" spans="15:18" x14ac:dyDescent="0.25">
      <c r="O37" s="66">
        <v>11</v>
      </c>
      <c r="P37" s="66">
        <v>0.32567516166810945</v>
      </c>
      <c r="Q37" s="66">
        <v>2.432483833189053E-2</v>
      </c>
      <c r="R37" s="62">
        <v>0.33896341751863951</v>
      </c>
    </row>
    <row r="38" spans="15:18" x14ac:dyDescent="0.25">
      <c r="O38" s="66">
        <v>12</v>
      </c>
      <c r="P38" s="66">
        <v>0.7693045470746982</v>
      </c>
      <c r="Q38" s="66">
        <v>1.0695452925301829E-2</v>
      </c>
      <c r="R38" s="62">
        <v>0.14903972745903443</v>
      </c>
    </row>
    <row r="39" spans="15:18" x14ac:dyDescent="0.25">
      <c r="O39" s="66">
        <v>13</v>
      </c>
      <c r="P39" s="66">
        <v>0.51391692550537182</v>
      </c>
      <c r="Q39" s="66">
        <v>-8.3916925505371831E-2</v>
      </c>
      <c r="R39" s="62">
        <v>-1.1693713014185196</v>
      </c>
    </row>
    <row r="40" spans="15:18" x14ac:dyDescent="0.25">
      <c r="O40" s="66">
        <v>14</v>
      </c>
      <c r="P40" s="66">
        <v>0.50159590610519877</v>
      </c>
      <c r="Q40" s="66">
        <v>-3.1595906105198801E-2</v>
      </c>
      <c r="R40" s="62">
        <v>-0.44028478902469481</v>
      </c>
    </row>
    <row r="41" spans="15:18" ht="15.75" thickBot="1" x14ac:dyDescent="0.3">
      <c r="O41" s="67">
        <v>15</v>
      </c>
      <c r="P41" s="67">
        <v>0.35542056622027607</v>
      </c>
      <c r="Q41" s="67">
        <v>2.4579433779723936E-2</v>
      </c>
      <c r="R41" s="63">
        <v>0.34251117154293492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31</vt:i4>
      </vt:variant>
    </vt:vector>
  </HeadingPairs>
  <TitlesOfParts>
    <vt:vector size="31" baseType="lpstr">
      <vt:lpstr>Estadística Descriptiva 1 Soluc</vt:lpstr>
      <vt:lpstr>Gini - Lorenz Soluc.</vt:lpstr>
      <vt:lpstr>Capacidad de un Proceso Soluc</vt:lpstr>
      <vt:lpstr>Contingencia y Marginales Soluc</vt:lpstr>
      <vt:lpstr>Correlaciones y Covarianzas Sol</vt:lpstr>
      <vt:lpstr>Mod Regresión Lineal Simp Sol </vt:lpstr>
      <vt:lpstr>Regresión Logarítmica Soluc.</vt:lpstr>
      <vt:lpstr>Regresión Cuadrática Soluc.</vt:lpstr>
      <vt:lpstr>Modelo Regresión Múltiple Soluc</vt:lpstr>
      <vt:lpstr>Intervalos de confianza 1 Soluc</vt:lpstr>
      <vt:lpstr>Intervalos de Confianza 2 Soluc</vt:lpstr>
      <vt:lpstr>Intervalos de Confianza 3 Soluc</vt:lpstr>
      <vt:lpstr>Intervalos de Confianza 4 Soluc</vt:lpstr>
      <vt:lpstr>Intervalos de Confianza 5 Soluc</vt:lpstr>
      <vt:lpstr>Contraste de Hipótesis 1 Soluc.</vt:lpstr>
      <vt:lpstr>Contraste de Hipótesis 2 Soluc.</vt:lpstr>
      <vt:lpstr>Contraste de Hipótesis 3 Soluc.</vt:lpstr>
      <vt:lpstr>Contraste de Hipótesis 4 Soluc.</vt:lpstr>
      <vt:lpstr>Contraste de Hipótesis 5 Soluc.</vt:lpstr>
      <vt:lpstr>Contraste Chi-Cuadrado 1 Soluc</vt:lpstr>
      <vt:lpstr>Contraste Chi-Cuadrado 2 Soluc</vt:lpstr>
      <vt:lpstr>Análisis de Varianza 1 Soluc.</vt:lpstr>
      <vt:lpstr>Análisis de Varianza 2 Soluc.</vt:lpstr>
      <vt:lpstr>Análisis de Varianza 3 Soluc.</vt:lpstr>
      <vt:lpstr>REGRESIÓN LOGÍSTICA MÚLTIPLE</vt:lpstr>
      <vt:lpstr>VECINOS CERCANOS</vt:lpstr>
      <vt:lpstr>DENDOGRAMAS</vt:lpstr>
      <vt:lpstr>SEGMENTACIONES</vt:lpstr>
      <vt:lpstr>ANÁLISIS DISCRIMINANTE LINEAL</vt:lpstr>
      <vt:lpstr>GRÁFICOS DE DENSIDAD</vt:lpstr>
      <vt:lpstr>ANCHO MEDIO DE SILUETA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Iván Guerrero</dc:creator>
  <cp:lastModifiedBy>Iván Guerrero</cp:lastModifiedBy>
  <dcterms:created xsi:type="dcterms:W3CDTF">2016-05-14T09:31:03Z</dcterms:created>
  <dcterms:modified xsi:type="dcterms:W3CDTF">2020-01-26T22:44:29Z</dcterms:modified>
</cp:coreProperties>
</file>