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atrenery_bryant_edu/Documents/Desktop/GSCM 330/Module 10/"/>
    </mc:Choice>
  </mc:AlternateContent>
  <xr:revisionPtr revIDLastSave="3224" documentId="8_{CF178EC8-B655-41E4-8648-D2AE8AAFC494}" xr6:coauthVersionLast="47" xr6:coauthVersionMax="47" xr10:uidLastSave="{F3FE2C95-2F9E-48AA-96D2-02D9D895C933}"/>
  <bookViews>
    <workbookView xWindow="-110" yWindow="-110" windowWidth="19420" windowHeight="10300" xr2:uid="{B48169E1-9530-4CE3-927C-2245BA1E5CBF}"/>
  </bookViews>
  <sheets>
    <sheet name="Solver" sheetId="7" r:id="rId1"/>
    <sheet name="Connections Data" sheetId="6" r:id="rId2"/>
    <sheet name="Locations" sheetId="1" r:id="rId3"/>
    <sheet name="Connections" sheetId="2" r:id="rId4"/>
  </sheets>
  <definedNames>
    <definedName name="solver_adj" localSheetId="0" hidden="1">Solver!$R$25,Solver!$B$10:$B$33</definedName>
    <definedName name="solver_cvg" localSheetId="0" hidden="1">0.0001</definedName>
    <definedName name="solver_drv" localSheetId="0" hidden="1">2</definedName>
    <definedName name="solver_eng" localSheetId="3" hidden="1">1</definedName>
    <definedName name="solver_eng" localSheetId="1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Solver!$B$10:$B$33</definedName>
    <definedName name="solver_lhs2" localSheetId="0" hidden="1">Solver!$V$10:$V$16</definedName>
    <definedName name="solver_lhs3" localSheetId="0" hidden="1">Solver!$W$19:$W$22</definedName>
    <definedName name="solver_lhs4" localSheetId="0" hidden="1">Solver!$W$19:$W$22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3" hidden="1">1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3" hidden="1">0</definedName>
    <definedName name="solver_num" localSheetId="1" hidden="1">0</definedName>
    <definedName name="solver_num" localSheetId="0" hidden="1">4</definedName>
    <definedName name="solver_nwt" localSheetId="0" hidden="1">1</definedName>
    <definedName name="solver_opt" localSheetId="3" hidden="1">Connections!$F$13</definedName>
    <definedName name="solver_opt" localSheetId="1" hidden="1">'Connections Data'!$Q$13</definedName>
    <definedName name="solver_opt" localSheetId="0" hidden="1">Solver!$R$25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Solver!$W$10:$W$16</definedName>
    <definedName name="solver_rhs3" localSheetId="0" hidden="1">Solver!$R$19:$R$22</definedName>
    <definedName name="solver_rhs4" localSheetId="0" hidden="1">Solver!$R$25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3" hidden="1">1</definedName>
    <definedName name="solver_typ" localSheetId="1" hidden="1">1</definedName>
    <definedName name="solver_typ" localSheetId="0" hidden="1">2</definedName>
    <definedName name="solver_val" localSheetId="3" hidden="1">0</definedName>
    <definedName name="solver_val" localSheetId="1" hidden="1">0</definedName>
    <definedName name="solver_val" localSheetId="0" hidden="1">0</definedName>
    <definedName name="solver_ver" localSheetId="3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7" l="1"/>
  <c r="R20" i="7"/>
  <c r="T20" i="7" s="1"/>
  <c r="U20" i="7" s="1"/>
  <c r="W20" i="7" s="1"/>
  <c r="R19" i="7"/>
  <c r="T19" i="7" s="1"/>
  <c r="R21" i="7"/>
  <c r="L3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1" i="7"/>
  <c r="L32" i="7"/>
  <c r="L33" i="7"/>
  <c r="L10" i="7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10" i="6"/>
  <c r="T10" i="7"/>
  <c r="U10" i="7"/>
  <c r="D10" i="7"/>
  <c r="E10" i="7"/>
  <c r="F10" i="7"/>
  <c r="H10" i="7"/>
  <c r="I10" i="7"/>
  <c r="J10" i="7"/>
  <c r="D11" i="7"/>
  <c r="E11" i="7"/>
  <c r="F11" i="7"/>
  <c r="H11" i="7"/>
  <c r="I11" i="7"/>
  <c r="J11" i="7"/>
  <c r="T11" i="7"/>
  <c r="U11" i="7"/>
  <c r="D12" i="7"/>
  <c r="E12" i="7"/>
  <c r="F12" i="7"/>
  <c r="H12" i="7"/>
  <c r="I12" i="7"/>
  <c r="J12" i="7"/>
  <c r="T12" i="7"/>
  <c r="U12" i="7"/>
  <c r="D13" i="7"/>
  <c r="E13" i="7"/>
  <c r="F13" i="7"/>
  <c r="H13" i="7"/>
  <c r="I13" i="7"/>
  <c r="J13" i="7"/>
  <c r="T13" i="7"/>
  <c r="U13" i="7"/>
  <c r="D14" i="7"/>
  <c r="E14" i="7"/>
  <c r="F14" i="7"/>
  <c r="H14" i="7"/>
  <c r="I14" i="7"/>
  <c r="J14" i="7"/>
  <c r="T14" i="7"/>
  <c r="U14" i="7"/>
  <c r="D15" i="7"/>
  <c r="E15" i="7"/>
  <c r="F15" i="7"/>
  <c r="H15" i="7"/>
  <c r="I15" i="7"/>
  <c r="J15" i="7"/>
  <c r="T15" i="7"/>
  <c r="U15" i="7"/>
  <c r="D16" i="7"/>
  <c r="E16" i="7"/>
  <c r="F16" i="7"/>
  <c r="H16" i="7"/>
  <c r="I16" i="7"/>
  <c r="J16" i="7"/>
  <c r="T16" i="7"/>
  <c r="U16" i="7"/>
  <c r="J33" i="7"/>
  <c r="I33" i="7"/>
  <c r="H33" i="7"/>
  <c r="F33" i="7"/>
  <c r="E33" i="7"/>
  <c r="D33" i="7"/>
  <c r="J32" i="7"/>
  <c r="I32" i="7"/>
  <c r="H32" i="7"/>
  <c r="F32" i="7"/>
  <c r="E32" i="7"/>
  <c r="D32" i="7"/>
  <c r="J31" i="7"/>
  <c r="I31" i="7"/>
  <c r="H31" i="7"/>
  <c r="F31" i="7"/>
  <c r="E31" i="7"/>
  <c r="D31" i="7"/>
  <c r="J30" i="7"/>
  <c r="I30" i="7"/>
  <c r="H30" i="7"/>
  <c r="F30" i="7"/>
  <c r="E30" i="7"/>
  <c r="D30" i="7"/>
  <c r="J29" i="7"/>
  <c r="I29" i="7"/>
  <c r="H29" i="7"/>
  <c r="F29" i="7"/>
  <c r="E29" i="7"/>
  <c r="D29" i="7"/>
  <c r="J28" i="7"/>
  <c r="I28" i="7"/>
  <c r="H28" i="7"/>
  <c r="F28" i="7"/>
  <c r="E28" i="7"/>
  <c r="D28" i="7"/>
  <c r="J27" i="7"/>
  <c r="I27" i="7"/>
  <c r="H27" i="7"/>
  <c r="F27" i="7"/>
  <c r="E27" i="7"/>
  <c r="D27" i="7"/>
  <c r="J26" i="7"/>
  <c r="I26" i="7"/>
  <c r="H26" i="7"/>
  <c r="F26" i="7"/>
  <c r="E26" i="7"/>
  <c r="D26" i="7"/>
  <c r="J25" i="7"/>
  <c r="I25" i="7"/>
  <c r="H25" i="7"/>
  <c r="F25" i="7"/>
  <c r="E25" i="7"/>
  <c r="D25" i="7"/>
  <c r="J24" i="7"/>
  <c r="I24" i="7"/>
  <c r="H24" i="7"/>
  <c r="F24" i="7"/>
  <c r="E24" i="7"/>
  <c r="D24" i="7"/>
  <c r="J23" i="7"/>
  <c r="I23" i="7"/>
  <c r="H23" i="7"/>
  <c r="F23" i="7"/>
  <c r="E23" i="7"/>
  <c r="D23" i="7"/>
  <c r="J22" i="7"/>
  <c r="I22" i="7"/>
  <c r="H22" i="7"/>
  <c r="F22" i="7"/>
  <c r="E22" i="7"/>
  <c r="D22" i="7"/>
  <c r="J21" i="7"/>
  <c r="I21" i="7"/>
  <c r="H21" i="7"/>
  <c r="F21" i="7"/>
  <c r="E21" i="7"/>
  <c r="D21" i="7"/>
  <c r="J20" i="7"/>
  <c r="I20" i="7"/>
  <c r="H20" i="7"/>
  <c r="F20" i="7"/>
  <c r="E20" i="7"/>
  <c r="D20" i="7"/>
  <c r="J19" i="7"/>
  <c r="I19" i="7"/>
  <c r="H19" i="7"/>
  <c r="F19" i="7"/>
  <c r="E19" i="7"/>
  <c r="D19" i="7"/>
  <c r="J18" i="7"/>
  <c r="I18" i="7"/>
  <c r="H18" i="7"/>
  <c r="F18" i="7"/>
  <c r="E18" i="7"/>
  <c r="D18" i="7"/>
  <c r="J17" i="7"/>
  <c r="I17" i="7"/>
  <c r="H17" i="7"/>
  <c r="F17" i="7"/>
  <c r="E17" i="7"/>
  <c r="D17" i="7"/>
  <c r="U19" i="7" l="1"/>
  <c r="W19" i="7" s="1"/>
  <c r="V10" i="7"/>
  <c r="V11" i="7"/>
  <c r="V13" i="7"/>
  <c r="V15" i="7"/>
  <c r="V14" i="7"/>
  <c r="V12" i="7"/>
  <c r="V16" i="7"/>
  <c r="J33" i="6" l="1"/>
  <c r="I33" i="6"/>
  <c r="H33" i="6"/>
  <c r="F33" i="6"/>
  <c r="E33" i="6"/>
  <c r="D33" i="6"/>
  <c r="J32" i="6"/>
  <c r="I32" i="6"/>
  <c r="H32" i="6"/>
  <c r="F32" i="6"/>
  <c r="E32" i="6"/>
  <c r="D32" i="6"/>
  <c r="J31" i="6"/>
  <c r="I31" i="6"/>
  <c r="H31" i="6"/>
  <c r="F31" i="6"/>
  <c r="E31" i="6"/>
  <c r="D31" i="6"/>
  <c r="J30" i="6"/>
  <c r="I30" i="6"/>
  <c r="H30" i="6"/>
  <c r="F30" i="6"/>
  <c r="E30" i="6"/>
  <c r="D30" i="6"/>
  <c r="J29" i="6"/>
  <c r="I29" i="6"/>
  <c r="H29" i="6"/>
  <c r="F29" i="6"/>
  <c r="E29" i="6"/>
  <c r="D29" i="6"/>
  <c r="J28" i="6"/>
  <c r="I28" i="6"/>
  <c r="H28" i="6"/>
  <c r="F28" i="6"/>
  <c r="E28" i="6"/>
  <c r="D28" i="6"/>
  <c r="J27" i="6"/>
  <c r="I27" i="6"/>
  <c r="H27" i="6"/>
  <c r="F27" i="6"/>
  <c r="E27" i="6"/>
  <c r="D27" i="6"/>
  <c r="J26" i="6"/>
  <c r="I26" i="6"/>
  <c r="H26" i="6"/>
  <c r="F26" i="6"/>
  <c r="E26" i="6"/>
  <c r="D26" i="6"/>
  <c r="J25" i="6"/>
  <c r="I25" i="6"/>
  <c r="H25" i="6"/>
  <c r="F25" i="6"/>
  <c r="E25" i="6"/>
  <c r="D25" i="6"/>
  <c r="J24" i="6"/>
  <c r="I24" i="6"/>
  <c r="H24" i="6"/>
  <c r="F24" i="6"/>
  <c r="E24" i="6"/>
  <c r="D24" i="6"/>
  <c r="J23" i="6"/>
  <c r="I23" i="6"/>
  <c r="H23" i="6"/>
  <c r="F23" i="6"/>
  <c r="E23" i="6"/>
  <c r="D23" i="6"/>
  <c r="J22" i="6"/>
  <c r="I22" i="6"/>
  <c r="H22" i="6"/>
  <c r="F22" i="6"/>
  <c r="E22" i="6"/>
  <c r="D22" i="6"/>
  <c r="J21" i="6"/>
  <c r="I21" i="6"/>
  <c r="H21" i="6"/>
  <c r="F21" i="6"/>
  <c r="E21" i="6"/>
  <c r="D21" i="6"/>
  <c r="J20" i="6"/>
  <c r="I20" i="6"/>
  <c r="H20" i="6"/>
  <c r="F20" i="6"/>
  <c r="E20" i="6"/>
  <c r="D20" i="6"/>
  <c r="J19" i="6"/>
  <c r="I19" i="6"/>
  <c r="H19" i="6"/>
  <c r="F19" i="6"/>
  <c r="E19" i="6"/>
  <c r="D19" i="6"/>
  <c r="J18" i="6"/>
  <c r="I18" i="6"/>
  <c r="H18" i="6"/>
  <c r="F18" i="6"/>
  <c r="E18" i="6"/>
  <c r="D18" i="6"/>
  <c r="J17" i="6"/>
  <c r="I17" i="6"/>
  <c r="H17" i="6"/>
  <c r="F17" i="6"/>
  <c r="E17" i="6"/>
  <c r="D17" i="6"/>
  <c r="W16" i="6"/>
  <c r="V16" i="6"/>
  <c r="J16" i="6"/>
  <c r="I16" i="6"/>
  <c r="H16" i="6"/>
  <c r="F16" i="6"/>
  <c r="E16" i="6"/>
  <c r="D16" i="6"/>
  <c r="W15" i="6"/>
  <c r="V15" i="6"/>
  <c r="J15" i="6"/>
  <c r="I15" i="6"/>
  <c r="H15" i="6"/>
  <c r="F15" i="6"/>
  <c r="E15" i="6"/>
  <c r="D15" i="6"/>
  <c r="W14" i="6"/>
  <c r="V14" i="6"/>
  <c r="J14" i="6"/>
  <c r="I14" i="6"/>
  <c r="H14" i="6"/>
  <c r="F14" i="6"/>
  <c r="E14" i="6"/>
  <c r="D14" i="6"/>
  <c r="W13" i="6"/>
  <c r="V13" i="6"/>
  <c r="J13" i="6"/>
  <c r="I13" i="6"/>
  <c r="H13" i="6"/>
  <c r="F13" i="6"/>
  <c r="E13" i="6"/>
  <c r="D13" i="6"/>
  <c r="W12" i="6"/>
  <c r="V12" i="6"/>
  <c r="J12" i="6"/>
  <c r="I12" i="6"/>
  <c r="H12" i="6"/>
  <c r="F12" i="6"/>
  <c r="E12" i="6"/>
  <c r="D12" i="6"/>
  <c r="W11" i="6"/>
  <c r="V11" i="6"/>
  <c r="X11" i="6" s="1"/>
  <c r="J11" i="6"/>
  <c r="I11" i="6"/>
  <c r="H11" i="6"/>
  <c r="F11" i="6"/>
  <c r="E11" i="6"/>
  <c r="D11" i="6"/>
  <c r="W10" i="6"/>
  <c r="V10" i="6"/>
  <c r="J10" i="6"/>
  <c r="I10" i="6"/>
  <c r="H10" i="6"/>
  <c r="F10" i="6"/>
  <c r="E10" i="6"/>
  <c r="D10" i="6"/>
  <c r="S2" i="6"/>
  <c r="X12" i="6" l="1"/>
  <c r="X13" i="6"/>
  <c r="X16" i="6"/>
  <c r="L22" i="6"/>
  <c r="L31" i="6"/>
  <c r="L24" i="6"/>
  <c r="L32" i="6"/>
  <c r="X10" i="6"/>
  <c r="L10" i="6"/>
  <c r="L17" i="6"/>
  <c r="L21" i="6"/>
  <c r="L25" i="6"/>
  <c r="L29" i="6"/>
  <c r="L30" i="6"/>
  <c r="X14" i="6"/>
  <c r="X15" i="6"/>
  <c r="L20" i="6"/>
  <c r="L23" i="6"/>
  <c r="L33" i="6"/>
  <c r="L28" i="6"/>
  <c r="L14" i="6"/>
  <c r="L19" i="6"/>
  <c r="L11" i="6"/>
  <c r="L12" i="6"/>
  <c r="L27" i="6"/>
  <c r="L13" i="6"/>
  <c r="L18" i="6"/>
  <c r="L15" i="6"/>
  <c r="L16" i="6"/>
  <c r="L26" i="6"/>
  <c r="T22" i="7" l="1"/>
  <c r="U22" i="7" s="1"/>
  <c r="W22" i="7" s="1"/>
  <c r="T21" i="7"/>
  <c r="U21" i="7" s="1"/>
  <c r="W21" i="7" s="1"/>
  <c r="N17" i="6"/>
  <c r="N15" i="6"/>
  <c r="N22" i="6"/>
  <c r="N12" i="6"/>
  <c r="N23" i="6"/>
  <c r="N20" i="6"/>
  <c r="N10" i="6"/>
  <c r="N33" i="6"/>
  <c r="N26" i="6"/>
  <c r="N18" i="6"/>
  <c r="N19" i="6"/>
  <c r="N28" i="6"/>
  <c r="N16" i="6"/>
  <c r="N29" i="6"/>
  <c r="N13" i="6"/>
  <c r="N14" i="6"/>
</calcChain>
</file>

<file path=xl/sharedStrings.xml><?xml version="1.0" encoding="utf-8"?>
<sst xmlns="http://schemas.openxmlformats.org/spreadsheetml/2006/main" count="152" uniqueCount="59">
  <si>
    <t>location_id</t>
  </si>
  <si>
    <t>location_name</t>
  </si>
  <si>
    <t>latitude</t>
  </si>
  <si>
    <t>longitude</t>
  </si>
  <si>
    <t>supply</t>
  </si>
  <si>
    <t>demand</t>
  </si>
  <si>
    <t>Lava Cake Ledges</t>
  </si>
  <si>
    <t>Licorice Labyrinth</t>
  </si>
  <si>
    <t>Licorice Lanes</t>
  </si>
  <si>
    <t>Meringue Mountains</t>
  </si>
  <si>
    <t>Peppermint Parlor</t>
  </si>
  <si>
    <t>Sprinkle Street</t>
  </si>
  <si>
    <t>Starburst Starlit Skies</t>
  </si>
  <si>
    <t>from</t>
  </si>
  <si>
    <t>to</t>
  </si>
  <si>
    <t>cost_per_unit_shipped</t>
  </si>
  <si>
    <t>transportation_method</t>
  </si>
  <si>
    <t>congestion_level</t>
  </si>
  <si>
    <t>Diesel Trucks</t>
  </si>
  <si>
    <t>Wind-powered Ships</t>
  </si>
  <si>
    <t>Cargo Ships (Heavy Fuel Oil)</t>
  </si>
  <si>
    <t>Diesel Rail</t>
  </si>
  <si>
    <t>Electric/Hybrid Trucks</t>
  </si>
  <si>
    <t>Slow Steaming Cargo Ships</t>
  </si>
  <si>
    <t>Electrified Rail</t>
  </si>
  <si>
    <t>Total Transportation Cost -&gt;</t>
  </si>
  <si>
    <t>Ship</t>
  </si>
  <si>
    <t>From</t>
  </si>
  <si>
    <t>To</t>
  </si>
  <si>
    <t>Unit Cost</t>
  </si>
  <si>
    <t>Nodes</t>
  </si>
  <si>
    <t>Inflow</t>
  </si>
  <si>
    <t>Outflow</t>
  </si>
  <si>
    <t>Net Flow</t>
  </si>
  <si>
    <t>Supply/Demand</t>
  </si>
  <si>
    <t>Latitude</t>
  </si>
  <si>
    <t>Longitude</t>
  </si>
  <si>
    <t>Distance</t>
  </si>
  <si>
    <t xml:space="preserve">Longitude </t>
  </si>
  <si>
    <t>Method of Transportation</t>
  </si>
  <si>
    <t>Eco Friendly</t>
  </si>
  <si>
    <t>Congestion Level</t>
  </si>
  <si>
    <t>Total Distance Cost -&gt;</t>
  </si>
  <si>
    <t>Total Eco-Friendly Cost -&gt;</t>
  </si>
  <si>
    <t>Total Congestion Level Cost -&gt;</t>
  </si>
  <si>
    <t>Congestion High/Low</t>
  </si>
  <si>
    <t>Objectives</t>
  </si>
  <si>
    <t>Totals</t>
  </si>
  <si>
    <t>Target Value</t>
  </si>
  <si>
    <t>Deviation</t>
  </si>
  <si>
    <t>% Deviation</t>
  </si>
  <si>
    <t>Weight</t>
  </si>
  <si>
    <t>Weighted % Deviation</t>
  </si>
  <si>
    <t>MIN</t>
  </si>
  <si>
    <t>Cost</t>
  </si>
  <si>
    <t>Eco-Friendly</t>
  </si>
  <si>
    <t>Congestion</t>
  </si>
  <si>
    <t>Objective</t>
  </si>
  <si>
    <t>MiniMax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</si>
</sst>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7" borderId="1" xfId="0" applyFill="1" applyBorder="1"/>
    <xf numFmtId="0" fontId="0" fillId="3" borderId="1" xfId="0" applyFill="1" applyBorder="1"/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44" fontId="0" fillId="0" borderId="0" xfId="1" applyFont="1" applyBorder="1" applyAlignment="1"/>
    <xf numFmtId="2" fontId="0" fillId="0" borderId="0" xfId="0" applyNumberFormat="1" applyAlignment="1">
      <alignment horizontal="left" indent="1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wrapText="1"/>
    </xf>
    <xf numFmtId="0" fontId="2" fillId="10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wrapText="1"/>
    </xf>
    <xf numFmtId="9" fontId="0" fillId="0" borderId="1" xfId="4" applyFont="1" applyBorder="1"/>
    <xf numFmtId="1" fontId="3" fillId="6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</cellXfs>
  <cellStyles count="5">
    <cellStyle name="Comma 2" xfId="3" xr:uid="{A7324A72-140B-4597-BE4F-4AA5EC2FB128}"/>
    <cellStyle name="Currency" xfId="1" builtinId="4"/>
    <cellStyle name="Normal" xfId="0" builtinId="0"/>
    <cellStyle name="Normal 2" xfId="2" xr:uid="{044B2C4E-3EB4-48BD-BCFC-0E0B9F3F35A2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50800</xdr:colOff>
          <xdr:row>38</xdr:row>
          <xdr:rowOff>152400</xdr:rowOff>
        </xdr:from>
        <xdr:to>
          <xdr:col>39</xdr:col>
          <xdr:colOff>558800</xdr:colOff>
          <xdr:row>64</xdr:row>
          <xdr:rowOff>158750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C33F5032-7DBE-7E62-1A61-DA9F57EE16B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8:$W$33" spid="_x0000_s111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290300" y="7150100"/>
              <a:ext cx="17754600" cy="47942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1F618-AE0E-4BD6-A15E-CCF43D853EE0}">
  <dimension ref="B2:W33"/>
  <sheetViews>
    <sheetView tabSelected="1" topLeftCell="J27" workbookViewId="0">
      <selection activeCell="N41" sqref="N41"/>
    </sheetView>
  </sheetViews>
  <sheetFormatPr defaultRowHeight="14.5" x14ac:dyDescent="0.35"/>
  <cols>
    <col min="3" max="3" width="5.1796875" customWidth="1"/>
    <col min="4" max="4" width="10.81640625" customWidth="1"/>
    <col min="5" max="5" width="11.54296875" customWidth="1"/>
    <col min="6" max="6" width="18.36328125" customWidth="1"/>
    <col min="7" max="7" width="5.1796875" customWidth="1"/>
    <col min="8" max="8" width="10.7265625" customWidth="1"/>
    <col min="9" max="9" width="12.08984375" customWidth="1"/>
    <col min="10" max="10" width="17" customWidth="1"/>
    <col min="13" max="14" width="13.1796875" customWidth="1"/>
    <col min="16" max="16" width="4.36328125" customWidth="1"/>
    <col min="17" max="17" width="18.81640625" customWidth="1"/>
    <col min="18" max="18" width="8.36328125" customWidth="1"/>
    <col min="19" max="19" width="13" customWidth="1"/>
    <col min="21" max="21" width="10.6328125" customWidth="1"/>
    <col min="23" max="23" width="20.54296875" customWidth="1"/>
    <col min="25" max="25" width="13.36328125" customWidth="1"/>
    <col min="26" max="26" width="18.1796875" customWidth="1"/>
  </cols>
  <sheetData>
    <row r="2" spans="2:23" ht="14.5" customHeight="1" x14ac:dyDescent="0.35">
      <c r="J2" s="33"/>
      <c r="K2" s="33"/>
      <c r="L2" s="33"/>
      <c r="M2" s="33"/>
      <c r="N2" s="33"/>
      <c r="O2" s="33"/>
      <c r="P2" s="33"/>
      <c r="Q2" s="11"/>
      <c r="R2" s="11"/>
      <c r="S2" s="11"/>
      <c r="T2" s="11"/>
    </row>
    <row r="3" spans="2:23" x14ac:dyDescent="0.35">
      <c r="J3" s="33"/>
      <c r="K3" s="33"/>
      <c r="L3" s="33"/>
      <c r="M3" s="33"/>
      <c r="N3" s="33"/>
      <c r="O3" s="33"/>
      <c r="P3" s="33"/>
      <c r="Q3" s="11"/>
      <c r="R3" s="11"/>
      <c r="S3" s="11"/>
      <c r="T3" s="11"/>
    </row>
    <row r="4" spans="2:23" x14ac:dyDescent="0.35">
      <c r="H4" s="34"/>
      <c r="I4" s="34"/>
      <c r="J4" s="34"/>
      <c r="K4" s="34"/>
      <c r="L4" s="34"/>
      <c r="M4" s="34"/>
      <c r="N4" s="34"/>
      <c r="O4" s="34"/>
      <c r="P4" s="34"/>
      <c r="Q4" s="11"/>
      <c r="R4" s="11"/>
      <c r="S4" s="11"/>
      <c r="T4" s="11"/>
    </row>
    <row r="5" spans="2:23" x14ac:dyDescent="0.35">
      <c r="H5" s="34"/>
      <c r="I5" s="34"/>
      <c r="J5" s="34"/>
      <c r="K5" s="34"/>
      <c r="L5" s="34"/>
      <c r="M5" s="34"/>
      <c r="N5" s="34"/>
      <c r="O5" s="34"/>
      <c r="P5" s="34"/>
      <c r="Q5" s="11"/>
      <c r="R5" s="11"/>
      <c r="S5" s="11"/>
      <c r="T5" s="11"/>
    </row>
    <row r="6" spans="2:23" x14ac:dyDescent="0.35">
      <c r="J6" s="1"/>
      <c r="K6" s="1"/>
      <c r="L6" s="1"/>
      <c r="M6" s="1"/>
      <c r="N6" s="1"/>
      <c r="O6" s="1"/>
    </row>
    <row r="8" spans="2:23" ht="14.5" customHeight="1" x14ac:dyDescent="0.35">
      <c r="B8" s="5" t="s">
        <v>26</v>
      </c>
      <c r="C8" s="18" t="s">
        <v>27</v>
      </c>
      <c r="D8" s="19"/>
      <c r="E8" s="19"/>
      <c r="F8" s="20"/>
      <c r="G8" s="15" t="s">
        <v>28</v>
      </c>
      <c r="H8" s="16"/>
      <c r="I8" s="16"/>
      <c r="J8" s="17"/>
      <c r="K8" s="13" t="s">
        <v>29</v>
      </c>
      <c r="L8" s="13" t="s">
        <v>37</v>
      </c>
      <c r="M8" s="25" t="s">
        <v>40</v>
      </c>
      <c r="N8" s="25" t="s">
        <v>45</v>
      </c>
      <c r="P8" s="27" t="s">
        <v>30</v>
      </c>
      <c r="Q8" s="28"/>
      <c r="R8" s="31" t="s">
        <v>35</v>
      </c>
      <c r="S8" s="31" t="s">
        <v>36</v>
      </c>
      <c r="T8" s="21" t="s">
        <v>31</v>
      </c>
      <c r="U8" s="21" t="s">
        <v>32</v>
      </c>
      <c r="V8" s="21" t="s">
        <v>33</v>
      </c>
      <c r="W8" s="23" t="s">
        <v>34</v>
      </c>
    </row>
    <row r="9" spans="2:23" x14ac:dyDescent="0.35">
      <c r="B9" s="5"/>
      <c r="C9" s="9"/>
      <c r="D9" s="9" t="s">
        <v>35</v>
      </c>
      <c r="E9" s="9" t="s">
        <v>38</v>
      </c>
      <c r="F9" s="9"/>
      <c r="G9" s="10"/>
      <c r="H9" s="10" t="s">
        <v>35</v>
      </c>
      <c r="I9" s="10" t="s">
        <v>38</v>
      </c>
      <c r="J9" s="10"/>
      <c r="K9" s="14"/>
      <c r="L9" s="14"/>
      <c r="M9" s="26"/>
      <c r="N9" s="26"/>
      <c r="P9" s="29"/>
      <c r="Q9" s="30"/>
      <c r="R9" s="32"/>
      <c r="S9" s="32"/>
      <c r="T9" s="22"/>
      <c r="U9" s="22"/>
      <c r="V9" s="22"/>
      <c r="W9" s="24"/>
    </row>
    <row r="10" spans="2:23" x14ac:dyDescent="0.35">
      <c r="B10" s="40">
        <v>1728</v>
      </c>
      <c r="C10" s="8">
        <v>1</v>
      </c>
      <c r="D10" s="8">
        <f t="shared" ref="D10:D33" si="0">_xlfn.XLOOKUP(C10,$P$10:$P$16,$R$10:$R$16,0,0)</f>
        <v>37.5</v>
      </c>
      <c r="E10" s="8">
        <f t="shared" ref="E10:E33" si="1">_xlfn.XLOOKUP(C10,$P$10:$P$16,$S$10:$S$16,0,0)</f>
        <v>-102.5</v>
      </c>
      <c r="F10" s="8" t="str">
        <f t="shared" ref="F10:F33" si="2">VLOOKUP(C10,$P$10:$Q$16,2,0)</f>
        <v>Lava Cake Ledges</v>
      </c>
      <c r="G10" s="6">
        <v>3</v>
      </c>
      <c r="H10" s="6">
        <f t="shared" ref="H10:H33" si="3">_xlfn.XLOOKUP(G10,$P$10:$P$16,$R$10:$R$16,0,0)</f>
        <v>44.56</v>
      </c>
      <c r="I10" s="6">
        <f t="shared" ref="I10:I33" si="4">_xlfn.XLOOKUP(G10,$P$10:$P$16,$S$10:$S$16,0,0)</f>
        <v>-92.72</v>
      </c>
      <c r="J10" s="6" t="str">
        <f t="shared" ref="J10:J33" si="5">_xlfn.XLOOKUP(G10,$P$10:$P$18,$Q$10:$Q$18)</f>
        <v>Licorice Lanes</v>
      </c>
      <c r="K10" s="7">
        <v>13</v>
      </c>
      <c r="L10" s="7">
        <f>SQRT((H10-D10)^2 + (I10-E10)^2)</f>
        <v>12.062006466587556</v>
      </c>
      <c r="M10" s="7">
        <v>0</v>
      </c>
      <c r="N10" s="7">
        <v>1</v>
      </c>
      <c r="P10" s="3">
        <v>1</v>
      </c>
      <c r="Q10" s="3" t="s">
        <v>6</v>
      </c>
      <c r="R10" s="3">
        <v>37.5</v>
      </c>
      <c r="S10" s="3">
        <v>-102.5</v>
      </c>
      <c r="T10" s="3">
        <f t="shared" ref="T10:T16" si="6">SUMIF($G$10:$G$33,P10,$B$10:$B$33)</f>
        <v>0</v>
      </c>
      <c r="U10" s="3">
        <f>SUMIF($C$10:$C$33,P10,$B$10:$B$33)</f>
        <v>8871</v>
      </c>
      <c r="V10" s="3">
        <f>T10-U10</f>
        <v>-8871</v>
      </c>
      <c r="W10" s="3">
        <v>-8871</v>
      </c>
    </row>
    <row r="11" spans="2:23" x14ac:dyDescent="0.35">
      <c r="B11" s="40">
        <v>1304</v>
      </c>
      <c r="C11" s="8">
        <v>1</v>
      </c>
      <c r="D11" s="8">
        <f t="shared" si="0"/>
        <v>37.5</v>
      </c>
      <c r="E11" s="8">
        <f t="shared" si="1"/>
        <v>-102.5</v>
      </c>
      <c r="F11" s="8" t="str">
        <f t="shared" si="2"/>
        <v>Lava Cake Ledges</v>
      </c>
      <c r="G11" s="6">
        <v>4</v>
      </c>
      <c r="H11" s="6">
        <f t="shared" si="3"/>
        <v>34.97</v>
      </c>
      <c r="I11" s="6">
        <f t="shared" si="4"/>
        <v>-85.17</v>
      </c>
      <c r="J11" s="6" t="str">
        <f t="shared" si="5"/>
        <v>Meringue Mountains</v>
      </c>
      <c r="K11" s="7">
        <v>8</v>
      </c>
      <c r="L11" s="7">
        <f t="shared" ref="L11:L33" si="7">SQRT((H11-D11)^2 + (I11-E11)^2)</f>
        <v>17.513703206346733</v>
      </c>
      <c r="M11" s="7">
        <v>1</v>
      </c>
      <c r="N11" s="7">
        <v>0</v>
      </c>
      <c r="P11" s="3">
        <v>2</v>
      </c>
      <c r="Q11" s="3" t="s">
        <v>7</v>
      </c>
      <c r="R11" s="3">
        <v>33</v>
      </c>
      <c r="S11" s="3">
        <v>-109.85</v>
      </c>
      <c r="T11" s="3">
        <f t="shared" si="6"/>
        <v>1213</v>
      </c>
      <c r="U11" s="3">
        <f t="shared" ref="U11:U15" si="8">SUMIF($C$10:$C$33,P11,$B$10:$B$33)</f>
        <v>0</v>
      </c>
      <c r="V11" s="3">
        <f>T11-U11</f>
        <v>1213</v>
      </c>
      <c r="W11" s="3">
        <v>1213</v>
      </c>
    </row>
    <row r="12" spans="2:23" x14ac:dyDescent="0.35">
      <c r="B12" s="40">
        <v>1401.0000000000002</v>
      </c>
      <c r="C12" s="8">
        <v>1</v>
      </c>
      <c r="D12" s="8">
        <f t="shared" si="0"/>
        <v>37.5</v>
      </c>
      <c r="E12" s="8">
        <f t="shared" si="1"/>
        <v>-102.5</v>
      </c>
      <c r="F12" s="8" t="str">
        <f t="shared" si="2"/>
        <v>Lava Cake Ledges</v>
      </c>
      <c r="G12" s="6">
        <v>5</v>
      </c>
      <c r="H12" s="6">
        <f t="shared" si="3"/>
        <v>35.130000000000003</v>
      </c>
      <c r="I12" s="6">
        <f t="shared" si="4"/>
        <v>-89.41</v>
      </c>
      <c r="J12" s="6" t="str">
        <f t="shared" si="5"/>
        <v>Peppermint Parlor</v>
      </c>
      <c r="K12" s="7">
        <v>10</v>
      </c>
      <c r="L12" s="7">
        <f t="shared" si="7"/>
        <v>13.302819250068765</v>
      </c>
      <c r="M12" s="7">
        <v>0</v>
      </c>
      <c r="N12" s="7">
        <v>1</v>
      </c>
      <c r="P12" s="3">
        <v>3</v>
      </c>
      <c r="Q12" s="3" t="s">
        <v>8</v>
      </c>
      <c r="R12" s="3">
        <v>44.56</v>
      </c>
      <c r="S12" s="3">
        <v>-92.72</v>
      </c>
      <c r="T12" s="3">
        <f t="shared" si="6"/>
        <v>1728</v>
      </c>
      <c r="U12" s="3">
        <f t="shared" si="8"/>
        <v>0</v>
      </c>
      <c r="V12" s="3">
        <f t="shared" ref="V12:V16" si="9">T12-U12</f>
        <v>1728</v>
      </c>
      <c r="W12" s="3">
        <v>1728</v>
      </c>
    </row>
    <row r="13" spans="2:23" x14ac:dyDescent="0.35">
      <c r="B13" s="40">
        <v>2762</v>
      </c>
      <c r="C13" s="8">
        <v>1</v>
      </c>
      <c r="D13" s="8">
        <f t="shared" si="0"/>
        <v>37.5</v>
      </c>
      <c r="E13" s="8">
        <f t="shared" si="1"/>
        <v>-102.5</v>
      </c>
      <c r="F13" s="8" t="str">
        <f t="shared" si="2"/>
        <v>Lava Cake Ledges</v>
      </c>
      <c r="G13" s="6">
        <v>6</v>
      </c>
      <c r="H13" s="6">
        <f t="shared" si="3"/>
        <v>32.69</v>
      </c>
      <c r="I13" s="6">
        <f t="shared" si="4"/>
        <v>-89.97</v>
      </c>
      <c r="J13" s="6" t="str">
        <f t="shared" si="5"/>
        <v>Sprinkle Street</v>
      </c>
      <c r="K13" s="7">
        <v>14</v>
      </c>
      <c r="L13" s="7">
        <f t="shared" si="7"/>
        <v>13.421512582417828</v>
      </c>
      <c r="M13" s="7">
        <v>0</v>
      </c>
      <c r="N13" s="7">
        <v>1</v>
      </c>
      <c r="P13" s="3">
        <v>4</v>
      </c>
      <c r="Q13" s="3" t="s">
        <v>9</v>
      </c>
      <c r="R13" s="3">
        <v>34.97</v>
      </c>
      <c r="S13" s="3">
        <v>-85.17</v>
      </c>
      <c r="T13" s="3">
        <f t="shared" si="6"/>
        <v>1304</v>
      </c>
      <c r="U13" s="3">
        <f t="shared" si="8"/>
        <v>0</v>
      </c>
      <c r="V13" s="3">
        <f t="shared" si="9"/>
        <v>1304</v>
      </c>
      <c r="W13" s="3">
        <v>1304</v>
      </c>
    </row>
    <row r="14" spans="2:23" x14ac:dyDescent="0.35">
      <c r="B14" s="41">
        <v>1676</v>
      </c>
      <c r="C14" s="8">
        <v>1</v>
      </c>
      <c r="D14" s="8">
        <f t="shared" si="0"/>
        <v>37.5</v>
      </c>
      <c r="E14" s="8">
        <f t="shared" si="1"/>
        <v>-102.5</v>
      </c>
      <c r="F14" s="8" t="str">
        <f t="shared" si="2"/>
        <v>Lava Cake Ledges</v>
      </c>
      <c r="G14" s="6">
        <v>7</v>
      </c>
      <c r="H14" s="6">
        <f t="shared" si="3"/>
        <v>41.65</v>
      </c>
      <c r="I14" s="6">
        <f t="shared" si="4"/>
        <v>-108.93</v>
      </c>
      <c r="J14" s="6" t="str">
        <f t="shared" si="5"/>
        <v>Starburst Starlit Skies</v>
      </c>
      <c r="K14" s="7">
        <v>16</v>
      </c>
      <c r="L14" s="7">
        <f t="shared" si="7"/>
        <v>7.6529340778553738</v>
      </c>
      <c r="M14" s="7">
        <v>0</v>
      </c>
      <c r="N14" s="7">
        <v>1</v>
      </c>
      <c r="P14" s="3">
        <v>5</v>
      </c>
      <c r="Q14" s="3" t="s">
        <v>10</v>
      </c>
      <c r="R14" s="3">
        <v>35.130000000000003</v>
      </c>
      <c r="S14" s="3">
        <v>-89.41</v>
      </c>
      <c r="T14" s="3">
        <f t="shared" si="6"/>
        <v>1401.0000000000002</v>
      </c>
      <c r="U14" s="3">
        <f t="shared" si="8"/>
        <v>0</v>
      </c>
      <c r="V14" s="3">
        <f t="shared" si="9"/>
        <v>1401.0000000000002</v>
      </c>
      <c r="W14" s="3">
        <v>1401</v>
      </c>
    </row>
    <row r="15" spans="2:23" x14ac:dyDescent="0.35">
      <c r="B15" s="41">
        <v>0</v>
      </c>
      <c r="C15" s="8">
        <v>2</v>
      </c>
      <c r="D15" s="8">
        <f t="shared" si="0"/>
        <v>33</v>
      </c>
      <c r="E15" s="8">
        <f t="shared" si="1"/>
        <v>-109.85</v>
      </c>
      <c r="F15" s="8" t="str">
        <f t="shared" si="2"/>
        <v>Licorice Labyrinth</v>
      </c>
      <c r="G15" s="6">
        <v>4</v>
      </c>
      <c r="H15" s="6">
        <f t="shared" si="3"/>
        <v>34.97</v>
      </c>
      <c r="I15" s="6">
        <f t="shared" si="4"/>
        <v>-85.17</v>
      </c>
      <c r="J15" s="6" t="str">
        <f t="shared" si="5"/>
        <v>Meringue Mountains</v>
      </c>
      <c r="K15" s="7">
        <v>8</v>
      </c>
      <c r="L15" s="7">
        <f t="shared" si="7"/>
        <v>24.758499550659359</v>
      </c>
      <c r="M15" s="7">
        <v>0</v>
      </c>
      <c r="N15" s="7">
        <v>1</v>
      </c>
      <c r="P15" s="3">
        <v>6</v>
      </c>
      <c r="Q15" s="3" t="s">
        <v>11</v>
      </c>
      <c r="R15" s="3">
        <v>32.69</v>
      </c>
      <c r="S15" s="3">
        <v>-89.97</v>
      </c>
      <c r="T15" s="3">
        <f t="shared" si="6"/>
        <v>2762</v>
      </c>
      <c r="U15" s="3">
        <f t="shared" si="8"/>
        <v>1213</v>
      </c>
      <c r="V15" s="3">
        <f t="shared" si="9"/>
        <v>1549</v>
      </c>
      <c r="W15" s="3">
        <v>1549</v>
      </c>
    </row>
    <row r="16" spans="2:23" x14ac:dyDescent="0.35">
      <c r="B16" s="41">
        <v>0</v>
      </c>
      <c r="C16" s="8">
        <v>2</v>
      </c>
      <c r="D16" s="8">
        <f t="shared" si="0"/>
        <v>33</v>
      </c>
      <c r="E16" s="8">
        <f t="shared" si="1"/>
        <v>-109.85</v>
      </c>
      <c r="F16" s="8" t="str">
        <f t="shared" si="2"/>
        <v>Licorice Labyrinth</v>
      </c>
      <c r="G16" s="6">
        <v>5</v>
      </c>
      <c r="H16" s="6">
        <f t="shared" si="3"/>
        <v>35.130000000000003</v>
      </c>
      <c r="I16" s="6">
        <f t="shared" si="4"/>
        <v>-89.41</v>
      </c>
      <c r="J16" s="6" t="str">
        <f t="shared" si="5"/>
        <v>Peppermint Parlor</v>
      </c>
      <c r="K16" s="7">
        <v>7</v>
      </c>
      <c r="L16" s="7">
        <f t="shared" si="7"/>
        <v>20.550681253914671</v>
      </c>
      <c r="M16" s="7">
        <v>0</v>
      </c>
      <c r="N16" s="7">
        <v>1</v>
      </c>
      <c r="P16" s="3">
        <v>7</v>
      </c>
      <c r="Q16" s="3" t="s">
        <v>12</v>
      </c>
      <c r="R16" s="3">
        <v>41.65</v>
      </c>
      <c r="S16" s="3">
        <v>-108.93</v>
      </c>
      <c r="T16" s="3">
        <f t="shared" si="6"/>
        <v>1676</v>
      </c>
      <c r="U16" s="3">
        <f>SUMIF($C$10:$C$33,P16,$B$10:$B$33)</f>
        <v>0</v>
      </c>
      <c r="V16" s="3">
        <f t="shared" si="9"/>
        <v>1676</v>
      </c>
      <c r="W16" s="3">
        <v>1676</v>
      </c>
    </row>
    <row r="17" spans="2:23" x14ac:dyDescent="0.35">
      <c r="B17" s="41">
        <v>0</v>
      </c>
      <c r="C17" s="8">
        <v>2</v>
      </c>
      <c r="D17" s="8">
        <f t="shared" si="0"/>
        <v>33</v>
      </c>
      <c r="E17" s="8">
        <f t="shared" si="1"/>
        <v>-109.85</v>
      </c>
      <c r="F17" s="8" t="str">
        <f t="shared" si="2"/>
        <v>Licorice Labyrinth</v>
      </c>
      <c r="G17" s="6">
        <v>7</v>
      </c>
      <c r="H17" s="6">
        <f t="shared" si="3"/>
        <v>41.65</v>
      </c>
      <c r="I17" s="6">
        <f t="shared" si="4"/>
        <v>-108.93</v>
      </c>
      <c r="J17" s="6" t="str">
        <f t="shared" si="5"/>
        <v>Starburst Starlit Skies</v>
      </c>
      <c r="K17" s="7">
        <v>21</v>
      </c>
      <c r="L17" s="7">
        <f t="shared" si="7"/>
        <v>8.6987872717982899</v>
      </c>
      <c r="M17" s="7">
        <v>0</v>
      </c>
      <c r="N17" s="7">
        <v>1</v>
      </c>
    </row>
    <row r="18" spans="2:23" x14ac:dyDescent="0.35">
      <c r="B18" s="41">
        <v>0</v>
      </c>
      <c r="C18" s="8">
        <v>3</v>
      </c>
      <c r="D18" s="8">
        <f t="shared" si="0"/>
        <v>44.56</v>
      </c>
      <c r="E18" s="8">
        <f t="shared" si="1"/>
        <v>-92.72</v>
      </c>
      <c r="F18" s="8" t="str">
        <f t="shared" si="2"/>
        <v>Licorice Lanes</v>
      </c>
      <c r="G18" s="6">
        <v>5</v>
      </c>
      <c r="H18" s="6">
        <f t="shared" si="3"/>
        <v>35.130000000000003</v>
      </c>
      <c r="I18" s="6">
        <f t="shared" si="4"/>
        <v>-89.41</v>
      </c>
      <c r="J18" s="6" t="str">
        <f t="shared" si="5"/>
        <v>Peppermint Parlor</v>
      </c>
      <c r="K18" s="7">
        <v>11</v>
      </c>
      <c r="L18" s="7">
        <f t="shared" si="7"/>
        <v>9.9940482288209918</v>
      </c>
      <c r="M18" s="7">
        <v>0</v>
      </c>
      <c r="N18" s="7">
        <v>1</v>
      </c>
      <c r="P18" s="3"/>
      <c r="Q18" s="3" t="s">
        <v>46</v>
      </c>
      <c r="R18" s="3" t="s">
        <v>47</v>
      </c>
      <c r="S18" s="3" t="s">
        <v>48</v>
      </c>
      <c r="T18" s="3" t="s">
        <v>49</v>
      </c>
      <c r="U18" s="3" t="s">
        <v>50</v>
      </c>
      <c r="V18" s="3" t="s">
        <v>51</v>
      </c>
      <c r="W18" s="3" t="s">
        <v>52</v>
      </c>
    </row>
    <row r="19" spans="2:23" x14ac:dyDescent="0.35">
      <c r="B19" s="41">
        <v>0</v>
      </c>
      <c r="C19" s="8">
        <v>3</v>
      </c>
      <c r="D19" s="8">
        <f t="shared" si="0"/>
        <v>44.56</v>
      </c>
      <c r="E19" s="8">
        <f t="shared" si="1"/>
        <v>-92.72</v>
      </c>
      <c r="F19" s="8" t="str">
        <f t="shared" si="2"/>
        <v>Licorice Lanes</v>
      </c>
      <c r="G19" s="6">
        <v>6</v>
      </c>
      <c r="H19" s="6">
        <f t="shared" si="3"/>
        <v>32.69</v>
      </c>
      <c r="I19" s="6">
        <f t="shared" si="4"/>
        <v>-89.97</v>
      </c>
      <c r="J19" s="6" t="str">
        <f t="shared" si="5"/>
        <v>Sprinkle Street</v>
      </c>
      <c r="K19" s="7">
        <v>5</v>
      </c>
      <c r="L19" s="7">
        <f t="shared" si="7"/>
        <v>12.184391654900137</v>
      </c>
      <c r="M19" s="7">
        <v>0</v>
      </c>
      <c r="N19" s="7">
        <v>1</v>
      </c>
      <c r="P19" s="3" t="s">
        <v>53</v>
      </c>
      <c r="Q19" s="3" t="s">
        <v>54</v>
      </c>
      <c r="R19" s="3">
        <f>SUMPRODUCT(B10:B33,K10:K33)</f>
        <v>130585</v>
      </c>
      <c r="S19" s="3">
        <v>94928.660529999994</v>
      </c>
      <c r="T19" s="3">
        <f>R19-S19</f>
        <v>35656.339470000006</v>
      </c>
      <c r="U19" s="39">
        <f>T19/S19</f>
        <v>0.37561195186917917</v>
      </c>
      <c r="V19" s="3">
        <v>1</v>
      </c>
      <c r="W19" s="39">
        <f>U19*V19</f>
        <v>0.37561195186917917</v>
      </c>
    </row>
    <row r="20" spans="2:23" x14ac:dyDescent="0.35">
      <c r="B20" s="40">
        <v>0</v>
      </c>
      <c r="C20" s="8">
        <v>3</v>
      </c>
      <c r="D20" s="8">
        <f t="shared" si="0"/>
        <v>44.56</v>
      </c>
      <c r="E20" s="8">
        <f t="shared" si="1"/>
        <v>-92.72</v>
      </c>
      <c r="F20" s="8" t="str">
        <f t="shared" si="2"/>
        <v>Licorice Lanes</v>
      </c>
      <c r="G20" s="6">
        <v>7</v>
      </c>
      <c r="H20" s="6">
        <f t="shared" si="3"/>
        <v>41.65</v>
      </c>
      <c r="I20" s="6">
        <f t="shared" si="4"/>
        <v>-108.93</v>
      </c>
      <c r="J20" s="6" t="str">
        <f t="shared" si="5"/>
        <v>Starburst Starlit Skies</v>
      </c>
      <c r="K20" s="7">
        <v>22</v>
      </c>
      <c r="L20" s="7">
        <f t="shared" si="7"/>
        <v>16.469128695835742</v>
      </c>
      <c r="M20" s="7">
        <v>0</v>
      </c>
      <c r="N20" s="7">
        <v>1</v>
      </c>
      <c r="P20" s="3" t="s">
        <v>53</v>
      </c>
      <c r="Q20" s="3" t="s">
        <v>37</v>
      </c>
      <c r="R20" s="3">
        <f>SUMPRODUCT(B10:B33,L10:L33)</f>
        <v>136332.17283704679</v>
      </c>
      <c r="S20" s="3">
        <v>96891.113509999996</v>
      </c>
      <c r="T20" s="3">
        <f t="shared" ref="T20:T22" si="10">R20-S20</f>
        <v>39441.059327046794</v>
      </c>
      <c r="U20" s="39">
        <f>T20/S20</f>
        <v>0.4070658071545038</v>
      </c>
      <c r="V20" s="3">
        <v>1</v>
      </c>
      <c r="W20" s="39">
        <f t="shared" ref="W20:W22" si="11">U20*V20</f>
        <v>0.4070658071545038</v>
      </c>
    </row>
    <row r="21" spans="2:23" x14ac:dyDescent="0.35">
      <c r="B21" s="41">
        <v>0</v>
      </c>
      <c r="C21" s="8">
        <v>4</v>
      </c>
      <c r="D21" s="8">
        <f t="shared" si="0"/>
        <v>34.97</v>
      </c>
      <c r="E21" s="8">
        <f t="shared" si="1"/>
        <v>-85.17</v>
      </c>
      <c r="F21" s="8" t="str">
        <f t="shared" si="2"/>
        <v>Meringue Mountains</v>
      </c>
      <c r="G21" s="6">
        <v>3</v>
      </c>
      <c r="H21" s="6">
        <f t="shared" si="3"/>
        <v>44.56</v>
      </c>
      <c r="I21" s="6">
        <f t="shared" si="4"/>
        <v>-92.72</v>
      </c>
      <c r="J21" s="6" t="str">
        <f t="shared" si="5"/>
        <v>Licorice Lanes</v>
      </c>
      <c r="K21" s="7">
        <v>15</v>
      </c>
      <c r="L21" s="7">
        <f t="shared" si="7"/>
        <v>12.205351285399368</v>
      </c>
      <c r="M21" s="7">
        <v>1</v>
      </c>
      <c r="N21" s="7">
        <v>1</v>
      </c>
      <c r="P21" s="3" t="s">
        <v>53</v>
      </c>
      <c r="Q21" s="3" t="s">
        <v>55</v>
      </c>
      <c r="R21" s="3">
        <f>SUMPRODUCT(B10:B33,M10:M33)</f>
        <v>2517</v>
      </c>
      <c r="S21" s="3">
        <v>2224.637878</v>
      </c>
      <c r="T21" s="3">
        <f t="shared" si="10"/>
        <v>292.362122</v>
      </c>
      <c r="U21" s="39">
        <f t="shared" ref="U20:U22" si="12">T21/S21</f>
        <v>0.13142009532933072</v>
      </c>
      <c r="V21" s="3">
        <v>1</v>
      </c>
      <c r="W21" s="39">
        <f t="shared" si="11"/>
        <v>0.13142009532933072</v>
      </c>
    </row>
    <row r="22" spans="2:23" x14ac:dyDescent="0.35">
      <c r="B22" s="41">
        <v>0</v>
      </c>
      <c r="C22" s="8">
        <v>4</v>
      </c>
      <c r="D22" s="8">
        <f t="shared" si="0"/>
        <v>34.97</v>
      </c>
      <c r="E22" s="8">
        <f t="shared" si="1"/>
        <v>-85.17</v>
      </c>
      <c r="F22" s="8" t="str">
        <f t="shared" si="2"/>
        <v>Meringue Mountains</v>
      </c>
      <c r="G22" s="6">
        <v>5</v>
      </c>
      <c r="H22" s="6">
        <f t="shared" si="3"/>
        <v>35.130000000000003</v>
      </c>
      <c r="I22" s="6">
        <f t="shared" si="4"/>
        <v>-89.41</v>
      </c>
      <c r="J22" s="6" t="str">
        <f t="shared" si="5"/>
        <v>Peppermint Parlor</v>
      </c>
      <c r="K22" s="7">
        <v>15</v>
      </c>
      <c r="L22" s="7">
        <f t="shared" si="7"/>
        <v>4.2430177939763531</v>
      </c>
      <c r="M22" s="7">
        <v>0</v>
      </c>
      <c r="N22" s="7">
        <v>1</v>
      </c>
      <c r="P22" s="3" t="s">
        <v>53</v>
      </c>
      <c r="Q22" s="3" t="s">
        <v>56</v>
      </c>
      <c r="R22" s="3">
        <f>SUMPRODUCT(N10:N33,B10:B33)</f>
        <v>8780</v>
      </c>
      <c r="S22" s="3">
        <v>6582.027</v>
      </c>
      <c r="T22" s="3">
        <f>R22-S22</f>
        <v>2197.973</v>
      </c>
      <c r="U22" s="39">
        <f t="shared" si="12"/>
        <v>0.33393557941953139</v>
      </c>
      <c r="V22" s="3">
        <v>1</v>
      </c>
      <c r="W22" s="39">
        <f t="shared" si="11"/>
        <v>0.33393557941953139</v>
      </c>
    </row>
    <row r="23" spans="2:23" x14ac:dyDescent="0.35">
      <c r="B23" s="41">
        <v>0</v>
      </c>
      <c r="C23" s="8">
        <v>4</v>
      </c>
      <c r="D23" s="8">
        <f t="shared" si="0"/>
        <v>34.97</v>
      </c>
      <c r="E23" s="8">
        <f t="shared" si="1"/>
        <v>-85.17</v>
      </c>
      <c r="F23" s="8" t="str">
        <f t="shared" si="2"/>
        <v>Meringue Mountains</v>
      </c>
      <c r="G23" s="6">
        <v>6</v>
      </c>
      <c r="H23" s="6">
        <f t="shared" si="3"/>
        <v>32.69</v>
      </c>
      <c r="I23" s="6">
        <f t="shared" si="4"/>
        <v>-89.97</v>
      </c>
      <c r="J23" s="6" t="str">
        <f t="shared" si="5"/>
        <v>Sprinkle Street</v>
      </c>
      <c r="K23" s="7">
        <v>14</v>
      </c>
      <c r="L23" s="7">
        <f t="shared" si="7"/>
        <v>5.3139815581162848</v>
      </c>
      <c r="M23" s="7">
        <v>0</v>
      </c>
      <c r="N23" s="7">
        <v>1</v>
      </c>
    </row>
    <row r="24" spans="2:23" x14ac:dyDescent="0.35">
      <c r="B24" s="41">
        <v>0</v>
      </c>
      <c r="C24" s="8">
        <v>4</v>
      </c>
      <c r="D24" s="8">
        <f t="shared" si="0"/>
        <v>34.97</v>
      </c>
      <c r="E24" s="8">
        <f t="shared" si="1"/>
        <v>-85.17</v>
      </c>
      <c r="F24" s="8" t="str">
        <f t="shared" si="2"/>
        <v>Meringue Mountains</v>
      </c>
      <c r="G24" s="6">
        <v>7</v>
      </c>
      <c r="H24" s="6">
        <f t="shared" si="3"/>
        <v>41.65</v>
      </c>
      <c r="I24" s="6">
        <f t="shared" si="4"/>
        <v>-108.93</v>
      </c>
      <c r="J24" s="6" t="str">
        <f t="shared" si="5"/>
        <v>Starburst Starlit Skies</v>
      </c>
      <c r="K24" s="7">
        <v>7</v>
      </c>
      <c r="L24" s="7">
        <f t="shared" si="7"/>
        <v>24.681166909204276</v>
      </c>
      <c r="M24" s="7">
        <v>1</v>
      </c>
      <c r="N24" s="7">
        <v>1</v>
      </c>
      <c r="Q24" t="s">
        <v>57</v>
      </c>
    </row>
    <row r="25" spans="2:23" x14ac:dyDescent="0.35">
      <c r="B25" s="41">
        <v>0</v>
      </c>
      <c r="C25" s="8">
        <v>5</v>
      </c>
      <c r="D25" s="8">
        <f t="shared" si="0"/>
        <v>35.130000000000003</v>
      </c>
      <c r="E25" s="8">
        <f t="shared" si="1"/>
        <v>-89.41</v>
      </c>
      <c r="F25" s="8" t="str">
        <f t="shared" si="2"/>
        <v>Peppermint Parlor</v>
      </c>
      <c r="G25" s="6">
        <v>1</v>
      </c>
      <c r="H25" s="6">
        <f t="shared" si="3"/>
        <v>37.5</v>
      </c>
      <c r="I25" s="6">
        <f t="shared" si="4"/>
        <v>-102.5</v>
      </c>
      <c r="J25" s="6" t="str">
        <f t="shared" si="5"/>
        <v>Lava Cake Ledges</v>
      </c>
      <c r="K25" s="7">
        <v>6</v>
      </c>
      <c r="L25" s="7">
        <f t="shared" si="7"/>
        <v>13.302819250068765</v>
      </c>
      <c r="M25" s="7">
        <v>1</v>
      </c>
      <c r="N25" s="7">
        <v>1</v>
      </c>
      <c r="Q25" t="s">
        <v>58</v>
      </c>
      <c r="R25" s="12">
        <v>0.40706580715438784</v>
      </c>
    </row>
    <row r="26" spans="2:23" x14ac:dyDescent="0.35">
      <c r="B26" s="41">
        <v>0</v>
      </c>
      <c r="C26" s="8">
        <v>5</v>
      </c>
      <c r="D26" s="8">
        <f t="shared" si="0"/>
        <v>35.130000000000003</v>
      </c>
      <c r="E26" s="8">
        <f t="shared" si="1"/>
        <v>-89.41</v>
      </c>
      <c r="F26" s="8" t="str">
        <f t="shared" si="2"/>
        <v>Peppermint Parlor</v>
      </c>
      <c r="G26" s="6">
        <v>2</v>
      </c>
      <c r="H26" s="6">
        <f t="shared" si="3"/>
        <v>33</v>
      </c>
      <c r="I26" s="6">
        <f t="shared" si="4"/>
        <v>-109.85</v>
      </c>
      <c r="J26" s="6" t="str">
        <f t="shared" si="5"/>
        <v>Licorice Labyrinth</v>
      </c>
      <c r="K26" s="7">
        <v>22</v>
      </c>
      <c r="L26" s="7">
        <f t="shared" si="7"/>
        <v>20.550681253914671</v>
      </c>
      <c r="M26" s="7">
        <v>0</v>
      </c>
      <c r="N26" s="7">
        <v>0</v>
      </c>
    </row>
    <row r="27" spans="2:23" x14ac:dyDescent="0.35">
      <c r="B27" s="41">
        <v>1213</v>
      </c>
      <c r="C27" s="8">
        <v>6</v>
      </c>
      <c r="D27" s="8">
        <f t="shared" si="0"/>
        <v>32.69</v>
      </c>
      <c r="E27" s="8">
        <f t="shared" si="1"/>
        <v>-89.97</v>
      </c>
      <c r="F27" s="8" t="str">
        <f t="shared" si="2"/>
        <v>Sprinkle Street</v>
      </c>
      <c r="G27" s="6">
        <v>2</v>
      </c>
      <c r="H27" s="6">
        <f t="shared" si="3"/>
        <v>33</v>
      </c>
      <c r="I27" s="6">
        <f t="shared" si="4"/>
        <v>-109.85</v>
      </c>
      <c r="J27" s="6" t="str">
        <f t="shared" si="5"/>
        <v>Licorice Labyrinth</v>
      </c>
      <c r="K27" s="7">
        <v>15</v>
      </c>
      <c r="L27" s="7">
        <f t="shared" si="7"/>
        <v>19.882416855100885</v>
      </c>
      <c r="M27" s="7">
        <v>1</v>
      </c>
      <c r="N27" s="7">
        <v>1</v>
      </c>
    </row>
    <row r="28" spans="2:23" x14ac:dyDescent="0.35">
      <c r="B28" s="41">
        <v>0</v>
      </c>
      <c r="C28" s="8">
        <v>6</v>
      </c>
      <c r="D28" s="8">
        <f t="shared" si="0"/>
        <v>32.69</v>
      </c>
      <c r="E28" s="8">
        <f t="shared" si="1"/>
        <v>-89.97</v>
      </c>
      <c r="F28" s="8" t="str">
        <f t="shared" si="2"/>
        <v>Sprinkle Street</v>
      </c>
      <c r="G28" s="6">
        <v>3</v>
      </c>
      <c r="H28" s="6">
        <f t="shared" si="3"/>
        <v>44.56</v>
      </c>
      <c r="I28" s="6">
        <f t="shared" si="4"/>
        <v>-92.72</v>
      </c>
      <c r="J28" s="6" t="str">
        <f t="shared" si="5"/>
        <v>Licorice Lanes</v>
      </c>
      <c r="K28" s="7">
        <v>10</v>
      </c>
      <c r="L28" s="7">
        <f t="shared" si="7"/>
        <v>12.184391654900137</v>
      </c>
      <c r="M28" s="7">
        <v>0</v>
      </c>
      <c r="N28" s="7">
        <v>1</v>
      </c>
    </row>
    <row r="29" spans="2:23" x14ac:dyDescent="0.35">
      <c r="B29" s="41">
        <v>0</v>
      </c>
      <c r="C29" s="8">
        <v>6</v>
      </c>
      <c r="D29" s="8">
        <f t="shared" si="0"/>
        <v>32.69</v>
      </c>
      <c r="E29" s="8">
        <f t="shared" si="1"/>
        <v>-89.97</v>
      </c>
      <c r="F29" s="8" t="str">
        <f t="shared" si="2"/>
        <v>Sprinkle Street</v>
      </c>
      <c r="G29" s="6">
        <v>4</v>
      </c>
      <c r="H29" s="6">
        <f t="shared" si="3"/>
        <v>34.97</v>
      </c>
      <c r="I29" s="6">
        <f t="shared" si="4"/>
        <v>-85.17</v>
      </c>
      <c r="J29" s="6" t="str">
        <f t="shared" si="5"/>
        <v>Meringue Mountains</v>
      </c>
      <c r="K29" s="7">
        <v>19</v>
      </c>
      <c r="L29" s="7">
        <f t="shared" si="7"/>
        <v>5.3139815581162848</v>
      </c>
      <c r="M29" s="7">
        <v>0</v>
      </c>
      <c r="N29" s="7">
        <v>1</v>
      </c>
    </row>
    <row r="30" spans="2:23" x14ac:dyDescent="0.35">
      <c r="B30" s="41">
        <v>0</v>
      </c>
      <c r="C30" s="8">
        <v>6</v>
      </c>
      <c r="D30" s="8">
        <f t="shared" si="0"/>
        <v>32.69</v>
      </c>
      <c r="E30" s="8">
        <f t="shared" si="1"/>
        <v>-89.97</v>
      </c>
      <c r="F30" s="8" t="str">
        <f t="shared" si="2"/>
        <v>Sprinkle Street</v>
      </c>
      <c r="G30" s="6">
        <v>5</v>
      </c>
      <c r="H30" s="6">
        <f t="shared" si="3"/>
        <v>35.130000000000003</v>
      </c>
      <c r="I30" s="6">
        <f t="shared" si="4"/>
        <v>-89.41</v>
      </c>
      <c r="J30" s="6" t="str">
        <f t="shared" si="5"/>
        <v>Peppermint Parlor</v>
      </c>
      <c r="K30" s="7">
        <v>14</v>
      </c>
      <c r="L30" s="7">
        <f t="shared" si="7"/>
        <v>2.5034376365310216</v>
      </c>
      <c r="M30" s="7">
        <v>1</v>
      </c>
      <c r="N30" s="7">
        <v>1</v>
      </c>
    </row>
    <row r="31" spans="2:23" x14ac:dyDescent="0.35">
      <c r="B31" s="41">
        <v>0</v>
      </c>
      <c r="C31" s="8">
        <v>7</v>
      </c>
      <c r="D31" s="8">
        <f t="shared" si="0"/>
        <v>41.65</v>
      </c>
      <c r="E31" s="8">
        <f t="shared" si="1"/>
        <v>-108.93</v>
      </c>
      <c r="F31" s="8" t="str">
        <f t="shared" si="2"/>
        <v>Starburst Starlit Skies</v>
      </c>
      <c r="G31" s="6">
        <v>3</v>
      </c>
      <c r="H31" s="6">
        <f t="shared" si="3"/>
        <v>44.56</v>
      </c>
      <c r="I31" s="6">
        <f t="shared" si="4"/>
        <v>-92.72</v>
      </c>
      <c r="J31" s="6" t="str">
        <f t="shared" si="5"/>
        <v>Licorice Lanes</v>
      </c>
      <c r="K31" s="7">
        <v>21</v>
      </c>
      <c r="L31" s="7">
        <f t="shared" si="7"/>
        <v>16.469128695835742</v>
      </c>
      <c r="M31" s="7">
        <v>1</v>
      </c>
      <c r="N31" s="7">
        <v>1</v>
      </c>
    </row>
    <row r="32" spans="2:23" x14ac:dyDescent="0.35">
      <c r="B32" s="41">
        <v>0</v>
      </c>
      <c r="C32" s="8">
        <v>7</v>
      </c>
      <c r="D32" s="8">
        <f t="shared" si="0"/>
        <v>41.65</v>
      </c>
      <c r="E32" s="8">
        <f t="shared" si="1"/>
        <v>-108.93</v>
      </c>
      <c r="F32" s="8" t="str">
        <f t="shared" si="2"/>
        <v>Starburst Starlit Skies</v>
      </c>
      <c r="G32" s="6">
        <v>4</v>
      </c>
      <c r="H32" s="6">
        <f t="shared" si="3"/>
        <v>34.97</v>
      </c>
      <c r="I32" s="6">
        <f t="shared" si="4"/>
        <v>-85.17</v>
      </c>
      <c r="J32" s="6" t="str">
        <f t="shared" si="5"/>
        <v>Meringue Mountains</v>
      </c>
      <c r="K32" s="7">
        <v>8</v>
      </c>
      <c r="L32" s="7">
        <f t="shared" si="7"/>
        <v>24.681166909204276</v>
      </c>
      <c r="M32" s="7">
        <v>1</v>
      </c>
      <c r="N32" s="7">
        <v>1</v>
      </c>
    </row>
    <row r="33" spans="2:14" x14ac:dyDescent="0.35">
      <c r="B33" s="41">
        <v>0</v>
      </c>
      <c r="C33" s="8">
        <v>7</v>
      </c>
      <c r="D33" s="8">
        <f t="shared" si="0"/>
        <v>41.65</v>
      </c>
      <c r="E33" s="8">
        <f t="shared" si="1"/>
        <v>-108.93</v>
      </c>
      <c r="F33" s="8" t="str">
        <f t="shared" si="2"/>
        <v>Starburst Starlit Skies</v>
      </c>
      <c r="G33" s="6">
        <v>6</v>
      </c>
      <c r="H33" s="6">
        <f t="shared" si="3"/>
        <v>32.69</v>
      </c>
      <c r="I33" s="6">
        <f t="shared" si="4"/>
        <v>-89.97</v>
      </c>
      <c r="J33" s="6" t="str">
        <f t="shared" si="5"/>
        <v>Sprinkle Street</v>
      </c>
      <c r="K33" s="7">
        <v>6</v>
      </c>
      <c r="L33" s="7">
        <f t="shared" si="7"/>
        <v>20.970531705228655</v>
      </c>
      <c r="M33" s="7">
        <v>0</v>
      </c>
      <c r="N33" s="7">
        <v>0</v>
      </c>
    </row>
  </sheetData>
  <mergeCells count="17">
    <mergeCell ref="J2:P2"/>
    <mergeCell ref="J3:P3"/>
    <mergeCell ref="H4:P4"/>
    <mergeCell ref="H5:P5"/>
    <mergeCell ref="W8:W9"/>
    <mergeCell ref="M8:M9"/>
    <mergeCell ref="L8:L9"/>
    <mergeCell ref="N8:N9"/>
    <mergeCell ref="P8:Q9"/>
    <mergeCell ref="R8:R9"/>
    <mergeCell ref="S8:S9"/>
    <mergeCell ref="T8:T9"/>
    <mergeCell ref="K8:K9"/>
    <mergeCell ref="G8:J8"/>
    <mergeCell ref="C8:F8"/>
    <mergeCell ref="U8:U9"/>
    <mergeCell ref="V8:V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86EF-521B-46E4-BAA1-4F9FB6910985}">
  <dimension ref="B2:AF33"/>
  <sheetViews>
    <sheetView topLeftCell="D8" zoomScale="50" zoomScaleNormal="50" workbookViewId="0">
      <selection activeCell="Q29" sqref="Q29"/>
    </sheetView>
  </sheetViews>
  <sheetFormatPr defaultRowHeight="14.5" x14ac:dyDescent="0.35"/>
  <cols>
    <col min="3" max="3" width="5.1796875" customWidth="1"/>
    <col min="4" max="4" width="10.81640625" customWidth="1"/>
    <col min="5" max="5" width="11.54296875" customWidth="1"/>
    <col min="6" max="6" width="18.36328125" customWidth="1"/>
    <col min="7" max="7" width="5.1796875" customWidth="1"/>
    <col min="8" max="8" width="10.7265625" customWidth="1"/>
    <col min="9" max="9" width="12.08984375" customWidth="1"/>
    <col min="10" max="10" width="17" customWidth="1"/>
    <col min="13" max="13" width="21.08984375" customWidth="1"/>
    <col min="14" max="16" width="13.1796875" customWidth="1"/>
    <col min="18" max="18" width="4.36328125" customWidth="1"/>
    <col min="19" max="19" width="18.81640625" customWidth="1"/>
    <col min="20" max="20" width="8.36328125" customWidth="1"/>
    <col min="21" max="21" width="9.26953125" customWidth="1"/>
    <col min="25" max="25" width="15.90625" customWidth="1"/>
    <col min="27" max="27" width="13.36328125" customWidth="1"/>
    <col min="28" max="28" width="18.1796875" customWidth="1"/>
  </cols>
  <sheetData>
    <row r="2" spans="2:32" ht="14.5" customHeight="1" x14ac:dyDescent="0.35">
      <c r="J2" s="33" t="s">
        <v>25</v>
      </c>
      <c r="K2" s="33"/>
      <c r="L2" s="33"/>
      <c r="M2" s="33"/>
      <c r="N2" s="33"/>
      <c r="O2" s="33"/>
      <c r="P2" s="33"/>
      <c r="Q2" s="33"/>
      <c r="R2" s="33"/>
      <c r="S2" s="11">
        <f>SUMPRODUCT(B10:B33,K10:K33)</f>
        <v>128909</v>
      </c>
      <c r="T2" s="11"/>
      <c r="U2" s="11"/>
      <c r="V2" s="11"/>
    </row>
    <row r="3" spans="2:32" x14ac:dyDescent="0.35">
      <c r="J3" s="33" t="s">
        <v>42</v>
      </c>
      <c r="K3" s="33"/>
      <c r="L3" s="33"/>
      <c r="M3" s="33"/>
      <c r="N3" s="33"/>
      <c r="O3" s="33"/>
      <c r="P3" s="33"/>
      <c r="Q3" s="33"/>
      <c r="R3" s="33"/>
      <c r="S3" s="11"/>
      <c r="T3" s="11"/>
      <c r="U3" s="11"/>
      <c r="V3" s="11"/>
    </row>
    <row r="4" spans="2:32" x14ac:dyDescent="0.35">
      <c r="H4" s="34" t="s">
        <v>43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11"/>
      <c r="T4" s="11"/>
      <c r="U4" s="11"/>
      <c r="V4" s="11"/>
    </row>
    <row r="5" spans="2:32" x14ac:dyDescent="0.35">
      <c r="H5" s="34" t="s">
        <v>44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11"/>
      <c r="T5" s="11"/>
      <c r="U5" s="11"/>
      <c r="V5" s="11"/>
    </row>
    <row r="6" spans="2:32" x14ac:dyDescent="0.35">
      <c r="J6" s="1"/>
      <c r="K6" s="1"/>
      <c r="L6" s="1"/>
      <c r="M6" s="1"/>
      <c r="N6" s="1"/>
      <c r="O6" s="1"/>
      <c r="P6" s="1"/>
      <c r="Q6" s="1"/>
    </row>
    <row r="8" spans="2:32" ht="14.5" customHeight="1" x14ac:dyDescent="0.35">
      <c r="B8" s="5" t="s">
        <v>26</v>
      </c>
      <c r="C8" s="35" t="s">
        <v>27</v>
      </c>
      <c r="D8" s="35"/>
      <c r="E8" s="35"/>
      <c r="F8" s="35"/>
      <c r="G8" s="36" t="s">
        <v>28</v>
      </c>
      <c r="H8" s="36"/>
      <c r="I8" s="36"/>
      <c r="J8" s="36"/>
      <c r="K8" s="37" t="s">
        <v>29</v>
      </c>
      <c r="L8" s="37" t="s">
        <v>37</v>
      </c>
      <c r="M8" s="37" t="s">
        <v>39</v>
      </c>
      <c r="N8" s="38" t="s">
        <v>40</v>
      </c>
      <c r="O8" s="38" t="s">
        <v>41</v>
      </c>
      <c r="P8" s="25" t="s">
        <v>45</v>
      </c>
      <c r="R8" s="27" t="s">
        <v>30</v>
      </c>
      <c r="S8" s="28"/>
      <c r="T8" s="31" t="s">
        <v>35</v>
      </c>
      <c r="U8" s="31" t="s">
        <v>36</v>
      </c>
      <c r="V8" s="21" t="s">
        <v>31</v>
      </c>
      <c r="W8" s="21" t="s">
        <v>32</v>
      </c>
      <c r="X8" s="21" t="s">
        <v>33</v>
      </c>
      <c r="Y8" s="23" t="s">
        <v>34</v>
      </c>
      <c r="AA8" t="s">
        <v>0</v>
      </c>
      <c r="AB8" t="s">
        <v>1</v>
      </c>
      <c r="AC8" t="s">
        <v>2</v>
      </c>
      <c r="AD8" t="s">
        <v>3</v>
      </c>
      <c r="AE8" t="s">
        <v>13</v>
      </c>
      <c r="AF8" t="s">
        <v>14</v>
      </c>
    </row>
    <row r="9" spans="2:32" x14ac:dyDescent="0.35">
      <c r="B9" s="5"/>
      <c r="C9" s="9"/>
      <c r="D9" s="9" t="s">
        <v>35</v>
      </c>
      <c r="E9" s="9" t="s">
        <v>38</v>
      </c>
      <c r="F9" s="9"/>
      <c r="G9" s="10"/>
      <c r="H9" s="10" t="s">
        <v>35</v>
      </c>
      <c r="I9" s="10" t="s">
        <v>38</v>
      </c>
      <c r="J9" s="10"/>
      <c r="K9" s="37"/>
      <c r="L9" s="37"/>
      <c r="M9" s="37"/>
      <c r="N9" s="38"/>
      <c r="O9" s="38"/>
      <c r="P9" s="26"/>
      <c r="R9" s="29"/>
      <c r="S9" s="30"/>
      <c r="T9" s="32"/>
      <c r="U9" s="32"/>
      <c r="V9" s="22"/>
      <c r="W9" s="22"/>
      <c r="X9" s="22"/>
      <c r="Y9" s="24"/>
    </row>
    <row r="10" spans="2:32" x14ac:dyDescent="0.35">
      <c r="B10" s="2">
        <v>1728</v>
      </c>
      <c r="C10" s="8">
        <v>1</v>
      </c>
      <c r="D10" s="8">
        <f>_xlfn.XLOOKUP(C10,$R$10:$R$16,$T$10:$T$16,0,0)</f>
        <v>37.5</v>
      </c>
      <c r="E10" s="8">
        <f>_xlfn.XLOOKUP(C10,$R$10:$R$16,$U$10:$U$16,0,0)</f>
        <v>-102.5</v>
      </c>
      <c r="F10" s="8" t="str">
        <f>VLOOKUP(C10,$R$10:$S$16,2,0)</f>
        <v>Lava Cake Ledges</v>
      </c>
      <c r="G10" s="6">
        <v>3</v>
      </c>
      <c r="H10" s="6">
        <f>_xlfn.XLOOKUP(G10,$R$10:$R$16,$T$10:$T$16,0,0)</f>
        <v>44.56</v>
      </c>
      <c r="I10" s="6">
        <f>_xlfn.XLOOKUP(G10,$R$10:$R$16,$U$10:$U$16,0,0)</f>
        <v>-92.72</v>
      </c>
      <c r="J10" s="6" t="str">
        <f t="shared" ref="J10:J33" si="0">_xlfn.XLOOKUP(G10,$R$10:$R$18,$S$10:$S$18)</f>
        <v>Licorice Lanes</v>
      </c>
      <c r="K10" s="7">
        <v>13</v>
      </c>
      <c r="L10" s="7">
        <f>SQRT((H10-E10)^2 + (I10-D10)^2)</f>
        <v>196.42782898560986</v>
      </c>
      <c r="M10" s="7" t="s">
        <v>18</v>
      </c>
      <c r="N10" s="7">
        <f ca="1">IF(OR(N10 = "Electric/Hybrid Trucks", N10 = "Electrified Rail", N10 = "Slow Steaming Cargo Ships" ),0,1)</f>
        <v>0</v>
      </c>
      <c r="O10" s="7">
        <v>82</v>
      </c>
      <c r="P10" s="7">
        <f>IF(O10&gt;=70,1,0)</f>
        <v>1</v>
      </c>
      <c r="R10" s="3">
        <v>1</v>
      </c>
      <c r="S10" s="3" t="s">
        <v>6</v>
      </c>
      <c r="T10" s="3">
        <v>37.5</v>
      </c>
      <c r="U10" s="3">
        <v>-102.5</v>
      </c>
      <c r="V10" s="3">
        <f>SUMIF($G$10:$G$33,R10,$B$10:$B$33)</f>
        <v>0</v>
      </c>
      <c r="W10" s="3">
        <f>SUMIF($C$10:$C$33,R10,$B$10:$B$33)</f>
        <v>8871</v>
      </c>
      <c r="X10" s="3">
        <f>V10-W10</f>
        <v>-8871</v>
      </c>
      <c r="Y10" s="3">
        <v>-8871</v>
      </c>
      <c r="AA10">
        <v>1</v>
      </c>
      <c r="AB10" t="s">
        <v>6</v>
      </c>
      <c r="AC10">
        <v>37.5</v>
      </c>
      <c r="AD10">
        <v>-102.5</v>
      </c>
      <c r="AE10">
        <v>1</v>
      </c>
      <c r="AF10">
        <v>3</v>
      </c>
    </row>
    <row r="11" spans="2:32" x14ac:dyDescent="0.35">
      <c r="B11" s="2">
        <v>2980</v>
      </c>
      <c r="C11" s="8">
        <v>1</v>
      </c>
      <c r="D11" s="8">
        <f t="shared" ref="D11:D33" si="1">_xlfn.XLOOKUP(C11,$R$10:$R$16,$T$10:$T$16,0,0)</f>
        <v>37.5</v>
      </c>
      <c r="E11" s="8">
        <f t="shared" ref="E11:E32" si="2">_xlfn.XLOOKUP(C11,$R$10:$R$16,$U$10:$U$16,0,0)</f>
        <v>-102.5</v>
      </c>
      <c r="F11" s="8" t="str">
        <f t="shared" ref="F11:F33" si="3">VLOOKUP(C11,$R$10:$S$16,2,0)</f>
        <v>Lava Cake Ledges</v>
      </c>
      <c r="G11" s="6">
        <v>4</v>
      </c>
      <c r="H11" s="6">
        <f t="shared" ref="H11:H33" si="4">_xlfn.XLOOKUP(G11,$R$10:$R$16,$T$10:$T$16,0,0)</f>
        <v>34.97</v>
      </c>
      <c r="I11" s="6">
        <f t="shared" ref="I11:I33" si="5">_xlfn.XLOOKUP(G11,$R$10:$R$16,$U$10:$U$16,0,0)</f>
        <v>-85.17</v>
      </c>
      <c r="J11" s="6" t="str">
        <f t="shared" si="0"/>
        <v>Meringue Mountains</v>
      </c>
      <c r="K11" s="7">
        <v>8</v>
      </c>
      <c r="L11" s="7">
        <f t="shared" ref="L11:L33" si="6">SQRT((H11-E11)^2 + (I11-D11)^2)</f>
        <v>184.24421239214001</v>
      </c>
      <c r="M11" s="7" t="s">
        <v>19</v>
      </c>
      <c r="N11" s="7">
        <v>1</v>
      </c>
      <c r="O11" s="7">
        <v>29</v>
      </c>
      <c r="P11" s="7">
        <f t="shared" ref="P11:P33" si="7">IF(O11&gt;=70,1,0)</f>
        <v>0</v>
      </c>
      <c r="R11" s="3">
        <v>2</v>
      </c>
      <c r="S11" s="3" t="s">
        <v>7</v>
      </c>
      <c r="T11" s="3">
        <v>33</v>
      </c>
      <c r="U11" s="3">
        <v>-109.85</v>
      </c>
      <c r="V11" s="3">
        <f>SUMIF($G$10:$G$33,R11,$B$10:$B$33)</f>
        <v>1213</v>
      </c>
      <c r="W11" s="3">
        <f t="shared" ref="W11:W15" si="8">SUMIF($C$10:$C$33,R11,$B$10:$B$33)</f>
        <v>0</v>
      </c>
      <c r="X11" s="3">
        <f>V11-W11</f>
        <v>1213</v>
      </c>
      <c r="Y11" s="3">
        <v>1213</v>
      </c>
      <c r="AA11">
        <v>2</v>
      </c>
      <c r="AB11" t="s">
        <v>7</v>
      </c>
      <c r="AC11">
        <v>33</v>
      </c>
      <c r="AD11">
        <v>-109.85</v>
      </c>
      <c r="AE11">
        <v>1</v>
      </c>
      <c r="AF11">
        <v>4</v>
      </c>
    </row>
    <row r="12" spans="2:32" x14ac:dyDescent="0.35">
      <c r="B12" s="2">
        <v>1401</v>
      </c>
      <c r="C12" s="8">
        <v>1</v>
      </c>
      <c r="D12" s="8">
        <f t="shared" si="1"/>
        <v>37.5</v>
      </c>
      <c r="E12" s="8">
        <f t="shared" si="2"/>
        <v>-102.5</v>
      </c>
      <c r="F12" s="8" t="str">
        <f t="shared" si="3"/>
        <v>Lava Cake Ledges</v>
      </c>
      <c r="G12" s="6">
        <v>5</v>
      </c>
      <c r="H12" s="6">
        <f t="shared" si="4"/>
        <v>35.130000000000003</v>
      </c>
      <c r="I12" s="6">
        <f t="shared" si="5"/>
        <v>-89.41</v>
      </c>
      <c r="J12" s="6" t="str">
        <f t="shared" si="0"/>
        <v>Peppermint Parlor</v>
      </c>
      <c r="K12" s="7">
        <v>10</v>
      </c>
      <c r="L12" s="7">
        <f t="shared" si="6"/>
        <v>187.21155145983911</v>
      </c>
      <c r="M12" s="7" t="s">
        <v>20</v>
      </c>
      <c r="N12" s="7">
        <f t="shared" ref="N12:N33" ca="1" si="9">IF(OR(N12 = "Electric/Hybrid Trucks", N12 = "Electrified Rail", N12="Slow Steaming Cargo Ships" ),0,1)</f>
        <v>0</v>
      </c>
      <c r="O12" s="7">
        <v>99</v>
      </c>
      <c r="P12" s="7">
        <f t="shared" si="7"/>
        <v>1</v>
      </c>
      <c r="R12" s="3">
        <v>3</v>
      </c>
      <c r="S12" s="3" t="s">
        <v>8</v>
      </c>
      <c r="T12" s="3">
        <v>44.56</v>
      </c>
      <c r="U12" s="3">
        <v>-92.72</v>
      </c>
      <c r="V12" s="3">
        <f t="shared" ref="V12:V16" si="10">SUMIF($G$10:$G$33,R12,$B$10:$B$33)</f>
        <v>1728</v>
      </c>
      <c r="W12" s="3">
        <f t="shared" si="8"/>
        <v>0</v>
      </c>
      <c r="X12" s="3">
        <f t="shared" ref="X12:X16" si="11">V12-W12</f>
        <v>1728</v>
      </c>
      <c r="Y12" s="3">
        <v>1728</v>
      </c>
      <c r="AA12">
        <v>3</v>
      </c>
      <c r="AB12" t="s">
        <v>8</v>
      </c>
      <c r="AC12">
        <v>44.56</v>
      </c>
      <c r="AD12">
        <v>-92.72</v>
      </c>
      <c r="AE12">
        <v>1</v>
      </c>
      <c r="AF12">
        <v>5</v>
      </c>
    </row>
    <row r="13" spans="2:32" x14ac:dyDescent="0.35">
      <c r="B13" s="2">
        <v>2762</v>
      </c>
      <c r="C13" s="8">
        <v>1</v>
      </c>
      <c r="D13" s="8">
        <f t="shared" si="1"/>
        <v>37.5</v>
      </c>
      <c r="E13" s="8">
        <f t="shared" si="2"/>
        <v>-102.5</v>
      </c>
      <c r="F13" s="8" t="str">
        <f t="shared" si="3"/>
        <v>Lava Cake Ledges</v>
      </c>
      <c r="G13" s="6">
        <v>6</v>
      </c>
      <c r="H13" s="6">
        <f t="shared" si="4"/>
        <v>32.69</v>
      </c>
      <c r="I13" s="6">
        <f t="shared" si="5"/>
        <v>-89.97</v>
      </c>
      <c r="J13" s="6" t="str">
        <f t="shared" si="0"/>
        <v>Sprinkle Street</v>
      </c>
      <c r="K13" s="7">
        <v>14</v>
      </c>
      <c r="L13" s="7">
        <f t="shared" si="6"/>
        <v>185.80887223165635</v>
      </c>
      <c r="M13" s="7" t="s">
        <v>21</v>
      </c>
      <c r="N13" s="7">
        <f ca="1">IF(OR(N13 = "Electric/Hybrid Trucks", N13 = "Electrified Rail", N13 = "Slow Steaming Cargo Ships" ),0,1)</f>
        <v>0</v>
      </c>
      <c r="O13" s="7">
        <v>99</v>
      </c>
      <c r="P13" s="7">
        <f t="shared" si="7"/>
        <v>1</v>
      </c>
      <c r="R13" s="3">
        <v>4</v>
      </c>
      <c r="S13" s="3" t="s">
        <v>9</v>
      </c>
      <c r="T13" s="3">
        <v>34.97</v>
      </c>
      <c r="U13" s="3">
        <v>-85.17</v>
      </c>
      <c r="V13" s="3">
        <f t="shared" si="10"/>
        <v>2980</v>
      </c>
      <c r="W13" s="3">
        <f t="shared" si="8"/>
        <v>1676</v>
      </c>
      <c r="X13" s="3">
        <f t="shared" si="11"/>
        <v>1304</v>
      </c>
      <c r="Y13" s="3">
        <v>1304</v>
      </c>
      <c r="AA13">
        <v>4</v>
      </c>
      <c r="AB13" t="s">
        <v>9</v>
      </c>
      <c r="AC13">
        <v>34.97</v>
      </c>
      <c r="AD13">
        <v>-85.17</v>
      </c>
      <c r="AE13">
        <v>1</v>
      </c>
      <c r="AF13">
        <v>6</v>
      </c>
    </row>
    <row r="14" spans="2:32" x14ac:dyDescent="0.35">
      <c r="B14" s="4">
        <v>0</v>
      </c>
      <c r="C14" s="8">
        <v>1</v>
      </c>
      <c r="D14" s="8">
        <f t="shared" si="1"/>
        <v>37.5</v>
      </c>
      <c r="E14" s="8">
        <f t="shared" si="2"/>
        <v>-102.5</v>
      </c>
      <c r="F14" s="8" t="str">
        <f t="shared" si="3"/>
        <v>Lava Cake Ledges</v>
      </c>
      <c r="G14" s="6">
        <v>7</v>
      </c>
      <c r="H14" s="6">
        <f t="shared" si="4"/>
        <v>41.65</v>
      </c>
      <c r="I14" s="6">
        <f t="shared" si="5"/>
        <v>-108.93</v>
      </c>
      <c r="J14" s="6" t="str">
        <f t="shared" si="0"/>
        <v>Starburst Starlit Skies</v>
      </c>
      <c r="K14" s="7">
        <v>16</v>
      </c>
      <c r="L14" s="7">
        <f t="shared" si="6"/>
        <v>205.47741335728364</v>
      </c>
      <c r="M14" s="7" t="s">
        <v>18</v>
      </c>
      <c r="N14" s="7">
        <f t="shared" ca="1" si="9"/>
        <v>0</v>
      </c>
      <c r="O14" s="7">
        <v>96</v>
      </c>
      <c r="P14" s="7">
        <f t="shared" si="7"/>
        <v>1</v>
      </c>
      <c r="R14" s="3">
        <v>5</v>
      </c>
      <c r="S14" s="3" t="s">
        <v>10</v>
      </c>
      <c r="T14" s="3">
        <v>35.130000000000003</v>
      </c>
      <c r="U14" s="3">
        <v>-89.41</v>
      </c>
      <c r="V14" s="3">
        <f t="shared" si="10"/>
        <v>1401</v>
      </c>
      <c r="W14" s="3">
        <f t="shared" si="8"/>
        <v>0</v>
      </c>
      <c r="X14" s="3">
        <f t="shared" si="11"/>
        <v>1401</v>
      </c>
      <c r="Y14" s="3">
        <v>1401</v>
      </c>
      <c r="AA14">
        <v>5</v>
      </c>
      <c r="AB14" t="s">
        <v>10</v>
      </c>
      <c r="AC14">
        <v>35.130000000000003</v>
      </c>
      <c r="AD14">
        <v>-89.41</v>
      </c>
      <c r="AE14">
        <v>1</v>
      </c>
      <c r="AF14">
        <v>7</v>
      </c>
    </row>
    <row r="15" spans="2:32" x14ac:dyDescent="0.35">
      <c r="B15" s="4">
        <v>0</v>
      </c>
      <c r="C15" s="8">
        <v>2</v>
      </c>
      <c r="D15" s="8">
        <f t="shared" si="1"/>
        <v>33</v>
      </c>
      <c r="E15" s="8">
        <f t="shared" si="2"/>
        <v>-109.85</v>
      </c>
      <c r="F15" s="8" t="str">
        <f t="shared" si="3"/>
        <v>Licorice Labyrinth</v>
      </c>
      <c r="G15" s="6">
        <v>4</v>
      </c>
      <c r="H15" s="6">
        <f t="shared" si="4"/>
        <v>34.97</v>
      </c>
      <c r="I15" s="6">
        <f t="shared" si="5"/>
        <v>-85.17</v>
      </c>
      <c r="J15" s="6" t="str">
        <f t="shared" si="0"/>
        <v>Meringue Mountains</v>
      </c>
      <c r="K15" s="7">
        <v>8</v>
      </c>
      <c r="L15" s="7">
        <f t="shared" si="6"/>
        <v>186.91436889656183</v>
      </c>
      <c r="M15" s="7" t="s">
        <v>20</v>
      </c>
      <c r="N15" s="7">
        <f t="shared" ca="1" si="9"/>
        <v>0</v>
      </c>
      <c r="O15" s="7">
        <v>74</v>
      </c>
      <c r="P15" s="7">
        <f t="shared" si="7"/>
        <v>1</v>
      </c>
      <c r="R15" s="3">
        <v>6</v>
      </c>
      <c r="S15" s="3" t="s">
        <v>11</v>
      </c>
      <c r="T15" s="3">
        <v>32.69</v>
      </c>
      <c r="U15" s="3">
        <v>-89.97</v>
      </c>
      <c r="V15" s="3">
        <f t="shared" si="10"/>
        <v>2762</v>
      </c>
      <c r="W15" s="3">
        <f t="shared" si="8"/>
        <v>1213</v>
      </c>
      <c r="X15" s="3">
        <f t="shared" si="11"/>
        <v>1549</v>
      </c>
      <c r="Y15" s="3">
        <v>1549</v>
      </c>
      <c r="AA15">
        <v>6</v>
      </c>
      <c r="AB15" t="s">
        <v>11</v>
      </c>
      <c r="AC15">
        <v>32.69</v>
      </c>
      <c r="AD15">
        <v>-89.97</v>
      </c>
      <c r="AE15">
        <v>2</v>
      </c>
      <c r="AF15">
        <v>4</v>
      </c>
    </row>
    <row r="16" spans="2:32" x14ac:dyDescent="0.35">
      <c r="B16" s="4">
        <v>0</v>
      </c>
      <c r="C16" s="8">
        <v>2</v>
      </c>
      <c r="D16" s="8">
        <f t="shared" si="1"/>
        <v>33</v>
      </c>
      <c r="E16" s="8">
        <f t="shared" si="2"/>
        <v>-109.85</v>
      </c>
      <c r="F16" s="8" t="str">
        <f t="shared" si="3"/>
        <v>Licorice Labyrinth</v>
      </c>
      <c r="G16" s="6">
        <v>5</v>
      </c>
      <c r="H16" s="6">
        <f t="shared" si="4"/>
        <v>35.130000000000003</v>
      </c>
      <c r="I16" s="6">
        <f t="shared" si="5"/>
        <v>-89.41</v>
      </c>
      <c r="J16" s="6" t="str">
        <f t="shared" si="0"/>
        <v>Peppermint Parlor</v>
      </c>
      <c r="K16" s="7">
        <v>7</v>
      </c>
      <c r="L16" s="7">
        <f t="shared" si="6"/>
        <v>189.7456415836738</v>
      </c>
      <c r="M16" s="7" t="s">
        <v>20</v>
      </c>
      <c r="N16" s="7">
        <f t="shared" ca="1" si="9"/>
        <v>0</v>
      </c>
      <c r="O16" s="7">
        <v>95</v>
      </c>
      <c r="P16" s="7">
        <f t="shared" si="7"/>
        <v>1</v>
      </c>
      <c r="R16" s="3">
        <v>7</v>
      </c>
      <c r="S16" s="3" t="s">
        <v>12</v>
      </c>
      <c r="T16" s="3">
        <v>41.65</v>
      </c>
      <c r="U16" s="3">
        <v>-108.93</v>
      </c>
      <c r="V16" s="3">
        <f t="shared" si="10"/>
        <v>1676</v>
      </c>
      <c r="W16" s="3">
        <f>SUMIF($C$10:$C$33,R16,$B$10:$B$33)</f>
        <v>0</v>
      </c>
      <c r="X16" s="3">
        <f t="shared" si="11"/>
        <v>1676</v>
      </c>
      <c r="Y16" s="3">
        <v>1676</v>
      </c>
      <c r="AA16">
        <v>7</v>
      </c>
      <c r="AB16" t="s">
        <v>12</v>
      </c>
      <c r="AC16">
        <v>41.65</v>
      </c>
      <c r="AD16">
        <v>-108.93</v>
      </c>
      <c r="AE16">
        <v>2</v>
      </c>
      <c r="AF16">
        <v>5</v>
      </c>
    </row>
    <row r="17" spans="2:32" x14ac:dyDescent="0.35">
      <c r="B17" s="4">
        <v>0</v>
      </c>
      <c r="C17" s="8">
        <v>2</v>
      </c>
      <c r="D17" s="8">
        <f t="shared" si="1"/>
        <v>33</v>
      </c>
      <c r="E17" s="8">
        <f t="shared" si="2"/>
        <v>-109.85</v>
      </c>
      <c r="F17" s="8" t="str">
        <f t="shared" si="3"/>
        <v>Licorice Labyrinth</v>
      </c>
      <c r="G17" s="6">
        <v>7</v>
      </c>
      <c r="H17" s="6">
        <f t="shared" si="4"/>
        <v>41.65</v>
      </c>
      <c r="I17" s="6">
        <f t="shared" si="5"/>
        <v>-108.93</v>
      </c>
      <c r="J17" s="6" t="str">
        <f t="shared" si="0"/>
        <v>Starburst Starlit Skies</v>
      </c>
      <c r="K17" s="7">
        <v>21</v>
      </c>
      <c r="L17" s="7">
        <f t="shared" si="6"/>
        <v>207.59666399053719</v>
      </c>
      <c r="M17" s="7" t="s">
        <v>21</v>
      </c>
      <c r="N17" s="7">
        <f t="shared" ca="1" si="9"/>
        <v>0</v>
      </c>
      <c r="O17" s="7">
        <v>96</v>
      </c>
      <c r="P17" s="7">
        <f t="shared" si="7"/>
        <v>1</v>
      </c>
      <c r="AE17">
        <v>2</v>
      </c>
      <c r="AF17">
        <v>7</v>
      </c>
    </row>
    <row r="18" spans="2:32" x14ac:dyDescent="0.35">
      <c r="B18" s="4">
        <v>0</v>
      </c>
      <c r="C18" s="8">
        <v>3</v>
      </c>
      <c r="D18" s="8">
        <f t="shared" si="1"/>
        <v>44.56</v>
      </c>
      <c r="E18" s="8">
        <f t="shared" si="2"/>
        <v>-92.72</v>
      </c>
      <c r="F18" s="8" t="str">
        <f t="shared" si="3"/>
        <v>Licorice Lanes</v>
      </c>
      <c r="G18" s="6">
        <v>5</v>
      </c>
      <c r="H18" s="6">
        <f t="shared" si="4"/>
        <v>35.130000000000003</v>
      </c>
      <c r="I18" s="6">
        <f t="shared" si="5"/>
        <v>-89.41</v>
      </c>
      <c r="J18" s="6" t="str">
        <f>_xlfn.XLOOKUP(G18,$R$10:$R$18,$S$10:$S$18)</f>
        <v>Peppermint Parlor</v>
      </c>
      <c r="K18" s="7">
        <v>11</v>
      </c>
      <c r="L18" s="7">
        <f t="shared" si="6"/>
        <v>185.18526777257418</v>
      </c>
      <c r="M18" s="7" t="s">
        <v>21</v>
      </c>
      <c r="N18" s="7">
        <f t="shared" ca="1" si="9"/>
        <v>0</v>
      </c>
      <c r="O18" s="7">
        <v>102</v>
      </c>
      <c r="P18" s="7">
        <f t="shared" si="7"/>
        <v>1</v>
      </c>
      <c r="AE18">
        <v>3</v>
      </c>
      <c r="AF18">
        <v>5</v>
      </c>
    </row>
    <row r="19" spans="2:32" x14ac:dyDescent="0.35">
      <c r="B19" s="4">
        <v>0</v>
      </c>
      <c r="C19" s="8">
        <v>3</v>
      </c>
      <c r="D19" s="8">
        <f t="shared" si="1"/>
        <v>44.56</v>
      </c>
      <c r="E19" s="8">
        <f t="shared" si="2"/>
        <v>-92.72</v>
      </c>
      <c r="F19" s="8" t="str">
        <f t="shared" si="3"/>
        <v>Licorice Lanes</v>
      </c>
      <c r="G19" s="6">
        <v>6</v>
      </c>
      <c r="H19" s="6">
        <f t="shared" si="4"/>
        <v>32.69</v>
      </c>
      <c r="I19" s="6">
        <f t="shared" si="5"/>
        <v>-89.97</v>
      </c>
      <c r="J19" s="6" t="str">
        <f t="shared" si="0"/>
        <v>Sprinkle Street</v>
      </c>
      <c r="K19" s="7">
        <v>5</v>
      </c>
      <c r="L19" s="7">
        <f t="shared" si="6"/>
        <v>183.91843028908224</v>
      </c>
      <c r="M19" s="7" t="s">
        <v>21</v>
      </c>
      <c r="N19" s="7">
        <f t="shared" ca="1" si="9"/>
        <v>0</v>
      </c>
      <c r="O19" s="7">
        <v>88</v>
      </c>
      <c r="P19" s="7">
        <f t="shared" si="7"/>
        <v>1</v>
      </c>
      <c r="AE19">
        <v>3</v>
      </c>
      <c r="AF19">
        <v>6</v>
      </c>
    </row>
    <row r="20" spans="2:32" x14ac:dyDescent="0.35">
      <c r="B20" s="2">
        <v>0</v>
      </c>
      <c r="C20" s="8">
        <v>3</v>
      </c>
      <c r="D20" s="8">
        <f t="shared" si="1"/>
        <v>44.56</v>
      </c>
      <c r="E20" s="8">
        <f t="shared" si="2"/>
        <v>-92.72</v>
      </c>
      <c r="F20" s="8" t="str">
        <f t="shared" si="3"/>
        <v>Licorice Lanes</v>
      </c>
      <c r="G20" s="6">
        <v>7</v>
      </c>
      <c r="H20" s="6">
        <f t="shared" si="4"/>
        <v>41.65</v>
      </c>
      <c r="I20" s="6">
        <f t="shared" si="5"/>
        <v>-108.93</v>
      </c>
      <c r="J20" s="6" t="str">
        <f t="shared" si="0"/>
        <v>Starburst Starlit Skies</v>
      </c>
      <c r="K20" s="7">
        <v>22</v>
      </c>
      <c r="L20" s="7">
        <f t="shared" si="6"/>
        <v>203.99626712270987</v>
      </c>
      <c r="M20" s="7" t="s">
        <v>20</v>
      </c>
      <c r="N20" s="7">
        <f t="shared" ca="1" si="9"/>
        <v>0</v>
      </c>
      <c r="O20" s="7">
        <v>85</v>
      </c>
      <c r="P20" s="7">
        <f t="shared" si="7"/>
        <v>1</v>
      </c>
      <c r="AE20">
        <v>3</v>
      </c>
      <c r="AF20">
        <v>7</v>
      </c>
    </row>
    <row r="21" spans="2:32" x14ac:dyDescent="0.35">
      <c r="B21" s="4">
        <v>0</v>
      </c>
      <c r="C21" s="8">
        <v>4</v>
      </c>
      <c r="D21" s="8">
        <f t="shared" si="1"/>
        <v>34.97</v>
      </c>
      <c r="E21" s="8">
        <f t="shared" si="2"/>
        <v>-85.17</v>
      </c>
      <c r="F21" s="8" t="str">
        <f t="shared" si="3"/>
        <v>Meringue Mountains</v>
      </c>
      <c r="G21" s="6">
        <v>3</v>
      </c>
      <c r="H21" s="6">
        <f t="shared" si="4"/>
        <v>44.56</v>
      </c>
      <c r="I21" s="6">
        <f t="shared" si="5"/>
        <v>-92.72</v>
      </c>
      <c r="J21" s="6" t="str">
        <f t="shared" si="0"/>
        <v>Licorice Lanes</v>
      </c>
      <c r="K21" s="7">
        <v>15</v>
      </c>
      <c r="L21" s="7">
        <f t="shared" si="6"/>
        <v>182.02914327107075</v>
      </c>
      <c r="M21" s="7" t="s">
        <v>19</v>
      </c>
      <c r="N21" s="7">
        <v>1</v>
      </c>
      <c r="O21" s="7">
        <v>90</v>
      </c>
      <c r="P21" s="7">
        <f t="shared" si="7"/>
        <v>1</v>
      </c>
      <c r="AE21">
        <v>4</v>
      </c>
      <c r="AF21">
        <v>3</v>
      </c>
    </row>
    <row r="22" spans="2:32" x14ac:dyDescent="0.35">
      <c r="B22" s="4">
        <v>0</v>
      </c>
      <c r="C22" s="8">
        <v>4</v>
      </c>
      <c r="D22" s="8">
        <f t="shared" si="1"/>
        <v>34.97</v>
      </c>
      <c r="E22" s="8">
        <f t="shared" si="2"/>
        <v>-85.17</v>
      </c>
      <c r="F22" s="8" t="str">
        <f t="shared" si="3"/>
        <v>Meringue Mountains</v>
      </c>
      <c r="G22" s="6">
        <v>5</v>
      </c>
      <c r="H22" s="6">
        <f t="shared" si="4"/>
        <v>35.130000000000003</v>
      </c>
      <c r="I22" s="6">
        <f t="shared" si="5"/>
        <v>-89.41</v>
      </c>
      <c r="J22" s="6" t="str">
        <f t="shared" si="0"/>
        <v>Peppermint Parlor</v>
      </c>
      <c r="K22" s="7">
        <v>15</v>
      </c>
      <c r="L22" s="7">
        <f t="shared" si="6"/>
        <v>173.03893897039475</v>
      </c>
      <c r="M22" s="7" t="s">
        <v>21</v>
      </c>
      <c r="N22" s="7">
        <f t="shared" ca="1" si="9"/>
        <v>0</v>
      </c>
      <c r="O22" s="7">
        <v>87</v>
      </c>
      <c r="P22" s="7">
        <f t="shared" si="7"/>
        <v>1</v>
      </c>
      <c r="AE22">
        <v>4</v>
      </c>
      <c r="AF22">
        <v>5</v>
      </c>
    </row>
    <row r="23" spans="2:32" x14ac:dyDescent="0.35">
      <c r="B23" s="4">
        <v>0</v>
      </c>
      <c r="C23" s="8">
        <v>4</v>
      </c>
      <c r="D23" s="8">
        <f t="shared" si="1"/>
        <v>34.97</v>
      </c>
      <c r="E23" s="8">
        <f t="shared" si="2"/>
        <v>-85.17</v>
      </c>
      <c r="F23" s="8" t="str">
        <f t="shared" si="3"/>
        <v>Meringue Mountains</v>
      </c>
      <c r="G23" s="6">
        <v>6</v>
      </c>
      <c r="H23" s="6">
        <f t="shared" si="4"/>
        <v>32.69</v>
      </c>
      <c r="I23" s="6">
        <f t="shared" si="5"/>
        <v>-89.97</v>
      </c>
      <c r="J23" s="6" t="str">
        <f t="shared" si="0"/>
        <v>Sprinkle Street</v>
      </c>
      <c r="K23" s="7">
        <v>14</v>
      </c>
      <c r="L23" s="7">
        <f t="shared" si="6"/>
        <v>171.75850255518648</v>
      </c>
      <c r="M23" s="7" t="s">
        <v>20</v>
      </c>
      <c r="N23" s="7">
        <f t="shared" ca="1" si="9"/>
        <v>0</v>
      </c>
      <c r="O23" s="7">
        <v>93</v>
      </c>
      <c r="P23" s="7">
        <f t="shared" si="7"/>
        <v>1</v>
      </c>
      <c r="AE23">
        <v>4</v>
      </c>
      <c r="AF23">
        <v>6</v>
      </c>
    </row>
    <row r="24" spans="2:32" x14ac:dyDescent="0.35">
      <c r="B24" s="4">
        <v>1676</v>
      </c>
      <c r="C24" s="8">
        <v>4</v>
      </c>
      <c r="D24" s="8">
        <f t="shared" si="1"/>
        <v>34.97</v>
      </c>
      <c r="E24" s="8">
        <f t="shared" si="2"/>
        <v>-85.17</v>
      </c>
      <c r="F24" s="8" t="str">
        <f t="shared" si="3"/>
        <v>Meringue Mountains</v>
      </c>
      <c r="G24" s="6">
        <v>7</v>
      </c>
      <c r="H24" s="6">
        <f t="shared" si="4"/>
        <v>41.65</v>
      </c>
      <c r="I24" s="6">
        <f t="shared" si="5"/>
        <v>-108.93</v>
      </c>
      <c r="J24" s="6" t="str">
        <f t="shared" si="0"/>
        <v>Starburst Starlit Skies</v>
      </c>
      <c r="K24" s="7">
        <v>7</v>
      </c>
      <c r="L24" s="7">
        <f t="shared" si="6"/>
        <v>191.8085566391656</v>
      </c>
      <c r="M24" s="7" t="s">
        <v>19</v>
      </c>
      <c r="N24" s="7">
        <v>1</v>
      </c>
      <c r="O24" s="7">
        <v>88</v>
      </c>
      <c r="P24" s="7">
        <f t="shared" si="7"/>
        <v>1</v>
      </c>
      <c r="AE24">
        <v>4</v>
      </c>
      <c r="AF24">
        <v>7</v>
      </c>
    </row>
    <row r="25" spans="2:32" x14ac:dyDescent="0.35">
      <c r="B25" s="4">
        <v>0</v>
      </c>
      <c r="C25" s="8">
        <v>5</v>
      </c>
      <c r="D25" s="8">
        <f t="shared" si="1"/>
        <v>35.130000000000003</v>
      </c>
      <c r="E25" s="8">
        <f t="shared" si="2"/>
        <v>-89.41</v>
      </c>
      <c r="F25" s="8" t="str">
        <f t="shared" si="3"/>
        <v>Peppermint Parlor</v>
      </c>
      <c r="G25" s="6">
        <v>1</v>
      </c>
      <c r="H25" s="6">
        <f t="shared" si="4"/>
        <v>37.5</v>
      </c>
      <c r="I25" s="6">
        <f t="shared" si="5"/>
        <v>-102.5</v>
      </c>
      <c r="J25" s="6" t="str">
        <f t="shared" si="0"/>
        <v>Lava Cake Ledges</v>
      </c>
      <c r="K25" s="7">
        <v>6</v>
      </c>
      <c r="L25" s="7">
        <f t="shared" si="6"/>
        <v>187.21155145983911</v>
      </c>
      <c r="M25" s="7" t="s">
        <v>22</v>
      </c>
      <c r="N25" s="7">
        <v>1</v>
      </c>
      <c r="O25" s="7">
        <v>88</v>
      </c>
      <c r="P25" s="7">
        <f t="shared" si="7"/>
        <v>1</v>
      </c>
      <c r="AE25">
        <v>5</v>
      </c>
      <c r="AF25">
        <v>1</v>
      </c>
    </row>
    <row r="26" spans="2:32" x14ac:dyDescent="0.35">
      <c r="B26" s="4">
        <v>0</v>
      </c>
      <c r="C26" s="8">
        <v>5</v>
      </c>
      <c r="D26" s="8">
        <f t="shared" si="1"/>
        <v>35.130000000000003</v>
      </c>
      <c r="E26" s="8">
        <f t="shared" si="2"/>
        <v>-89.41</v>
      </c>
      <c r="F26" s="8" t="str">
        <f t="shared" si="3"/>
        <v>Peppermint Parlor</v>
      </c>
      <c r="G26" s="6">
        <v>2</v>
      </c>
      <c r="H26" s="6">
        <f t="shared" si="4"/>
        <v>33</v>
      </c>
      <c r="I26" s="6">
        <f t="shared" si="5"/>
        <v>-109.85</v>
      </c>
      <c r="J26" s="6" t="str">
        <f t="shared" si="0"/>
        <v>Licorice Labyrinth</v>
      </c>
      <c r="K26" s="7">
        <v>22</v>
      </c>
      <c r="L26" s="7">
        <f t="shared" si="6"/>
        <v>189.7456415836738</v>
      </c>
      <c r="M26" s="7" t="s">
        <v>20</v>
      </c>
      <c r="N26" s="7">
        <f t="shared" ca="1" si="9"/>
        <v>0</v>
      </c>
      <c r="O26" s="7">
        <v>24</v>
      </c>
      <c r="P26" s="7">
        <f t="shared" si="7"/>
        <v>0</v>
      </c>
      <c r="AE26">
        <v>5</v>
      </c>
      <c r="AF26">
        <v>2</v>
      </c>
    </row>
    <row r="27" spans="2:32" x14ac:dyDescent="0.35">
      <c r="B27" s="4">
        <v>1213</v>
      </c>
      <c r="C27" s="8">
        <v>6</v>
      </c>
      <c r="D27" s="8">
        <f t="shared" si="1"/>
        <v>32.69</v>
      </c>
      <c r="E27" s="8">
        <f t="shared" si="2"/>
        <v>-89.97</v>
      </c>
      <c r="F27" s="8" t="str">
        <f t="shared" si="3"/>
        <v>Sprinkle Street</v>
      </c>
      <c r="G27" s="6">
        <v>2</v>
      </c>
      <c r="H27" s="6">
        <f t="shared" si="4"/>
        <v>33</v>
      </c>
      <c r="I27" s="6">
        <f>_xlfn.XLOOKUP(G27,$R$10:$R$16,$U$10:$U$16,0,0)</f>
        <v>-109.85</v>
      </c>
      <c r="J27" s="6" t="str">
        <f t="shared" si="0"/>
        <v>Licorice Labyrinth</v>
      </c>
      <c r="K27" s="7">
        <v>15</v>
      </c>
      <c r="L27" s="7">
        <f t="shared" si="6"/>
        <v>188.25321378398829</v>
      </c>
      <c r="M27" s="7" t="s">
        <v>23</v>
      </c>
      <c r="N27" s="7">
        <v>1</v>
      </c>
      <c r="O27" s="7">
        <v>97</v>
      </c>
      <c r="P27" s="7">
        <f t="shared" si="7"/>
        <v>1</v>
      </c>
      <c r="AE27">
        <v>6</v>
      </c>
      <c r="AF27">
        <v>2</v>
      </c>
    </row>
    <row r="28" spans="2:32" x14ac:dyDescent="0.35">
      <c r="B28" s="4">
        <v>0</v>
      </c>
      <c r="C28" s="8">
        <v>6</v>
      </c>
      <c r="D28" s="8">
        <f t="shared" si="1"/>
        <v>32.69</v>
      </c>
      <c r="E28" s="8">
        <f t="shared" si="2"/>
        <v>-89.97</v>
      </c>
      <c r="F28" s="8" t="str">
        <f t="shared" si="3"/>
        <v>Sprinkle Street</v>
      </c>
      <c r="G28" s="6">
        <v>3</v>
      </c>
      <c r="H28" s="6">
        <f t="shared" si="4"/>
        <v>44.56</v>
      </c>
      <c r="I28" s="6">
        <f t="shared" si="5"/>
        <v>-92.72</v>
      </c>
      <c r="J28" s="6" t="str">
        <f t="shared" si="0"/>
        <v>Licorice Lanes</v>
      </c>
      <c r="K28" s="7">
        <v>10</v>
      </c>
      <c r="L28" s="7">
        <f t="shared" si="6"/>
        <v>183.91843028908224</v>
      </c>
      <c r="M28" s="7" t="s">
        <v>18</v>
      </c>
      <c r="N28" s="7">
        <f t="shared" ca="1" si="9"/>
        <v>0</v>
      </c>
      <c r="O28" s="7">
        <v>98</v>
      </c>
      <c r="P28" s="7">
        <f t="shared" si="7"/>
        <v>1</v>
      </c>
      <c r="AE28">
        <v>6</v>
      </c>
      <c r="AF28">
        <v>3</v>
      </c>
    </row>
    <row r="29" spans="2:32" x14ac:dyDescent="0.35">
      <c r="B29" s="4">
        <v>0</v>
      </c>
      <c r="C29" s="8">
        <v>6</v>
      </c>
      <c r="D29" s="8">
        <f t="shared" si="1"/>
        <v>32.69</v>
      </c>
      <c r="E29" s="8">
        <f t="shared" si="2"/>
        <v>-89.97</v>
      </c>
      <c r="F29" s="8" t="str">
        <f>VLOOKUP(C29,$R$10:$S$16,2,0)</f>
        <v>Sprinkle Street</v>
      </c>
      <c r="G29" s="6">
        <v>4</v>
      </c>
      <c r="H29" s="6">
        <f t="shared" si="4"/>
        <v>34.97</v>
      </c>
      <c r="I29" s="6">
        <f t="shared" si="5"/>
        <v>-85.17</v>
      </c>
      <c r="J29" s="6" t="str">
        <f t="shared" si="0"/>
        <v>Meringue Mountains</v>
      </c>
      <c r="K29" s="7">
        <v>19</v>
      </c>
      <c r="L29" s="7">
        <f t="shared" si="6"/>
        <v>171.75850255518648</v>
      </c>
      <c r="M29" s="7" t="s">
        <v>18</v>
      </c>
      <c r="N29" s="7">
        <f t="shared" ca="1" si="9"/>
        <v>0</v>
      </c>
      <c r="O29" s="7">
        <v>88</v>
      </c>
      <c r="P29" s="7">
        <f t="shared" si="7"/>
        <v>1</v>
      </c>
      <c r="AE29">
        <v>6</v>
      </c>
      <c r="AF29">
        <v>4</v>
      </c>
    </row>
    <row r="30" spans="2:32" x14ac:dyDescent="0.35">
      <c r="B30" s="4">
        <v>0</v>
      </c>
      <c r="C30" s="8">
        <v>6</v>
      </c>
      <c r="D30" s="8">
        <f t="shared" si="1"/>
        <v>32.69</v>
      </c>
      <c r="E30" s="8">
        <f t="shared" si="2"/>
        <v>-89.97</v>
      </c>
      <c r="F30" s="8" t="str">
        <f t="shared" si="3"/>
        <v>Sprinkle Street</v>
      </c>
      <c r="G30" s="6">
        <v>5</v>
      </c>
      <c r="H30" s="6">
        <f t="shared" si="4"/>
        <v>35.130000000000003</v>
      </c>
      <c r="I30" s="6">
        <f t="shared" si="5"/>
        <v>-89.41</v>
      </c>
      <c r="J30" s="6" t="str">
        <f t="shared" si="0"/>
        <v>Peppermint Parlor</v>
      </c>
      <c r="K30" s="7">
        <v>14</v>
      </c>
      <c r="L30" s="7">
        <f t="shared" si="6"/>
        <v>174.80966792486049</v>
      </c>
      <c r="M30" s="7" t="s">
        <v>19</v>
      </c>
      <c r="N30" s="7">
        <v>1</v>
      </c>
      <c r="O30" s="7">
        <v>92</v>
      </c>
      <c r="P30" s="7">
        <f t="shared" si="7"/>
        <v>1</v>
      </c>
      <c r="AE30">
        <v>6</v>
      </c>
      <c r="AF30">
        <v>5</v>
      </c>
    </row>
    <row r="31" spans="2:32" x14ac:dyDescent="0.35">
      <c r="B31" s="4">
        <v>0</v>
      </c>
      <c r="C31" s="8">
        <v>7</v>
      </c>
      <c r="D31" s="8">
        <f t="shared" si="1"/>
        <v>41.65</v>
      </c>
      <c r="E31" s="8">
        <f t="shared" si="2"/>
        <v>-108.93</v>
      </c>
      <c r="F31" s="8" t="str">
        <f t="shared" si="3"/>
        <v>Starburst Starlit Skies</v>
      </c>
      <c r="G31" s="6">
        <v>3</v>
      </c>
      <c r="H31" s="6">
        <f t="shared" si="4"/>
        <v>44.56</v>
      </c>
      <c r="I31" s="6">
        <f t="shared" si="5"/>
        <v>-92.72</v>
      </c>
      <c r="J31" s="6" t="str">
        <f t="shared" si="0"/>
        <v>Licorice Lanes</v>
      </c>
      <c r="K31" s="7">
        <v>21</v>
      </c>
      <c r="L31" s="7">
        <f t="shared" si="6"/>
        <v>203.99626712270987</v>
      </c>
      <c r="M31" s="7" t="s">
        <v>24</v>
      </c>
      <c r="N31" s="7">
        <v>1</v>
      </c>
      <c r="O31" s="7">
        <v>88</v>
      </c>
      <c r="P31" s="7">
        <f t="shared" si="7"/>
        <v>1</v>
      </c>
      <c r="AE31">
        <v>7</v>
      </c>
      <c r="AF31">
        <v>3</v>
      </c>
    </row>
    <row r="32" spans="2:32" x14ac:dyDescent="0.35">
      <c r="B32" s="4">
        <v>0</v>
      </c>
      <c r="C32" s="8">
        <v>7</v>
      </c>
      <c r="D32" s="8">
        <f t="shared" si="1"/>
        <v>41.65</v>
      </c>
      <c r="E32" s="8">
        <f t="shared" si="2"/>
        <v>-108.93</v>
      </c>
      <c r="F32" s="8" t="str">
        <f t="shared" si="3"/>
        <v>Starburst Starlit Skies</v>
      </c>
      <c r="G32" s="6">
        <v>4</v>
      </c>
      <c r="H32" s="6">
        <f t="shared" si="4"/>
        <v>34.97</v>
      </c>
      <c r="I32" s="6">
        <f t="shared" si="5"/>
        <v>-85.17</v>
      </c>
      <c r="J32" s="6" t="str">
        <f t="shared" si="0"/>
        <v>Meringue Mountains</v>
      </c>
      <c r="K32" s="7">
        <v>8</v>
      </c>
      <c r="L32" s="7">
        <f t="shared" si="6"/>
        <v>191.8085566391656</v>
      </c>
      <c r="M32" s="7" t="s">
        <v>22</v>
      </c>
      <c r="N32" s="7">
        <v>1</v>
      </c>
      <c r="O32" s="7">
        <v>97</v>
      </c>
      <c r="P32" s="7">
        <f t="shared" si="7"/>
        <v>1</v>
      </c>
      <c r="AE32">
        <v>7</v>
      </c>
      <c r="AF32">
        <v>4</v>
      </c>
    </row>
    <row r="33" spans="2:32" x14ac:dyDescent="0.35">
      <c r="B33" s="4">
        <v>0</v>
      </c>
      <c r="C33" s="8">
        <v>7</v>
      </c>
      <c r="D33" s="8">
        <f t="shared" si="1"/>
        <v>41.65</v>
      </c>
      <c r="E33" s="8">
        <f>_xlfn.XLOOKUP(C33,$R$10:$R$16,$U$10:$U$16,0,0)</f>
        <v>-108.93</v>
      </c>
      <c r="F33" s="8" t="str">
        <f t="shared" si="3"/>
        <v>Starburst Starlit Skies</v>
      </c>
      <c r="G33" s="6">
        <v>6</v>
      </c>
      <c r="H33" s="6">
        <f t="shared" si="4"/>
        <v>32.69</v>
      </c>
      <c r="I33" s="6">
        <f t="shared" si="5"/>
        <v>-89.97</v>
      </c>
      <c r="J33" s="6" t="str">
        <f t="shared" si="0"/>
        <v>Sprinkle Street</v>
      </c>
      <c r="K33" s="7">
        <v>6</v>
      </c>
      <c r="L33" s="7">
        <f t="shared" si="6"/>
        <v>193.33920657745549</v>
      </c>
      <c r="M33" s="7" t="s">
        <v>20</v>
      </c>
      <c r="N33" s="7">
        <f t="shared" ca="1" si="9"/>
        <v>0</v>
      </c>
      <c r="O33" s="7">
        <v>30</v>
      </c>
      <c r="P33" s="7">
        <f t="shared" si="7"/>
        <v>0</v>
      </c>
      <c r="AE33">
        <v>7</v>
      </c>
      <c r="AF33">
        <v>6</v>
      </c>
    </row>
  </sheetData>
  <mergeCells count="19">
    <mergeCell ref="Y8:Y9"/>
    <mergeCell ref="M8:M9"/>
    <mergeCell ref="N8:N9"/>
    <mergeCell ref="O8:O9"/>
    <mergeCell ref="J2:R2"/>
    <mergeCell ref="T8:T9"/>
    <mergeCell ref="U8:U9"/>
    <mergeCell ref="V8:V9"/>
    <mergeCell ref="J3:R3"/>
    <mergeCell ref="H4:R4"/>
    <mergeCell ref="H5:R5"/>
    <mergeCell ref="W8:W9"/>
    <mergeCell ref="X8:X9"/>
    <mergeCell ref="P8:P9"/>
    <mergeCell ref="C8:F8"/>
    <mergeCell ref="G8:J8"/>
    <mergeCell ref="K8:K9"/>
    <mergeCell ref="L8:L9"/>
    <mergeCell ref="R8:S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2E07-9F3A-4621-BF1C-766797985D75}">
  <dimension ref="A1:F8"/>
  <sheetViews>
    <sheetView workbookViewId="0">
      <selection activeCell="G17" sqref="G17"/>
    </sheetView>
  </sheetViews>
  <sheetFormatPr defaultRowHeight="14.5" x14ac:dyDescent="0.35"/>
  <cols>
    <col min="1" max="1" width="10" customWidth="1"/>
    <col min="2" max="2" width="15.81640625" customWidth="1"/>
    <col min="3" max="3" width="10.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 t="s">
        <v>6</v>
      </c>
      <c r="C2">
        <v>37.5</v>
      </c>
      <c r="D2">
        <v>-102.5</v>
      </c>
      <c r="E2">
        <v>8871</v>
      </c>
    </row>
    <row r="3" spans="1:6" x14ac:dyDescent="0.35">
      <c r="A3">
        <v>2</v>
      </c>
      <c r="B3" t="s">
        <v>7</v>
      </c>
      <c r="C3">
        <v>33</v>
      </c>
      <c r="D3">
        <v>-109.85</v>
      </c>
      <c r="F3">
        <v>1213</v>
      </c>
    </row>
    <row r="4" spans="1:6" x14ac:dyDescent="0.35">
      <c r="A4">
        <v>3</v>
      </c>
      <c r="B4" t="s">
        <v>8</v>
      </c>
      <c r="C4">
        <v>44.56</v>
      </c>
      <c r="D4">
        <v>-92.72</v>
      </c>
      <c r="F4">
        <v>1728</v>
      </c>
    </row>
    <row r="5" spans="1:6" x14ac:dyDescent="0.35">
      <c r="A5">
        <v>4</v>
      </c>
      <c r="B5" t="s">
        <v>9</v>
      </c>
      <c r="C5">
        <v>34.97</v>
      </c>
      <c r="D5">
        <v>-85.17</v>
      </c>
      <c r="F5">
        <v>1304</v>
      </c>
    </row>
    <row r="6" spans="1:6" x14ac:dyDescent="0.35">
      <c r="A6">
        <v>5</v>
      </c>
      <c r="B6" t="s">
        <v>10</v>
      </c>
      <c r="C6">
        <v>35.130000000000003</v>
      </c>
      <c r="D6">
        <v>-89.41</v>
      </c>
      <c r="F6">
        <v>1401</v>
      </c>
    </row>
    <row r="7" spans="1:6" x14ac:dyDescent="0.35">
      <c r="A7">
        <v>6</v>
      </c>
      <c r="B7" t="s">
        <v>11</v>
      </c>
      <c r="C7">
        <v>32.69</v>
      </c>
      <c r="D7">
        <v>-89.97</v>
      </c>
      <c r="F7">
        <v>1549</v>
      </c>
    </row>
    <row r="8" spans="1:6" x14ac:dyDescent="0.35">
      <c r="A8">
        <v>7</v>
      </c>
      <c r="B8" t="s">
        <v>12</v>
      </c>
      <c r="C8">
        <v>41.65</v>
      </c>
      <c r="D8">
        <v>-108.93</v>
      </c>
      <c r="F8">
        <v>1676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2D2A5-679B-4AA9-90A9-F0E063FFD88A}">
  <dimension ref="A1:E25"/>
  <sheetViews>
    <sheetView workbookViewId="0">
      <selection activeCell="F10" sqref="F10"/>
    </sheetView>
  </sheetViews>
  <sheetFormatPr defaultRowHeight="14.5" x14ac:dyDescent="0.35"/>
  <cols>
    <col min="3" max="3" width="12.6328125" customWidth="1"/>
    <col min="4" max="4" width="28.6328125" customWidth="1"/>
  </cols>
  <sheetData>
    <row r="1" spans="1:5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5">
      <c r="A2">
        <v>1</v>
      </c>
      <c r="B2">
        <v>3</v>
      </c>
      <c r="C2">
        <v>13</v>
      </c>
      <c r="D2" t="s">
        <v>18</v>
      </c>
      <c r="E2">
        <v>82</v>
      </c>
    </row>
    <row r="3" spans="1:5" x14ac:dyDescent="0.35">
      <c r="A3">
        <v>1</v>
      </c>
      <c r="B3">
        <v>4</v>
      </c>
      <c r="C3">
        <v>8</v>
      </c>
      <c r="D3" t="s">
        <v>19</v>
      </c>
      <c r="E3">
        <v>29</v>
      </c>
    </row>
    <row r="4" spans="1:5" x14ac:dyDescent="0.35">
      <c r="A4">
        <v>1</v>
      </c>
      <c r="B4">
        <v>5</v>
      </c>
      <c r="C4">
        <v>10</v>
      </c>
      <c r="D4" t="s">
        <v>20</v>
      </c>
      <c r="E4">
        <v>99</v>
      </c>
    </row>
    <row r="5" spans="1:5" x14ac:dyDescent="0.35">
      <c r="A5">
        <v>1</v>
      </c>
      <c r="B5">
        <v>6</v>
      </c>
      <c r="C5">
        <v>14</v>
      </c>
      <c r="D5" t="s">
        <v>21</v>
      </c>
      <c r="E5">
        <v>99</v>
      </c>
    </row>
    <row r="6" spans="1:5" x14ac:dyDescent="0.35">
      <c r="A6">
        <v>1</v>
      </c>
      <c r="B6">
        <v>7</v>
      </c>
      <c r="C6">
        <v>16</v>
      </c>
      <c r="D6" t="s">
        <v>18</v>
      </c>
      <c r="E6">
        <v>96</v>
      </c>
    </row>
    <row r="7" spans="1:5" x14ac:dyDescent="0.35">
      <c r="A7">
        <v>2</v>
      </c>
      <c r="B7">
        <v>4</v>
      </c>
      <c r="C7">
        <v>8</v>
      </c>
      <c r="D7" t="s">
        <v>20</v>
      </c>
      <c r="E7">
        <v>74</v>
      </c>
    </row>
    <row r="8" spans="1:5" x14ac:dyDescent="0.35">
      <c r="A8">
        <v>2</v>
      </c>
      <c r="B8">
        <v>5</v>
      </c>
      <c r="C8">
        <v>7</v>
      </c>
      <c r="D8" t="s">
        <v>20</v>
      </c>
      <c r="E8">
        <v>95</v>
      </c>
    </row>
    <row r="9" spans="1:5" x14ac:dyDescent="0.35">
      <c r="A9">
        <v>2</v>
      </c>
      <c r="B9">
        <v>7</v>
      </c>
      <c r="C9">
        <v>21</v>
      </c>
      <c r="D9" t="s">
        <v>21</v>
      </c>
      <c r="E9">
        <v>96</v>
      </c>
    </row>
    <row r="10" spans="1:5" x14ac:dyDescent="0.35">
      <c r="A10">
        <v>3</v>
      </c>
      <c r="B10">
        <v>5</v>
      </c>
      <c r="C10">
        <v>11</v>
      </c>
      <c r="D10" t="s">
        <v>21</v>
      </c>
      <c r="E10">
        <v>102</v>
      </c>
    </row>
    <row r="11" spans="1:5" x14ac:dyDescent="0.35">
      <c r="A11">
        <v>3</v>
      </c>
      <c r="B11">
        <v>6</v>
      </c>
      <c r="C11">
        <v>5</v>
      </c>
      <c r="D11" t="s">
        <v>21</v>
      </c>
      <c r="E11">
        <v>88</v>
      </c>
    </row>
    <row r="12" spans="1:5" x14ac:dyDescent="0.35">
      <c r="A12">
        <v>3</v>
      </c>
      <c r="B12">
        <v>7</v>
      </c>
      <c r="C12">
        <v>22</v>
      </c>
      <c r="D12" t="s">
        <v>20</v>
      </c>
      <c r="E12">
        <v>85</v>
      </c>
    </row>
    <row r="13" spans="1:5" x14ac:dyDescent="0.35">
      <c r="A13">
        <v>4</v>
      </c>
      <c r="B13">
        <v>3</v>
      </c>
      <c r="C13">
        <v>15</v>
      </c>
      <c r="D13" t="s">
        <v>19</v>
      </c>
      <c r="E13">
        <v>90</v>
      </c>
    </row>
    <row r="14" spans="1:5" x14ac:dyDescent="0.35">
      <c r="A14">
        <v>4</v>
      </c>
      <c r="B14">
        <v>5</v>
      </c>
      <c r="C14">
        <v>15</v>
      </c>
      <c r="D14" t="s">
        <v>21</v>
      </c>
      <c r="E14">
        <v>87</v>
      </c>
    </row>
    <row r="15" spans="1:5" x14ac:dyDescent="0.35">
      <c r="A15">
        <v>4</v>
      </c>
      <c r="B15">
        <v>6</v>
      </c>
      <c r="C15">
        <v>14</v>
      </c>
      <c r="D15" t="s">
        <v>20</v>
      </c>
      <c r="E15">
        <v>93</v>
      </c>
    </row>
    <row r="16" spans="1:5" x14ac:dyDescent="0.35">
      <c r="A16">
        <v>4</v>
      </c>
      <c r="B16">
        <v>7</v>
      </c>
      <c r="C16">
        <v>7</v>
      </c>
      <c r="D16" t="s">
        <v>19</v>
      </c>
      <c r="E16">
        <v>88</v>
      </c>
    </row>
    <row r="17" spans="1:5" x14ac:dyDescent="0.35">
      <c r="A17">
        <v>5</v>
      </c>
      <c r="B17">
        <v>1</v>
      </c>
      <c r="C17">
        <v>6</v>
      </c>
      <c r="D17" t="s">
        <v>22</v>
      </c>
      <c r="E17">
        <v>88</v>
      </c>
    </row>
    <row r="18" spans="1:5" x14ac:dyDescent="0.35">
      <c r="A18">
        <v>5</v>
      </c>
      <c r="B18">
        <v>2</v>
      </c>
      <c r="C18">
        <v>22</v>
      </c>
      <c r="D18" t="s">
        <v>20</v>
      </c>
      <c r="E18">
        <v>24</v>
      </c>
    </row>
    <row r="19" spans="1:5" x14ac:dyDescent="0.35">
      <c r="A19">
        <v>6</v>
      </c>
      <c r="B19">
        <v>2</v>
      </c>
      <c r="C19">
        <v>15</v>
      </c>
      <c r="D19" t="s">
        <v>23</v>
      </c>
      <c r="E19">
        <v>97</v>
      </c>
    </row>
    <row r="20" spans="1:5" x14ac:dyDescent="0.35">
      <c r="A20">
        <v>6</v>
      </c>
      <c r="B20">
        <v>3</v>
      </c>
      <c r="C20">
        <v>10</v>
      </c>
      <c r="D20" t="s">
        <v>18</v>
      </c>
      <c r="E20">
        <v>98</v>
      </c>
    </row>
    <row r="21" spans="1:5" x14ac:dyDescent="0.35">
      <c r="A21">
        <v>6</v>
      </c>
      <c r="B21">
        <v>4</v>
      </c>
      <c r="C21">
        <v>19</v>
      </c>
      <c r="D21" t="s">
        <v>18</v>
      </c>
      <c r="E21">
        <v>88</v>
      </c>
    </row>
    <row r="22" spans="1:5" x14ac:dyDescent="0.35">
      <c r="A22">
        <v>6</v>
      </c>
      <c r="B22">
        <v>5</v>
      </c>
      <c r="C22">
        <v>14</v>
      </c>
      <c r="D22" t="s">
        <v>19</v>
      </c>
      <c r="E22">
        <v>92</v>
      </c>
    </row>
    <row r="23" spans="1:5" x14ac:dyDescent="0.35">
      <c r="A23">
        <v>7</v>
      </c>
      <c r="B23">
        <v>3</v>
      </c>
      <c r="C23">
        <v>21</v>
      </c>
      <c r="D23" t="s">
        <v>24</v>
      </c>
      <c r="E23">
        <v>88</v>
      </c>
    </row>
    <row r="24" spans="1:5" x14ac:dyDescent="0.35">
      <c r="A24">
        <v>7</v>
      </c>
      <c r="B24">
        <v>4</v>
      </c>
      <c r="C24">
        <v>8</v>
      </c>
      <c r="D24" t="s">
        <v>22</v>
      </c>
      <c r="E24">
        <v>97</v>
      </c>
    </row>
    <row r="25" spans="1:5" x14ac:dyDescent="0.35">
      <c r="A25">
        <v>7</v>
      </c>
      <c r="B25">
        <v>6</v>
      </c>
      <c r="C25">
        <v>6</v>
      </c>
      <c r="D25" t="s">
        <v>20</v>
      </c>
      <c r="E25">
        <v>30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Solver</vt:lpstr>
      <vt:lpstr>Connections Data</vt:lpstr>
      <vt:lpstr>Locations</vt:lpstr>
      <vt:lpstr>Connections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Trenery</dc:creator>
  <cp:lastModifiedBy>Aidan Trenery</cp:lastModifiedBy>
  <dcterms:created xsi:type="dcterms:W3CDTF">2025-04-16T22:52:13Z</dcterms:created>
  <dcterms:modified xsi:type="dcterms:W3CDTF">2025-04-30T18:19:58Z</dcterms:modified>
</cp:coreProperties>
</file>