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https://ilkusimmtechco.sharepoint.com/sites/SUSTIOALL/Shared Documents/General/Learning &amp; Development Related (HR)/1) HR to EHS (File and Others)/"/>
    </mc:Choice>
  </mc:AlternateContent>
  <xr:revisionPtr revIDLastSave="0" documentId="8_{D0030AD9-AA79-4979-8D6D-1B31D1893A68}" xr6:coauthVersionLast="47" xr6:coauthVersionMax="47" xr10:uidLastSave="{00000000-0000-0000-0000-000000000000}"/>
  <bookViews>
    <workbookView xWindow="-110" yWindow="-110" windowWidth="19420" windowHeight="10420" firstSheet="2" activeTab="2" xr2:uid="{00000000-000D-0000-FFFF-FFFF00000000}"/>
  </bookViews>
  <sheets>
    <sheet name="EMPMASTER (HR ONLY)" sheetId="1" r:id="rId1"/>
    <sheet name="EMPMASTER (Safety Only)" sheetId="12" r:id="rId2"/>
    <sheet name="Dashboard" sheetId="11" r:id="rId3"/>
    <sheet name="Data Analysis" sheetId="13" r:id="rId4"/>
    <sheet name="EMPMASTER PQ" sheetId="9" state="hidden" r:id="rId5"/>
  </sheets>
  <definedNames>
    <definedName name="_xlnm._FilterDatabase" localSheetId="0" hidden="1">'EMPMASTER (HR ONLY)'!$A$2:$X$1309</definedName>
    <definedName name="ExternalData_1" localSheetId="4" hidden="1">'EMPMASTER PQ'!$A$3:$I$1058</definedName>
    <definedName name="Slicer_Department">#N/A</definedName>
    <definedName name="Slicer_Shift">#N/A</definedName>
  </definedNames>
  <calcPr calcId="191028"/>
  <pivotCaches>
    <pivotCache cacheId="103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1" i="13" l="1"/>
  <c r="A230" i="13"/>
  <c r="A229" i="13"/>
  <c r="A228" i="13"/>
  <c r="A227" i="13"/>
  <c r="A226" i="13"/>
  <c r="A225" i="13"/>
  <c r="A224" i="13"/>
  <c r="A223" i="13"/>
  <c r="A222" i="13"/>
  <c r="A221" i="13"/>
  <c r="A220" i="13"/>
  <c r="A219" i="13"/>
  <c r="A218" i="13"/>
  <c r="A217"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019" i="12"/>
  <c r="F1020" i="12"/>
  <c r="F1021" i="12"/>
  <c r="F1022" i="12"/>
  <c r="F1023" i="12"/>
  <c r="F1024" i="12"/>
  <c r="F1025" i="12"/>
  <c r="F1026" i="12"/>
  <c r="F1027" i="12"/>
  <c r="F1028" i="12"/>
  <c r="F1029" i="12"/>
  <c r="F1030" i="12"/>
  <c r="F1031" i="12"/>
  <c r="F1032" i="12"/>
  <c r="F1033" i="12"/>
  <c r="F1034" i="12"/>
  <c r="F1035" i="12"/>
  <c r="F1036" i="12"/>
  <c r="F1037" i="12"/>
  <c r="F1038" i="12"/>
  <c r="F1039" i="12"/>
  <c r="F1040" i="12"/>
  <c r="F1041" i="12"/>
  <c r="F1042" i="12"/>
  <c r="F1043" i="12"/>
  <c r="F1044" i="12"/>
  <c r="F1045" i="12"/>
  <c r="F1046" i="12"/>
  <c r="F1047" i="12"/>
  <c r="F1048" i="12"/>
  <c r="F1049" i="12"/>
  <c r="F1050" i="12"/>
  <c r="F1051" i="12"/>
  <c r="F1052" i="12"/>
  <c r="F1053" i="12"/>
  <c r="F1054" i="12"/>
  <c r="F1055" i="12"/>
  <c r="F1056" i="12"/>
  <c r="F1057" i="12"/>
  <c r="F1058"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D886" i="12"/>
  <c r="D887" i="12"/>
  <c r="D888" i="12"/>
  <c r="D889" i="12"/>
  <c r="D890" i="12"/>
  <c r="D891" i="12"/>
  <c r="D892" i="12"/>
  <c r="D893" i="12"/>
  <c r="D894" i="12"/>
  <c r="D895" i="12"/>
  <c r="D896" i="12"/>
  <c r="D897" i="12"/>
  <c r="D898" i="12"/>
  <c r="D899" i="12"/>
  <c r="D900" i="12"/>
  <c r="D901" i="12"/>
  <c r="D902" i="12"/>
  <c r="D903" i="12"/>
  <c r="D904" i="12"/>
  <c r="D905" i="12"/>
  <c r="D906" i="12"/>
  <c r="D907" i="12"/>
  <c r="D908" i="12"/>
  <c r="D909" i="12"/>
  <c r="D910" i="12"/>
  <c r="D911" i="12"/>
  <c r="D912" i="12"/>
  <c r="D913" i="12"/>
  <c r="D914" i="12"/>
  <c r="D915" i="12"/>
  <c r="D916" i="12"/>
  <c r="D917" i="12"/>
  <c r="D918" i="12"/>
  <c r="D919" i="12"/>
  <c r="D920" i="12"/>
  <c r="D921" i="12"/>
  <c r="D922" i="12"/>
  <c r="D923" i="12"/>
  <c r="D924" i="12"/>
  <c r="D925" i="12"/>
  <c r="D926" i="12"/>
  <c r="D927" i="12"/>
  <c r="D928" i="12"/>
  <c r="D929" i="12"/>
  <c r="D930" i="12"/>
  <c r="D931" i="12"/>
  <c r="D932" i="12"/>
  <c r="D933" i="12"/>
  <c r="D934" i="12"/>
  <c r="D935" i="12"/>
  <c r="D936" i="12"/>
  <c r="D937" i="12"/>
  <c r="D938" i="12"/>
  <c r="D939" i="12"/>
  <c r="D940" i="12"/>
  <c r="D941" i="12"/>
  <c r="D942" i="12"/>
  <c r="D943" i="12"/>
  <c r="D944" i="12"/>
  <c r="D945" i="12"/>
  <c r="D946" i="12"/>
  <c r="D947" i="12"/>
  <c r="D948" i="12"/>
  <c r="D949" i="12"/>
  <c r="D950" i="12"/>
  <c r="D951" i="12"/>
  <c r="D952" i="12"/>
  <c r="D953" i="12"/>
  <c r="D954" i="12"/>
  <c r="D955" i="12"/>
  <c r="D956" i="12"/>
  <c r="D957" i="12"/>
  <c r="D958" i="12"/>
  <c r="D959" i="12"/>
  <c r="D960" i="12"/>
  <c r="D961" i="12"/>
  <c r="D962" i="12"/>
  <c r="D963" i="12"/>
  <c r="D964" i="12"/>
  <c r="D965" i="12"/>
  <c r="D966" i="12"/>
  <c r="D967" i="12"/>
  <c r="D968" i="12"/>
  <c r="D969" i="12"/>
  <c r="D970" i="12"/>
  <c r="D971" i="12"/>
  <c r="D972" i="12"/>
  <c r="D973" i="12"/>
  <c r="D974" i="12"/>
  <c r="D975" i="12"/>
  <c r="D976" i="12"/>
  <c r="D977" i="12"/>
  <c r="D978" i="12"/>
  <c r="D979" i="12"/>
  <c r="D980" i="12"/>
  <c r="D981" i="12"/>
  <c r="D982" i="12"/>
  <c r="D983" i="12"/>
  <c r="D984" i="12"/>
  <c r="D985" i="12"/>
  <c r="D986" i="12"/>
  <c r="D987" i="12"/>
  <c r="D988" i="12"/>
  <c r="D989" i="12"/>
  <c r="D990" i="12"/>
  <c r="D991" i="12"/>
  <c r="D992" i="12"/>
  <c r="D993" i="12"/>
  <c r="D994" i="12"/>
  <c r="D995" i="12"/>
  <c r="D996" i="12"/>
  <c r="D997" i="12"/>
  <c r="D998" i="12"/>
  <c r="D999" i="12"/>
  <c r="D1000" i="12"/>
  <c r="D1001" i="12"/>
  <c r="D1002" i="12"/>
  <c r="D1003" i="12"/>
  <c r="D1004" i="12"/>
  <c r="D1005" i="12"/>
  <c r="D1006" i="12"/>
  <c r="D1007" i="12"/>
  <c r="D1008" i="12"/>
  <c r="D1009" i="12"/>
  <c r="D1010" i="12"/>
  <c r="D1011" i="12"/>
  <c r="D1012" i="12"/>
  <c r="D1013" i="12"/>
  <c r="D1014" i="12"/>
  <c r="D1015" i="12"/>
  <c r="D1016" i="12"/>
  <c r="D1017" i="12"/>
  <c r="D1018" i="12"/>
  <c r="D1019" i="12"/>
  <c r="D1020" i="12"/>
  <c r="D1021" i="12"/>
  <c r="D1022" i="12"/>
  <c r="D1023" i="12"/>
  <c r="D1024" i="12"/>
  <c r="D1025" i="12"/>
  <c r="D1026" i="12"/>
  <c r="D1058" i="12"/>
  <c r="D1057" i="12"/>
  <c r="D1053" i="12"/>
  <c r="D1054" i="12"/>
  <c r="D1055" i="12"/>
  <c r="D1056" i="12"/>
  <c r="D1052" i="12"/>
  <c r="D1051" i="12"/>
  <c r="D1048" i="12"/>
  <c r="D1049" i="12"/>
  <c r="D1050" i="12"/>
  <c r="D1047" i="12"/>
  <c r="D1045" i="12"/>
  <c r="D1046" i="12"/>
  <c r="D1044" i="12"/>
  <c r="D1043" i="12"/>
  <c r="D1042" i="12"/>
  <c r="D1041" i="12"/>
  <c r="D1040" i="12"/>
  <c r="G4" i="9"/>
  <c r="G5" i="9"/>
  <c r="E5" i="12" s="1"/>
  <c r="G6" i="9"/>
  <c r="E6" i="12" s="1"/>
  <c r="G7" i="9"/>
  <c r="E7" i="12" s="1"/>
  <c r="G8" i="9"/>
  <c r="E8" i="12" s="1"/>
  <c r="G9" i="9"/>
  <c r="E9" i="12" s="1"/>
  <c r="G10" i="9"/>
  <c r="E10" i="12" s="1"/>
  <c r="G11" i="9"/>
  <c r="E11" i="12" s="1"/>
  <c r="G12" i="9"/>
  <c r="E12" i="12" s="1"/>
  <c r="G13" i="9"/>
  <c r="E13" i="12" s="1"/>
  <c r="G14" i="9"/>
  <c r="E14" i="12" s="1"/>
  <c r="G15" i="9"/>
  <c r="E15" i="12" s="1"/>
  <c r="G16" i="9"/>
  <c r="E16" i="12" s="1"/>
  <c r="G17" i="9"/>
  <c r="E17" i="12" s="1"/>
  <c r="G18" i="9"/>
  <c r="E18" i="12" s="1"/>
  <c r="G19" i="9"/>
  <c r="E19" i="12" s="1"/>
  <c r="G20" i="9"/>
  <c r="E20" i="12" s="1"/>
  <c r="G21" i="9"/>
  <c r="E21" i="12" s="1"/>
  <c r="G22" i="9"/>
  <c r="E22" i="12" s="1"/>
  <c r="G23" i="9"/>
  <c r="E23" i="12" s="1"/>
  <c r="G24" i="9"/>
  <c r="E24" i="12" s="1"/>
  <c r="G25" i="9"/>
  <c r="E25" i="12" s="1"/>
  <c r="G26" i="9"/>
  <c r="E26" i="12" s="1"/>
  <c r="G27" i="9"/>
  <c r="E27" i="12" s="1"/>
  <c r="G28" i="9"/>
  <c r="E28" i="12" s="1"/>
  <c r="G29" i="9"/>
  <c r="E29" i="12" s="1"/>
  <c r="G30" i="9"/>
  <c r="E30" i="12" s="1"/>
  <c r="G31" i="9"/>
  <c r="E31" i="12" s="1"/>
  <c r="G32" i="9"/>
  <c r="E32" i="12" s="1"/>
  <c r="G33" i="9"/>
  <c r="E33" i="12" s="1"/>
  <c r="G34" i="9"/>
  <c r="E34" i="12" s="1"/>
  <c r="G35" i="9"/>
  <c r="E35" i="12" s="1"/>
  <c r="G36" i="9"/>
  <c r="E36" i="12" s="1"/>
  <c r="G37" i="9"/>
  <c r="E37" i="12" s="1"/>
  <c r="G38" i="9"/>
  <c r="E38" i="12" s="1"/>
  <c r="G39" i="9"/>
  <c r="E39" i="12" s="1"/>
  <c r="G40" i="9"/>
  <c r="E40" i="12" s="1"/>
  <c r="G41" i="9"/>
  <c r="E41" i="12" s="1"/>
  <c r="G42" i="9"/>
  <c r="E42" i="12" s="1"/>
  <c r="G43" i="9"/>
  <c r="E43" i="12" s="1"/>
  <c r="G44" i="9"/>
  <c r="E44" i="12" s="1"/>
  <c r="G45" i="9"/>
  <c r="E45" i="12" s="1"/>
  <c r="G46" i="9"/>
  <c r="E46" i="12" s="1"/>
  <c r="G47" i="9"/>
  <c r="E47" i="12" s="1"/>
  <c r="G48" i="9"/>
  <c r="E48" i="12" s="1"/>
  <c r="G49" i="9"/>
  <c r="E49" i="12" s="1"/>
  <c r="G50" i="9"/>
  <c r="E50" i="12" s="1"/>
  <c r="G51" i="9"/>
  <c r="E51" i="12" s="1"/>
  <c r="G52" i="9"/>
  <c r="E52" i="12" s="1"/>
  <c r="G53" i="9"/>
  <c r="E53" i="12" s="1"/>
  <c r="G54" i="9"/>
  <c r="E54" i="12" s="1"/>
  <c r="G55" i="9"/>
  <c r="E55" i="12" s="1"/>
  <c r="G56" i="9"/>
  <c r="E56" i="12" s="1"/>
  <c r="G57" i="9"/>
  <c r="E57" i="12" s="1"/>
  <c r="G58" i="9"/>
  <c r="E58" i="12" s="1"/>
  <c r="G59" i="9"/>
  <c r="E59" i="12" s="1"/>
  <c r="G60" i="9"/>
  <c r="E60" i="12" s="1"/>
  <c r="G61" i="9"/>
  <c r="E61" i="12" s="1"/>
  <c r="G62" i="9"/>
  <c r="E62" i="12" s="1"/>
  <c r="G63" i="9"/>
  <c r="E63" i="12" s="1"/>
  <c r="G64" i="9"/>
  <c r="E64" i="12" s="1"/>
  <c r="G65" i="9"/>
  <c r="E65" i="12" s="1"/>
  <c r="G66" i="9"/>
  <c r="E66" i="12" s="1"/>
  <c r="G67" i="9"/>
  <c r="E67" i="12" s="1"/>
  <c r="G68" i="9"/>
  <c r="E68" i="12" s="1"/>
  <c r="G69" i="9"/>
  <c r="E69" i="12" s="1"/>
  <c r="G70" i="9"/>
  <c r="E70" i="12" s="1"/>
  <c r="G71" i="9"/>
  <c r="E71" i="12" s="1"/>
  <c r="G72" i="9"/>
  <c r="E72" i="12" s="1"/>
  <c r="G73" i="9"/>
  <c r="E73" i="12" s="1"/>
  <c r="G74" i="9"/>
  <c r="E74" i="12" s="1"/>
  <c r="G75" i="9"/>
  <c r="E75" i="12" s="1"/>
  <c r="G76" i="9"/>
  <c r="E76" i="12" s="1"/>
  <c r="G77" i="9"/>
  <c r="E1040" i="12" s="1"/>
  <c r="G78" i="9"/>
  <c r="E77" i="12" s="1"/>
  <c r="G79" i="9"/>
  <c r="E78" i="12" s="1"/>
  <c r="G80" i="9"/>
  <c r="E79" i="12" s="1"/>
  <c r="G81" i="9"/>
  <c r="E80" i="12" s="1"/>
  <c r="G82" i="9"/>
  <c r="E81" i="12" s="1"/>
  <c r="G83" i="9"/>
  <c r="E82" i="12" s="1"/>
  <c r="G84" i="9"/>
  <c r="E83" i="12" s="1"/>
  <c r="G85" i="9"/>
  <c r="E84" i="12" s="1"/>
  <c r="G86" i="9"/>
  <c r="E85" i="12" s="1"/>
  <c r="G87" i="9"/>
  <c r="E1041" i="12" s="1"/>
  <c r="G88" i="9"/>
  <c r="E86" i="12" s="1"/>
  <c r="G89" i="9"/>
  <c r="E87" i="12" s="1"/>
  <c r="G90" i="9"/>
  <c r="E88" i="12" s="1"/>
  <c r="G91" i="9"/>
  <c r="E89" i="12" s="1"/>
  <c r="G92" i="9"/>
  <c r="E90" i="12" s="1"/>
  <c r="G93" i="9"/>
  <c r="E91" i="12" s="1"/>
  <c r="G94" i="9"/>
  <c r="E92" i="12" s="1"/>
  <c r="G95" i="9"/>
  <c r="E93" i="12" s="1"/>
  <c r="G96" i="9"/>
  <c r="E94" i="12" s="1"/>
  <c r="G97" i="9"/>
  <c r="E95" i="12" s="1"/>
  <c r="G98" i="9"/>
  <c r="E96" i="12" s="1"/>
  <c r="G99" i="9"/>
  <c r="E97" i="12" s="1"/>
  <c r="G100" i="9"/>
  <c r="E98" i="12" s="1"/>
  <c r="G101" i="9"/>
  <c r="E99" i="12" s="1"/>
  <c r="G102" i="9"/>
  <c r="E100" i="12" s="1"/>
  <c r="G103" i="9"/>
  <c r="E101" i="12" s="1"/>
  <c r="G104" i="9"/>
  <c r="E102" i="12" s="1"/>
  <c r="G105" i="9"/>
  <c r="E103" i="12" s="1"/>
  <c r="G106" i="9"/>
  <c r="E104" i="12" s="1"/>
  <c r="G107" i="9"/>
  <c r="E105" i="12" s="1"/>
  <c r="G108" i="9"/>
  <c r="E106" i="12" s="1"/>
  <c r="G109" i="9"/>
  <c r="E107" i="12" s="1"/>
  <c r="G110" i="9"/>
  <c r="E108" i="12" s="1"/>
  <c r="G111" i="9"/>
  <c r="E109" i="12" s="1"/>
  <c r="G112" i="9"/>
  <c r="E110" i="12" s="1"/>
  <c r="G113" i="9"/>
  <c r="E111" i="12" s="1"/>
  <c r="G114" i="9"/>
  <c r="E112" i="12" s="1"/>
  <c r="G115" i="9"/>
  <c r="E113" i="12" s="1"/>
  <c r="G116" i="9"/>
  <c r="E114" i="12" s="1"/>
  <c r="G117" i="9"/>
  <c r="E115" i="12" s="1"/>
  <c r="G118" i="9"/>
  <c r="E116" i="12" s="1"/>
  <c r="G119" i="9"/>
  <c r="E117" i="12" s="1"/>
  <c r="G120" i="9"/>
  <c r="E118" i="12" s="1"/>
  <c r="G121" i="9"/>
  <c r="E119" i="12" s="1"/>
  <c r="G122" i="9"/>
  <c r="E120" i="12" s="1"/>
  <c r="G123" i="9"/>
  <c r="E121" i="12" s="1"/>
  <c r="G124" i="9"/>
  <c r="E122" i="12" s="1"/>
  <c r="G125" i="9"/>
  <c r="E123" i="12" s="1"/>
  <c r="G126" i="9"/>
  <c r="E124" i="12" s="1"/>
  <c r="G127" i="9"/>
  <c r="E125" i="12" s="1"/>
  <c r="G128" i="9"/>
  <c r="E126" i="12" s="1"/>
  <c r="G129" i="9"/>
  <c r="E127" i="12" s="1"/>
  <c r="G130" i="9"/>
  <c r="E128" i="12" s="1"/>
  <c r="G131" i="9"/>
  <c r="E129" i="12" s="1"/>
  <c r="G132" i="9"/>
  <c r="E130" i="12" s="1"/>
  <c r="G133" i="9"/>
  <c r="E131" i="12" s="1"/>
  <c r="G134" i="9"/>
  <c r="E132" i="12" s="1"/>
  <c r="G135" i="9"/>
  <c r="E133" i="12" s="1"/>
  <c r="G136" i="9"/>
  <c r="E134" i="12" s="1"/>
  <c r="G137" i="9"/>
  <c r="E135" i="12" s="1"/>
  <c r="G138" i="9"/>
  <c r="E136" i="12" s="1"/>
  <c r="G139" i="9"/>
  <c r="E137" i="12" s="1"/>
  <c r="G140" i="9"/>
  <c r="E138" i="12" s="1"/>
  <c r="G141" i="9"/>
  <c r="E139" i="12" s="1"/>
  <c r="G142" i="9"/>
  <c r="E140" i="12" s="1"/>
  <c r="G143" i="9"/>
  <c r="E141" i="12" s="1"/>
  <c r="G144" i="9"/>
  <c r="E142" i="12" s="1"/>
  <c r="G145" i="9"/>
  <c r="E143" i="12" s="1"/>
  <c r="G146" i="9"/>
  <c r="E144" i="12" s="1"/>
  <c r="G147" i="9"/>
  <c r="E145" i="12" s="1"/>
  <c r="G148" i="9"/>
  <c r="E146" i="12" s="1"/>
  <c r="G149" i="9"/>
  <c r="E147" i="12" s="1"/>
  <c r="G150" i="9"/>
  <c r="E148" i="12" s="1"/>
  <c r="G151" i="9"/>
  <c r="E149" i="12" s="1"/>
  <c r="G152" i="9"/>
  <c r="E150" i="12" s="1"/>
  <c r="G153" i="9"/>
  <c r="E151" i="12" s="1"/>
  <c r="G154" i="9"/>
  <c r="E152" i="12" s="1"/>
  <c r="G155" i="9"/>
  <c r="E153" i="12" s="1"/>
  <c r="G156" i="9"/>
  <c r="E154" i="12" s="1"/>
  <c r="G157" i="9"/>
  <c r="E155" i="12" s="1"/>
  <c r="G158" i="9"/>
  <c r="E156" i="12" s="1"/>
  <c r="G159" i="9"/>
  <c r="E157" i="12" s="1"/>
  <c r="G160" i="9"/>
  <c r="E158" i="12" s="1"/>
  <c r="G161" i="9"/>
  <c r="E159" i="12" s="1"/>
  <c r="G162" i="9"/>
  <c r="E160" i="12" s="1"/>
  <c r="G163" i="9"/>
  <c r="E161" i="12" s="1"/>
  <c r="G164" i="9"/>
  <c r="E162" i="12" s="1"/>
  <c r="G165" i="9"/>
  <c r="E163" i="12" s="1"/>
  <c r="G166" i="9"/>
  <c r="E164" i="12" s="1"/>
  <c r="G167" i="9"/>
  <c r="E165" i="12" s="1"/>
  <c r="G168" i="9"/>
  <c r="E166" i="12" s="1"/>
  <c r="G169" i="9"/>
  <c r="E167" i="12" s="1"/>
  <c r="G170" i="9"/>
  <c r="E168" i="12" s="1"/>
  <c r="G171" i="9"/>
  <c r="E169" i="12" s="1"/>
  <c r="G172" i="9"/>
  <c r="E170" i="12" s="1"/>
  <c r="G173" i="9"/>
  <c r="E171" i="12" s="1"/>
  <c r="G174" i="9"/>
  <c r="E172" i="12" s="1"/>
  <c r="G175" i="9"/>
  <c r="E173" i="12" s="1"/>
  <c r="G176" i="9"/>
  <c r="E174" i="12" s="1"/>
  <c r="G177" i="9"/>
  <c r="E175" i="12" s="1"/>
  <c r="G178" i="9"/>
  <c r="E176" i="12" s="1"/>
  <c r="G179" i="9"/>
  <c r="E177" i="12" s="1"/>
  <c r="G180" i="9"/>
  <c r="E178" i="12" s="1"/>
  <c r="G181" i="9"/>
  <c r="E179" i="12" s="1"/>
  <c r="G182" i="9"/>
  <c r="E180" i="12" s="1"/>
  <c r="G183" i="9"/>
  <c r="E181" i="12" s="1"/>
  <c r="G184" i="9"/>
  <c r="E182" i="12" s="1"/>
  <c r="G185" i="9"/>
  <c r="E183" i="12" s="1"/>
  <c r="G186" i="9"/>
  <c r="E184" i="12" s="1"/>
  <c r="G187" i="9"/>
  <c r="E185" i="12" s="1"/>
  <c r="G188" i="9"/>
  <c r="E186" i="12" s="1"/>
  <c r="G189" i="9"/>
  <c r="E187" i="12" s="1"/>
  <c r="G190" i="9"/>
  <c r="E188" i="12" s="1"/>
  <c r="G191" i="9"/>
  <c r="E189" i="12" s="1"/>
  <c r="G192" i="9"/>
  <c r="E190" i="12" s="1"/>
  <c r="G193" i="9"/>
  <c r="E191" i="12" s="1"/>
  <c r="G194" i="9"/>
  <c r="E192" i="12" s="1"/>
  <c r="G195" i="9"/>
  <c r="E193" i="12" s="1"/>
  <c r="G196" i="9"/>
  <c r="E194" i="12" s="1"/>
  <c r="G197" i="9"/>
  <c r="E195" i="12" s="1"/>
  <c r="G198" i="9"/>
  <c r="E196" i="12" s="1"/>
  <c r="G199" i="9"/>
  <c r="E197" i="12" s="1"/>
  <c r="G200" i="9"/>
  <c r="E198" i="12" s="1"/>
  <c r="G201" i="9"/>
  <c r="E199" i="12" s="1"/>
  <c r="G202" i="9"/>
  <c r="E200" i="12" s="1"/>
  <c r="G203" i="9"/>
  <c r="E201" i="12" s="1"/>
  <c r="G204" i="9"/>
  <c r="E202" i="12" s="1"/>
  <c r="G205" i="9"/>
  <c r="E203" i="12" s="1"/>
  <c r="G206" i="9"/>
  <c r="E204" i="12" s="1"/>
  <c r="G207" i="9"/>
  <c r="E205" i="12" s="1"/>
  <c r="G208" i="9"/>
  <c r="E206" i="12" s="1"/>
  <c r="G209" i="9"/>
  <c r="E207" i="12" s="1"/>
  <c r="G210" i="9"/>
  <c r="E208" i="12" s="1"/>
  <c r="G211" i="9"/>
  <c r="E209" i="12" s="1"/>
  <c r="G212" i="9"/>
  <c r="E210" i="12" s="1"/>
  <c r="G213" i="9"/>
  <c r="E211" i="12" s="1"/>
  <c r="G214" i="9"/>
  <c r="E212" i="12" s="1"/>
  <c r="G215" i="9"/>
  <c r="E213" i="12" s="1"/>
  <c r="G216" i="9"/>
  <c r="E214" i="12" s="1"/>
  <c r="G217" i="9"/>
  <c r="E215" i="12" s="1"/>
  <c r="G218" i="9"/>
  <c r="E216" i="12" s="1"/>
  <c r="G219" i="9"/>
  <c r="E217" i="12" s="1"/>
  <c r="G220" i="9"/>
  <c r="E218" i="12" s="1"/>
  <c r="G221" i="9"/>
  <c r="E219" i="12" s="1"/>
  <c r="G222" i="9"/>
  <c r="E220" i="12" s="1"/>
  <c r="G223" i="9"/>
  <c r="E221" i="12" s="1"/>
  <c r="G224" i="9"/>
  <c r="E222" i="12" s="1"/>
  <c r="G225" i="9"/>
  <c r="E223" i="12" s="1"/>
  <c r="G226" i="9"/>
  <c r="E224" i="12" s="1"/>
  <c r="G227" i="9"/>
  <c r="E225" i="12" s="1"/>
  <c r="G228" i="9"/>
  <c r="E226" i="12" s="1"/>
  <c r="G229" i="9"/>
  <c r="E227" i="12" s="1"/>
  <c r="G230" i="9"/>
  <c r="E228" i="12" s="1"/>
  <c r="G231" i="9"/>
  <c r="E229" i="12" s="1"/>
  <c r="G232" i="9"/>
  <c r="E230" i="12" s="1"/>
  <c r="G233" i="9"/>
  <c r="E231" i="12" s="1"/>
  <c r="G234" i="9"/>
  <c r="E232" i="12" s="1"/>
  <c r="G235" i="9"/>
  <c r="E233" i="12" s="1"/>
  <c r="G236" i="9"/>
  <c r="E234" i="12" s="1"/>
  <c r="G237" i="9"/>
  <c r="E235" i="12" s="1"/>
  <c r="G238" i="9"/>
  <c r="E236" i="12" s="1"/>
  <c r="G239" i="9"/>
  <c r="E237" i="12" s="1"/>
  <c r="G240" i="9"/>
  <c r="E238" i="12" s="1"/>
  <c r="G241" i="9"/>
  <c r="E239" i="12" s="1"/>
  <c r="G242" i="9"/>
  <c r="E240" i="12" s="1"/>
  <c r="G243" i="9"/>
  <c r="E241" i="12" s="1"/>
  <c r="G244" i="9"/>
  <c r="E242" i="12" s="1"/>
  <c r="G245" i="9"/>
  <c r="E243" i="12" s="1"/>
  <c r="G246" i="9"/>
  <c r="E244" i="12" s="1"/>
  <c r="G247" i="9"/>
  <c r="E245" i="12" s="1"/>
  <c r="G248" i="9"/>
  <c r="E246" i="12" s="1"/>
  <c r="G249" i="9"/>
  <c r="E247" i="12" s="1"/>
  <c r="G250" i="9"/>
  <c r="E248" i="12" s="1"/>
  <c r="G251" i="9"/>
  <c r="E249" i="12" s="1"/>
  <c r="G252" i="9"/>
  <c r="E250" i="12" s="1"/>
  <c r="G253" i="9"/>
  <c r="E251" i="12" s="1"/>
  <c r="G254" i="9"/>
  <c r="E252" i="12" s="1"/>
  <c r="G255" i="9"/>
  <c r="E253" i="12" s="1"/>
  <c r="G256" i="9"/>
  <c r="E254" i="12" s="1"/>
  <c r="G257" i="9"/>
  <c r="E255" i="12" s="1"/>
  <c r="G258" i="9"/>
  <c r="E256" i="12" s="1"/>
  <c r="G259" i="9"/>
  <c r="E257" i="12" s="1"/>
  <c r="G260" i="9"/>
  <c r="E258" i="12" s="1"/>
  <c r="G261" i="9"/>
  <c r="E259" i="12" s="1"/>
  <c r="G262" i="9"/>
  <c r="E260" i="12" s="1"/>
  <c r="G263" i="9"/>
  <c r="E261" i="12" s="1"/>
  <c r="G264" i="9"/>
  <c r="E262" i="12" s="1"/>
  <c r="G265" i="9"/>
  <c r="E263" i="12" s="1"/>
  <c r="G266" i="9"/>
  <c r="E264" i="12" s="1"/>
  <c r="G267" i="9"/>
  <c r="E265" i="12" s="1"/>
  <c r="G268" i="9"/>
  <c r="E266" i="12" s="1"/>
  <c r="G269" i="9"/>
  <c r="E267" i="12" s="1"/>
  <c r="G270" i="9"/>
  <c r="E268" i="12" s="1"/>
  <c r="G271" i="9"/>
  <c r="E269" i="12" s="1"/>
  <c r="G272" i="9"/>
  <c r="E270" i="12" s="1"/>
  <c r="G273" i="9"/>
  <c r="E271" i="12" s="1"/>
  <c r="G274" i="9"/>
  <c r="E272" i="12" s="1"/>
  <c r="G275" i="9"/>
  <c r="E273" i="12" s="1"/>
  <c r="G276" i="9"/>
  <c r="E274" i="12" s="1"/>
  <c r="G277" i="9"/>
  <c r="E275" i="12" s="1"/>
  <c r="G278" i="9"/>
  <c r="E276" i="12" s="1"/>
  <c r="G279" i="9"/>
  <c r="E277" i="12" s="1"/>
  <c r="G280" i="9"/>
  <c r="E278" i="12" s="1"/>
  <c r="G281" i="9"/>
  <c r="E279" i="12" s="1"/>
  <c r="G282" i="9"/>
  <c r="E280" i="12" s="1"/>
  <c r="G283" i="9"/>
  <c r="E281" i="12" s="1"/>
  <c r="G284" i="9"/>
  <c r="E282" i="12" s="1"/>
  <c r="G285" i="9"/>
  <c r="E283" i="12" s="1"/>
  <c r="G286" i="9"/>
  <c r="E284" i="12" s="1"/>
  <c r="G287" i="9"/>
  <c r="E285" i="12" s="1"/>
  <c r="G288" i="9"/>
  <c r="E286" i="12" s="1"/>
  <c r="G289" i="9"/>
  <c r="E287" i="12" s="1"/>
  <c r="G290" i="9"/>
  <c r="E288" i="12" s="1"/>
  <c r="G291" i="9"/>
  <c r="E289" i="12" s="1"/>
  <c r="G292" i="9"/>
  <c r="E290" i="12" s="1"/>
  <c r="G293" i="9"/>
  <c r="E291" i="12" s="1"/>
  <c r="G294" i="9"/>
  <c r="E292" i="12" s="1"/>
  <c r="G295" i="9"/>
  <c r="E293" i="12" s="1"/>
  <c r="G296" i="9"/>
  <c r="E294" i="12" s="1"/>
  <c r="G297" i="9"/>
  <c r="E295" i="12" s="1"/>
  <c r="G298" i="9"/>
  <c r="E296" i="12" s="1"/>
  <c r="G299" i="9"/>
  <c r="E297" i="12" s="1"/>
  <c r="G300" i="9"/>
  <c r="E298" i="12" s="1"/>
  <c r="G301" i="9"/>
  <c r="E299" i="12" s="1"/>
  <c r="G302" i="9"/>
  <c r="E300" i="12" s="1"/>
  <c r="G303" i="9"/>
  <c r="E301" i="12" s="1"/>
  <c r="G304" i="9"/>
  <c r="E302" i="12" s="1"/>
  <c r="G305" i="9"/>
  <c r="E303" i="12" s="1"/>
  <c r="G306" i="9"/>
  <c r="E304" i="12" s="1"/>
  <c r="G307" i="9"/>
  <c r="E305" i="12" s="1"/>
  <c r="G308" i="9"/>
  <c r="E306" i="12" s="1"/>
  <c r="G309" i="9"/>
  <c r="E307" i="12" s="1"/>
  <c r="G310" i="9"/>
  <c r="E308" i="12" s="1"/>
  <c r="G311" i="9"/>
  <c r="E309" i="12" s="1"/>
  <c r="G312" i="9"/>
  <c r="E310" i="12" s="1"/>
  <c r="G313" i="9"/>
  <c r="E311" i="12" s="1"/>
  <c r="G314" i="9"/>
  <c r="E312" i="12" s="1"/>
  <c r="G315" i="9"/>
  <c r="E313" i="12" s="1"/>
  <c r="G316" i="9"/>
  <c r="E314" i="12" s="1"/>
  <c r="G317" i="9"/>
  <c r="E315" i="12" s="1"/>
  <c r="G318" i="9"/>
  <c r="E316" i="12" s="1"/>
  <c r="G319" i="9"/>
  <c r="E317" i="12" s="1"/>
  <c r="G320" i="9"/>
  <c r="E318" i="12" s="1"/>
  <c r="G321" i="9"/>
  <c r="E319" i="12" s="1"/>
  <c r="G322" i="9"/>
  <c r="E320" i="12" s="1"/>
  <c r="G323" i="9"/>
  <c r="E321" i="12" s="1"/>
  <c r="G324" i="9"/>
  <c r="E322" i="12" s="1"/>
  <c r="G325" i="9"/>
  <c r="E323" i="12" s="1"/>
  <c r="G326" i="9"/>
  <c r="E324" i="12" s="1"/>
  <c r="G327" i="9"/>
  <c r="E325" i="12" s="1"/>
  <c r="G328" i="9"/>
  <c r="E326" i="12" s="1"/>
  <c r="G329" i="9"/>
  <c r="E327" i="12" s="1"/>
  <c r="G330" i="9"/>
  <c r="E328" i="12" s="1"/>
  <c r="G331" i="9"/>
  <c r="E329" i="12" s="1"/>
  <c r="G332" i="9"/>
  <c r="E330" i="12" s="1"/>
  <c r="G333" i="9"/>
  <c r="E331" i="12" s="1"/>
  <c r="G334" i="9"/>
  <c r="E332" i="12" s="1"/>
  <c r="G335" i="9"/>
  <c r="E333" i="12" s="1"/>
  <c r="G336" i="9"/>
  <c r="E334" i="12" s="1"/>
  <c r="G337" i="9"/>
  <c r="E335" i="12" s="1"/>
  <c r="G338" i="9"/>
  <c r="E336" i="12" s="1"/>
  <c r="G339" i="9"/>
  <c r="E337" i="12" s="1"/>
  <c r="G340" i="9"/>
  <c r="E338" i="12" s="1"/>
  <c r="G341" i="9"/>
  <c r="E339" i="12" s="1"/>
  <c r="G342" i="9"/>
  <c r="E340" i="12" s="1"/>
  <c r="G343" i="9"/>
  <c r="E341" i="12" s="1"/>
  <c r="G344" i="9"/>
  <c r="E342" i="12" s="1"/>
  <c r="G345" i="9"/>
  <c r="E343" i="12" s="1"/>
  <c r="G346" i="9"/>
  <c r="E344" i="12" s="1"/>
  <c r="G347" i="9"/>
  <c r="E345" i="12" s="1"/>
  <c r="G348" i="9"/>
  <c r="E346" i="12" s="1"/>
  <c r="G349" i="9"/>
  <c r="E347" i="12" s="1"/>
  <c r="G350" i="9"/>
  <c r="E348" i="12" s="1"/>
  <c r="G351" i="9"/>
  <c r="E349" i="12" s="1"/>
  <c r="G352" i="9"/>
  <c r="E350" i="12" s="1"/>
  <c r="G353" i="9"/>
  <c r="E351" i="12" s="1"/>
  <c r="G354" i="9"/>
  <c r="E352" i="12" s="1"/>
  <c r="G355" i="9"/>
  <c r="E353" i="12" s="1"/>
  <c r="G356" i="9"/>
  <c r="E354" i="12" s="1"/>
  <c r="G357" i="9"/>
  <c r="E355" i="12" s="1"/>
  <c r="G358" i="9"/>
  <c r="E356" i="12" s="1"/>
  <c r="G359" i="9"/>
  <c r="E357" i="12" s="1"/>
  <c r="G360" i="9"/>
  <c r="E358" i="12" s="1"/>
  <c r="G361" i="9"/>
  <c r="E359" i="12" s="1"/>
  <c r="G362" i="9"/>
  <c r="E360" i="12" s="1"/>
  <c r="G363" i="9"/>
  <c r="E361" i="12" s="1"/>
  <c r="G364" i="9"/>
  <c r="E362" i="12" s="1"/>
  <c r="G365" i="9"/>
  <c r="E363" i="12" s="1"/>
  <c r="G366" i="9"/>
  <c r="E364" i="12" s="1"/>
  <c r="G367" i="9"/>
  <c r="E365" i="12" s="1"/>
  <c r="G368" i="9"/>
  <c r="E366" i="12" s="1"/>
  <c r="G369" i="9"/>
  <c r="E367" i="12" s="1"/>
  <c r="G370" i="9"/>
  <c r="E368" i="12" s="1"/>
  <c r="G371" i="9"/>
  <c r="E369" i="12" s="1"/>
  <c r="G372" i="9"/>
  <c r="E370" i="12" s="1"/>
  <c r="G373" i="9"/>
  <c r="E371" i="12" s="1"/>
  <c r="G374" i="9"/>
  <c r="E372" i="12" s="1"/>
  <c r="G375" i="9"/>
  <c r="E373" i="12" s="1"/>
  <c r="G376" i="9"/>
  <c r="E374" i="12" s="1"/>
  <c r="G377" i="9"/>
  <c r="E375" i="12" s="1"/>
  <c r="G378" i="9"/>
  <c r="E376" i="12" s="1"/>
  <c r="G379" i="9"/>
  <c r="E377" i="12" s="1"/>
  <c r="G380" i="9"/>
  <c r="E378" i="12" s="1"/>
  <c r="G381" i="9"/>
  <c r="E379" i="12" s="1"/>
  <c r="G382" i="9"/>
  <c r="E380" i="12" s="1"/>
  <c r="G383" i="9"/>
  <c r="E381" i="12" s="1"/>
  <c r="G384" i="9"/>
  <c r="E382" i="12" s="1"/>
  <c r="G385" i="9"/>
  <c r="E383" i="12" s="1"/>
  <c r="G386" i="9"/>
  <c r="E384" i="12" s="1"/>
  <c r="G387" i="9"/>
  <c r="E385" i="12" s="1"/>
  <c r="G388" i="9"/>
  <c r="E386" i="12" s="1"/>
  <c r="G389" i="9"/>
  <c r="E387" i="12" s="1"/>
  <c r="G390" i="9"/>
  <c r="E388" i="12" s="1"/>
  <c r="G391" i="9"/>
  <c r="E389" i="12" s="1"/>
  <c r="G392" i="9"/>
  <c r="E390" i="12" s="1"/>
  <c r="G393" i="9"/>
  <c r="E391" i="12" s="1"/>
  <c r="G394" i="9"/>
  <c r="E392" i="12" s="1"/>
  <c r="G395" i="9"/>
  <c r="E393" i="12" s="1"/>
  <c r="G396" i="9"/>
  <c r="E394" i="12" s="1"/>
  <c r="G397" i="9"/>
  <c r="E395" i="12" s="1"/>
  <c r="G398" i="9"/>
  <c r="E396" i="12" s="1"/>
  <c r="G399" i="9"/>
  <c r="E397" i="12" s="1"/>
  <c r="G400" i="9"/>
  <c r="E398" i="12" s="1"/>
  <c r="G401" i="9"/>
  <c r="E399" i="12" s="1"/>
  <c r="G402" i="9"/>
  <c r="E400" i="12" s="1"/>
  <c r="G403" i="9"/>
  <c r="E401" i="12" s="1"/>
  <c r="G404" i="9"/>
  <c r="E402" i="12" s="1"/>
  <c r="G405" i="9"/>
  <c r="E403" i="12" s="1"/>
  <c r="G406" i="9"/>
  <c r="E404" i="12" s="1"/>
  <c r="G407" i="9"/>
  <c r="E405" i="12" s="1"/>
  <c r="G408" i="9"/>
  <c r="E406" i="12" s="1"/>
  <c r="G409" i="9"/>
  <c r="E407" i="12" s="1"/>
  <c r="G410" i="9"/>
  <c r="E408" i="12" s="1"/>
  <c r="G411" i="9"/>
  <c r="E409" i="12" s="1"/>
  <c r="G412" i="9"/>
  <c r="E410" i="12" s="1"/>
  <c r="G413" i="9"/>
  <c r="E411" i="12" s="1"/>
  <c r="G414" i="9"/>
  <c r="E412" i="12" s="1"/>
  <c r="G415" i="9"/>
  <c r="E413" i="12" s="1"/>
  <c r="G416" i="9"/>
  <c r="E414" i="12" s="1"/>
  <c r="G417" i="9"/>
  <c r="E415" i="12" s="1"/>
  <c r="G418" i="9"/>
  <c r="E416" i="12" s="1"/>
  <c r="G419" i="9"/>
  <c r="E417" i="12" s="1"/>
  <c r="G420" i="9"/>
  <c r="E418" i="12" s="1"/>
  <c r="G421" i="9"/>
  <c r="E419" i="12" s="1"/>
  <c r="G422" i="9"/>
  <c r="E420" i="12" s="1"/>
  <c r="G423" i="9"/>
  <c r="E421" i="12" s="1"/>
  <c r="G424" i="9"/>
  <c r="E422" i="12" s="1"/>
  <c r="G425" i="9"/>
  <c r="E423" i="12" s="1"/>
  <c r="G426" i="9"/>
  <c r="E424" i="12" s="1"/>
  <c r="G427" i="9"/>
  <c r="E425" i="12" s="1"/>
  <c r="G428" i="9"/>
  <c r="E426" i="12" s="1"/>
  <c r="G429" i="9"/>
  <c r="E427" i="12" s="1"/>
  <c r="G430" i="9"/>
  <c r="E428" i="12" s="1"/>
  <c r="G431" i="9"/>
  <c r="E429" i="12" s="1"/>
  <c r="G432" i="9"/>
  <c r="E430" i="12" s="1"/>
  <c r="G433" i="9"/>
  <c r="E431" i="12" s="1"/>
  <c r="G434" i="9"/>
  <c r="E432" i="12" s="1"/>
  <c r="G435" i="9"/>
  <c r="E433" i="12" s="1"/>
  <c r="G436" i="9"/>
  <c r="E434" i="12" s="1"/>
  <c r="G437" i="9"/>
  <c r="E435" i="12" s="1"/>
  <c r="G438" i="9"/>
  <c r="E436" i="12" s="1"/>
  <c r="G439" i="9"/>
  <c r="E437" i="12" s="1"/>
  <c r="G440" i="9"/>
  <c r="E438" i="12" s="1"/>
  <c r="G441" i="9"/>
  <c r="E439" i="12" s="1"/>
  <c r="G442" i="9"/>
  <c r="E440" i="12" s="1"/>
  <c r="G443" i="9"/>
  <c r="E441" i="12" s="1"/>
  <c r="G444" i="9"/>
  <c r="E442" i="12" s="1"/>
  <c r="G445" i="9"/>
  <c r="E443" i="12" s="1"/>
  <c r="G446" i="9"/>
  <c r="E444" i="12" s="1"/>
  <c r="G447" i="9"/>
  <c r="E445" i="12" s="1"/>
  <c r="G448" i="9"/>
  <c r="E446" i="12" s="1"/>
  <c r="G449" i="9"/>
  <c r="E447" i="12" s="1"/>
  <c r="G450" i="9"/>
  <c r="E448" i="12" s="1"/>
  <c r="G451" i="9"/>
  <c r="E449" i="12" s="1"/>
  <c r="G452" i="9"/>
  <c r="E450" i="12" s="1"/>
  <c r="G453" i="9"/>
  <c r="E451" i="12" s="1"/>
  <c r="G454" i="9"/>
  <c r="E452" i="12" s="1"/>
  <c r="G455" i="9"/>
  <c r="E453" i="12" s="1"/>
  <c r="G456" i="9"/>
  <c r="E454" i="12" s="1"/>
  <c r="G457" i="9"/>
  <c r="E455" i="12" s="1"/>
  <c r="G458" i="9"/>
  <c r="E456" i="12" s="1"/>
  <c r="G459" i="9"/>
  <c r="E457" i="12" s="1"/>
  <c r="G460" i="9"/>
  <c r="E458" i="12" s="1"/>
  <c r="G461" i="9"/>
  <c r="E459" i="12" s="1"/>
  <c r="G462" i="9"/>
  <c r="E460" i="12" s="1"/>
  <c r="G463" i="9"/>
  <c r="E461" i="12" s="1"/>
  <c r="G464" i="9"/>
  <c r="E462" i="12" s="1"/>
  <c r="G465" i="9"/>
  <c r="E463" i="12" s="1"/>
  <c r="G466" i="9"/>
  <c r="E464" i="12" s="1"/>
  <c r="G467" i="9"/>
  <c r="E465" i="12" s="1"/>
  <c r="G468" i="9"/>
  <c r="E466" i="12" s="1"/>
  <c r="G469" i="9"/>
  <c r="E467" i="12" s="1"/>
  <c r="G470" i="9"/>
  <c r="E468" i="12" s="1"/>
  <c r="G471" i="9"/>
  <c r="E469" i="12" s="1"/>
  <c r="G472" i="9"/>
  <c r="E470" i="12" s="1"/>
  <c r="G473" i="9"/>
  <c r="E471" i="12" s="1"/>
  <c r="G474" i="9"/>
  <c r="E472" i="12" s="1"/>
  <c r="G475" i="9"/>
  <c r="E473" i="12" s="1"/>
  <c r="G476" i="9"/>
  <c r="E474" i="12" s="1"/>
  <c r="G477" i="9"/>
  <c r="E475" i="12" s="1"/>
  <c r="G478" i="9"/>
  <c r="E476" i="12" s="1"/>
  <c r="G479" i="9"/>
  <c r="E477" i="12" s="1"/>
  <c r="G480" i="9"/>
  <c r="E478" i="12" s="1"/>
  <c r="G481" i="9"/>
  <c r="E479" i="12" s="1"/>
  <c r="G482" i="9"/>
  <c r="E480" i="12" s="1"/>
  <c r="G483" i="9"/>
  <c r="E481" i="12" s="1"/>
  <c r="G484" i="9"/>
  <c r="E482" i="12" s="1"/>
  <c r="G485" i="9"/>
  <c r="E483" i="12" s="1"/>
  <c r="G486" i="9"/>
  <c r="E484" i="12" s="1"/>
  <c r="G487" i="9"/>
  <c r="E485" i="12" s="1"/>
  <c r="G488" i="9"/>
  <c r="E486" i="12" s="1"/>
  <c r="G489" i="9"/>
  <c r="E487" i="12" s="1"/>
  <c r="G490" i="9"/>
  <c r="E488" i="12" s="1"/>
  <c r="G491" i="9"/>
  <c r="E489" i="12" s="1"/>
  <c r="G492" i="9"/>
  <c r="E490" i="12" s="1"/>
  <c r="G493" i="9"/>
  <c r="E491" i="12" s="1"/>
  <c r="G494" i="9"/>
  <c r="E492" i="12" s="1"/>
  <c r="G495" i="9"/>
  <c r="E493" i="12" s="1"/>
  <c r="G496" i="9"/>
  <c r="E494" i="12" s="1"/>
  <c r="G497" i="9"/>
  <c r="E495" i="12" s="1"/>
  <c r="G498" i="9"/>
  <c r="E496" i="12" s="1"/>
  <c r="G499" i="9"/>
  <c r="E497" i="12" s="1"/>
  <c r="G500" i="9"/>
  <c r="E498" i="12" s="1"/>
  <c r="G501" i="9"/>
  <c r="E499" i="12" s="1"/>
  <c r="G502" i="9"/>
  <c r="E500" i="12" s="1"/>
  <c r="G503" i="9"/>
  <c r="E501" i="12" s="1"/>
  <c r="G504" i="9"/>
  <c r="E502" i="12" s="1"/>
  <c r="G505" i="9"/>
  <c r="E503" i="12" s="1"/>
  <c r="G506" i="9"/>
  <c r="E504" i="12" s="1"/>
  <c r="G507" i="9"/>
  <c r="E505" i="12" s="1"/>
  <c r="G508" i="9"/>
  <c r="E506" i="12" s="1"/>
  <c r="G509" i="9"/>
  <c r="E507" i="12" s="1"/>
  <c r="G510" i="9"/>
  <c r="E508" i="12" s="1"/>
  <c r="G511" i="9"/>
  <c r="E509" i="12" s="1"/>
  <c r="G512" i="9"/>
  <c r="E510" i="12" s="1"/>
  <c r="G513" i="9"/>
  <c r="E511" i="12" s="1"/>
  <c r="G514" i="9"/>
  <c r="E512" i="12" s="1"/>
  <c r="G515" i="9"/>
  <c r="E513" i="12" s="1"/>
  <c r="G516" i="9"/>
  <c r="E514" i="12" s="1"/>
  <c r="G517" i="9"/>
  <c r="E515" i="12" s="1"/>
  <c r="G518" i="9"/>
  <c r="E516" i="12" s="1"/>
  <c r="G519" i="9"/>
  <c r="E517" i="12" s="1"/>
  <c r="G520" i="9"/>
  <c r="E518" i="12" s="1"/>
  <c r="G521" i="9"/>
  <c r="E519" i="12" s="1"/>
  <c r="G522" i="9"/>
  <c r="E520" i="12" s="1"/>
  <c r="G523" i="9"/>
  <c r="E521" i="12" s="1"/>
  <c r="G524" i="9"/>
  <c r="E522" i="12" s="1"/>
  <c r="G525" i="9"/>
  <c r="E523" i="12" s="1"/>
  <c r="G526" i="9"/>
  <c r="E524" i="12" s="1"/>
  <c r="G527" i="9"/>
  <c r="E525" i="12" s="1"/>
  <c r="G528" i="9"/>
  <c r="E526" i="12" s="1"/>
  <c r="G529" i="9"/>
  <c r="E527" i="12" s="1"/>
  <c r="G530" i="9"/>
  <c r="E528" i="12" s="1"/>
  <c r="G531" i="9"/>
  <c r="E529" i="12" s="1"/>
  <c r="G532" i="9"/>
  <c r="E530" i="12" s="1"/>
  <c r="G533" i="9"/>
  <c r="E531" i="12" s="1"/>
  <c r="G534" i="9"/>
  <c r="E532" i="12" s="1"/>
  <c r="G535" i="9"/>
  <c r="E533" i="12" s="1"/>
  <c r="G536" i="9"/>
  <c r="E534" i="12" s="1"/>
  <c r="G537" i="9"/>
  <c r="E535" i="12" s="1"/>
  <c r="G538" i="9"/>
  <c r="E536" i="12" s="1"/>
  <c r="G539" i="9"/>
  <c r="E537" i="12" s="1"/>
  <c r="G540" i="9"/>
  <c r="E538" i="12" s="1"/>
  <c r="G541" i="9"/>
  <c r="E539" i="12" s="1"/>
  <c r="G542" i="9"/>
  <c r="E540" i="12" s="1"/>
  <c r="G543" i="9"/>
  <c r="E541" i="12" s="1"/>
  <c r="G544" i="9"/>
  <c r="E542" i="12" s="1"/>
  <c r="G545" i="9"/>
  <c r="E543" i="12" s="1"/>
  <c r="G546" i="9"/>
  <c r="E544" i="12" s="1"/>
  <c r="G547" i="9"/>
  <c r="E545" i="12" s="1"/>
  <c r="G548" i="9"/>
  <c r="E546" i="12" s="1"/>
  <c r="G549" i="9"/>
  <c r="E547" i="12" s="1"/>
  <c r="G550" i="9"/>
  <c r="E548" i="12" s="1"/>
  <c r="G551" i="9"/>
  <c r="E549" i="12" s="1"/>
  <c r="G552" i="9"/>
  <c r="E550" i="12" s="1"/>
  <c r="G553" i="9"/>
  <c r="E551" i="12" s="1"/>
  <c r="G554" i="9"/>
  <c r="E552" i="12" s="1"/>
  <c r="G555" i="9"/>
  <c r="E553" i="12" s="1"/>
  <c r="G556" i="9"/>
  <c r="E554" i="12" s="1"/>
  <c r="G557" i="9"/>
  <c r="E555" i="12" s="1"/>
  <c r="G558" i="9"/>
  <c r="E556" i="12" s="1"/>
  <c r="G559" i="9"/>
  <c r="E557" i="12" s="1"/>
  <c r="G560" i="9"/>
  <c r="E558" i="12" s="1"/>
  <c r="G561" i="9"/>
  <c r="E559" i="12" s="1"/>
  <c r="G562" i="9"/>
  <c r="E560" i="12" s="1"/>
  <c r="G563" i="9"/>
  <c r="E561" i="12" s="1"/>
  <c r="G564" i="9"/>
  <c r="E562" i="12" s="1"/>
  <c r="G565" i="9"/>
  <c r="E563" i="12" s="1"/>
  <c r="G566" i="9"/>
  <c r="E564" i="12" s="1"/>
  <c r="G567" i="9"/>
  <c r="E565" i="12" s="1"/>
  <c r="G568" i="9"/>
  <c r="E566" i="12" s="1"/>
  <c r="G569" i="9"/>
  <c r="E567" i="12" s="1"/>
  <c r="G570" i="9"/>
  <c r="E568" i="12" s="1"/>
  <c r="G571" i="9"/>
  <c r="E569" i="12" s="1"/>
  <c r="G572" i="9"/>
  <c r="E570" i="12" s="1"/>
  <c r="G573" i="9"/>
  <c r="E571" i="12" s="1"/>
  <c r="G574" i="9"/>
  <c r="E572" i="12" s="1"/>
  <c r="G575" i="9"/>
  <c r="E573" i="12" s="1"/>
  <c r="G576" i="9"/>
  <c r="E574" i="12" s="1"/>
  <c r="G577" i="9"/>
  <c r="E575" i="12" s="1"/>
  <c r="G578" i="9"/>
  <c r="E576" i="12" s="1"/>
  <c r="G579" i="9"/>
  <c r="E577" i="12" s="1"/>
  <c r="G580" i="9"/>
  <c r="E578" i="12" s="1"/>
  <c r="G581" i="9"/>
  <c r="E579" i="12" s="1"/>
  <c r="G582" i="9"/>
  <c r="E580" i="12" s="1"/>
  <c r="G583" i="9"/>
  <c r="E581" i="12" s="1"/>
  <c r="G584" i="9"/>
  <c r="E582" i="12" s="1"/>
  <c r="G585" i="9"/>
  <c r="E583" i="12" s="1"/>
  <c r="G586" i="9"/>
  <c r="E584" i="12" s="1"/>
  <c r="G587" i="9"/>
  <c r="E585" i="12" s="1"/>
  <c r="G588" i="9"/>
  <c r="E586" i="12" s="1"/>
  <c r="G589" i="9"/>
  <c r="E587" i="12" s="1"/>
  <c r="G590" i="9"/>
  <c r="E588" i="12" s="1"/>
  <c r="G591" i="9"/>
  <c r="E589" i="12" s="1"/>
  <c r="G592" i="9"/>
  <c r="E590" i="12" s="1"/>
  <c r="G593" i="9"/>
  <c r="E591" i="12" s="1"/>
  <c r="G594" i="9"/>
  <c r="E592" i="12" s="1"/>
  <c r="G595" i="9"/>
  <c r="E593" i="12" s="1"/>
  <c r="G596" i="9"/>
  <c r="E594" i="12" s="1"/>
  <c r="G597" i="9"/>
  <c r="E595" i="12" s="1"/>
  <c r="G598" i="9"/>
  <c r="E596" i="12" s="1"/>
  <c r="G599" i="9"/>
  <c r="E597" i="12" s="1"/>
  <c r="G600" i="9"/>
  <c r="E598" i="12" s="1"/>
  <c r="G601" i="9"/>
  <c r="E599" i="12" s="1"/>
  <c r="G602" i="9"/>
  <c r="E600" i="12" s="1"/>
  <c r="G603" i="9"/>
  <c r="E601" i="12" s="1"/>
  <c r="G604" i="9"/>
  <c r="E602" i="12" s="1"/>
  <c r="G605" i="9"/>
  <c r="E603" i="12" s="1"/>
  <c r="G606" i="9"/>
  <c r="E604" i="12" s="1"/>
  <c r="G607" i="9"/>
  <c r="E605" i="12" s="1"/>
  <c r="G608" i="9"/>
  <c r="E606" i="12" s="1"/>
  <c r="G609" i="9"/>
  <c r="E607" i="12" s="1"/>
  <c r="G610" i="9"/>
  <c r="E608" i="12" s="1"/>
  <c r="G611" i="9"/>
  <c r="E609" i="12" s="1"/>
  <c r="G612" i="9"/>
  <c r="E610" i="12" s="1"/>
  <c r="G613" i="9"/>
  <c r="E611" i="12" s="1"/>
  <c r="G614" i="9"/>
  <c r="E612" i="12" s="1"/>
  <c r="G615" i="9"/>
  <c r="E613" i="12" s="1"/>
  <c r="G616" i="9"/>
  <c r="E614" i="12" s="1"/>
  <c r="G617" i="9"/>
  <c r="E615" i="12" s="1"/>
  <c r="G618" i="9"/>
  <c r="E616" i="12" s="1"/>
  <c r="G619" i="9"/>
  <c r="E617" i="12" s="1"/>
  <c r="G620" i="9"/>
  <c r="E618" i="12" s="1"/>
  <c r="G621" i="9"/>
  <c r="E619" i="12" s="1"/>
  <c r="G622" i="9"/>
  <c r="E620" i="12" s="1"/>
  <c r="G623" i="9"/>
  <c r="E621" i="12" s="1"/>
  <c r="G624" i="9"/>
  <c r="E622" i="12" s="1"/>
  <c r="G625" i="9"/>
  <c r="E623" i="12" s="1"/>
  <c r="G626" i="9"/>
  <c r="E624" i="12" s="1"/>
  <c r="G627" i="9"/>
  <c r="E625" i="12" s="1"/>
  <c r="G628" i="9"/>
  <c r="E626" i="12" s="1"/>
  <c r="G629" i="9"/>
  <c r="E627" i="12" s="1"/>
  <c r="G630" i="9"/>
  <c r="E628" i="12" s="1"/>
  <c r="G631" i="9"/>
  <c r="E629" i="12" s="1"/>
  <c r="G632" i="9"/>
  <c r="E630" i="12" s="1"/>
  <c r="G633" i="9"/>
  <c r="E631" i="12" s="1"/>
  <c r="G634" i="9"/>
  <c r="E632" i="12" s="1"/>
  <c r="G635" i="9"/>
  <c r="E633" i="12" s="1"/>
  <c r="G636" i="9"/>
  <c r="E634" i="12" s="1"/>
  <c r="G637" i="9"/>
  <c r="E635" i="12" s="1"/>
  <c r="G638" i="9"/>
  <c r="E636" i="12" s="1"/>
  <c r="G639" i="9"/>
  <c r="E637" i="12" s="1"/>
  <c r="G640" i="9"/>
  <c r="E638" i="12" s="1"/>
  <c r="G641" i="9"/>
  <c r="E639" i="12" s="1"/>
  <c r="G642" i="9"/>
  <c r="E640" i="12" s="1"/>
  <c r="G643" i="9"/>
  <c r="E641" i="12" s="1"/>
  <c r="G644" i="9"/>
  <c r="E642" i="12" s="1"/>
  <c r="G645" i="9"/>
  <c r="E643" i="12" s="1"/>
  <c r="G646" i="9"/>
  <c r="E644" i="12" s="1"/>
  <c r="G647" i="9"/>
  <c r="E645" i="12" s="1"/>
  <c r="G648" i="9"/>
  <c r="E646" i="12" s="1"/>
  <c r="G649" i="9"/>
  <c r="E647" i="12" s="1"/>
  <c r="G650" i="9"/>
  <c r="E648" i="12" s="1"/>
  <c r="G651" i="9"/>
  <c r="E649" i="12" s="1"/>
  <c r="G652" i="9"/>
  <c r="E650" i="12" s="1"/>
  <c r="G653" i="9"/>
  <c r="E651" i="12" s="1"/>
  <c r="G654" i="9"/>
  <c r="E652" i="12" s="1"/>
  <c r="G655" i="9"/>
  <c r="E653" i="12" s="1"/>
  <c r="G656" i="9"/>
  <c r="E654" i="12" s="1"/>
  <c r="G657" i="9"/>
  <c r="E655" i="12" s="1"/>
  <c r="G658" i="9"/>
  <c r="E656" i="12" s="1"/>
  <c r="G659" i="9"/>
  <c r="E657" i="12" s="1"/>
  <c r="G660" i="9"/>
  <c r="E658" i="12" s="1"/>
  <c r="G661" i="9"/>
  <c r="E659" i="12" s="1"/>
  <c r="G662" i="9"/>
  <c r="E660" i="12" s="1"/>
  <c r="G663" i="9"/>
  <c r="E661" i="12" s="1"/>
  <c r="G664" i="9"/>
  <c r="E662" i="12" s="1"/>
  <c r="G665" i="9"/>
  <c r="E663" i="12" s="1"/>
  <c r="G666" i="9"/>
  <c r="E664" i="12" s="1"/>
  <c r="G667" i="9"/>
  <c r="E665" i="12" s="1"/>
  <c r="G668" i="9"/>
  <c r="E666" i="12" s="1"/>
  <c r="G669" i="9"/>
  <c r="E667" i="12" s="1"/>
  <c r="G670" i="9"/>
  <c r="E668" i="12" s="1"/>
  <c r="G671" i="9"/>
  <c r="E669" i="12" s="1"/>
  <c r="G672" i="9"/>
  <c r="E670" i="12" s="1"/>
  <c r="G673" i="9"/>
  <c r="E671" i="12" s="1"/>
  <c r="G674" i="9"/>
  <c r="E672" i="12" s="1"/>
  <c r="G675" i="9"/>
  <c r="E673" i="12" s="1"/>
  <c r="G676" i="9"/>
  <c r="E674" i="12" s="1"/>
  <c r="G677" i="9"/>
  <c r="E675" i="12" s="1"/>
  <c r="G678" i="9"/>
  <c r="E676" i="12" s="1"/>
  <c r="G679" i="9"/>
  <c r="E677" i="12" s="1"/>
  <c r="G680" i="9"/>
  <c r="E678" i="12" s="1"/>
  <c r="G681" i="9"/>
  <c r="E679" i="12" s="1"/>
  <c r="G682" i="9"/>
  <c r="E680" i="12" s="1"/>
  <c r="G683" i="9"/>
  <c r="E681" i="12" s="1"/>
  <c r="G684" i="9"/>
  <c r="E682" i="12" s="1"/>
  <c r="G685" i="9"/>
  <c r="E683" i="12" s="1"/>
  <c r="G686" i="9"/>
  <c r="E684" i="12" s="1"/>
  <c r="G687" i="9"/>
  <c r="E685" i="12" s="1"/>
  <c r="G688" i="9"/>
  <c r="E686" i="12" s="1"/>
  <c r="G689" i="9"/>
  <c r="E687" i="12" s="1"/>
  <c r="G690" i="9"/>
  <c r="E688" i="12" s="1"/>
  <c r="G691" i="9"/>
  <c r="E689" i="12" s="1"/>
  <c r="G692" i="9"/>
  <c r="E690" i="12" s="1"/>
  <c r="G693" i="9"/>
  <c r="E691" i="12" s="1"/>
  <c r="G694" i="9"/>
  <c r="E692" i="12" s="1"/>
  <c r="G695" i="9"/>
  <c r="E693" i="12" s="1"/>
  <c r="G696" i="9"/>
  <c r="E694" i="12" s="1"/>
  <c r="G697" i="9"/>
  <c r="E695" i="12" s="1"/>
  <c r="G698" i="9"/>
  <c r="E696" i="12" s="1"/>
  <c r="G699" i="9"/>
  <c r="E697" i="12" s="1"/>
  <c r="G700" i="9"/>
  <c r="E698" i="12" s="1"/>
  <c r="G701" i="9"/>
  <c r="E699" i="12" s="1"/>
  <c r="G702" i="9"/>
  <c r="E700" i="12" s="1"/>
  <c r="G703" i="9"/>
  <c r="E701" i="12" s="1"/>
  <c r="G704" i="9"/>
  <c r="E702" i="12" s="1"/>
  <c r="G705" i="9"/>
  <c r="E703" i="12" s="1"/>
  <c r="G706" i="9"/>
  <c r="E704" i="12" s="1"/>
  <c r="G707" i="9"/>
  <c r="E705" i="12" s="1"/>
  <c r="G708" i="9"/>
  <c r="E706" i="12" s="1"/>
  <c r="G709" i="9"/>
  <c r="E707" i="12" s="1"/>
  <c r="G710" i="9"/>
  <c r="E708" i="12" s="1"/>
  <c r="G711" i="9"/>
  <c r="E709" i="12" s="1"/>
  <c r="G712" i="9"/>
  <c r="E710" i="12" s="1"/>
  <c r="G713" i="9"/>
  <c r="E711" i="12" s="1"/>
  <c r="G714" i="9"/>
  <c r="E712" i="12" s="1"/>
  <c r="G715" i="9"/>
  <c r="E713" i="12" s="1"/>
  <c r="G716" i="9"/>
  <c r="E714" i="12" s="1"/>
  <c r="G717" i="9"/>
  <c r="E715" i="12" s="1"/>
  <c r="G718" i="9"/>
  <c r="E716" i="12" s="1"/>
  <c r="G719" i="9"/>
  <c r="E717" i="12" s="1"/>
  <c r="G720" i="9"/>
  <c r="E718" i="12" s="1"/>
  <c r="G721" i="9"/>
  <c r="E719" i="12" s="1"/>
  <c r="G722" i="9"/>
  <c r="E720" i="12" s="1"/>
  <c r="G723" i="9"/>
  <c r="E721" i="12" s="1"/>
  <c r="G724" i="9"/>
  <c r="E722" i="12" s="1"/>
  <c r="G725" i="9"/>
  <c r="E723" i="12" s="1"/>
  <c r="G726" i="9"/>
  <c r="E724" i="12" s="1"/>
  <c r="G727" i="9"/>
  <c r="E725" i="12" s="1"/>
  <c r="G728" i="9"/>
  <c r="E726" i="12" s="1"/>
  <c r="G729" i="9"/>
  <c r="E727" i="12" s="1"/>
  <c r="G730" i="9"/>
  <c r="E728" i="12" s="1"/>
  <c r="G731" i="9"/>
  <c r="E729" i="12" s="1"/>
  <c r="G732" i="9"/>
  <c r="E730" i="12" s="1"/>
  <c r="G733" i="9"/>
  <c r="E731" i="12" s="1"/>
  <c r="G734" i="9"/>
  <c r="E732" i="12" s="1"/>
  <c r="G735" i="9"/>
  <c r="E733" i="12" s="1"/>
  <c r="G736" i="9"/>
  <c r="E734" i="12" s="1"/>
  <c r="G737" i="9"/>
  <c r="E735" i="12" s="1"/>
  <c r="G738" i="9"/>
  <c r="E736" i="12" s="1"/>
  <c r="G739" i="9"/>
  <c r="E737" i="12" s="1"/>
  <c r="G740" i="9"/>
  <c r="E738" i="12" s="1"/>
  <c r="G741" i="9"/>
  <c r="E739" i="12" s="1"/>
  <c r="G742" i="9"/>
  <c r="E740" i="12" s="1"/>
  <c r="G743" i="9"/>
  <c r="E741" i="12" s="1"/>
  <c r="G744" i="9"/>
  <c r="E742" i="12" s="1"/>
  <c r="G745" i="9"/>
  <c r="E743" i="12" s="1"/>
  <c r="G746" i="9"/>
  <c r="E744" i="12" s="1"/>
  <c r="G747" i="9"/>
  <c r="E745" i="12" s="1"/>
  <c r="G748" i="9"/>
  <c r="E746" i="12" s="1"/>
  <c r="G749" i="9"/>
  <c r="E747" i="12" s="1"/>
  <c r="G750" i="9"/>
  <c r="E748" i="12" s="1"/>
  <c r="G751" i="9"/>
  <c r="E749" i="12" s="1"/>
  <c r="G752" i="9"/>
  <c r="E750" i="12" s="1"/>
  <c r="G753" i="9"/>
  <c r="E751" i="12" s="1"/>
  <c r="G754" i="9"/>
  <c r="E752" i="12" s="1"/>
  <c r="G755" i="9"/>
  <c r="E753" i="12" s="1"/>
  <c r="G756" i="9"/>
  <c r="E754" i="12" s="1"/>
  <c r="G757" i="9"/>
  <c r="E755" i="12" s="1"/>
  <c r="G758" i="9"/>
  <c r="E756" i="12" s="1"/>
  <c r="G759" i="9"/>
  <c r="E757" i="12" s="1"/>
  <c r="G760" i="9"/>
  <c r="E758" i="12" s="1"/>
  <c r="G761" i="9"/>
  <c r="E759" i="12" s="1"/>
  <c r="G762" i="9"/>
  <c r="E760" i="12" s="1"/>
  <c r="G763" i="9"/>
  <c r="E761" i="12" s="1"/>
  <c r="G764" i="9"/>
  <c r="E762" i="12" s="1"/>
  <c r="G765" i="9"/>
  <c r="E763" i="12" s="1"/>
  <c r="G766" i="9"/>
  <c r="E764" i="12" s="1"/>
  <c r="G767" i="9"/>
  <c r="E765" i="12" s="1"/>
  <c r="G768" i="9"/>
  <c r="E766" i="12" s="1"/>
  <c r="G769" i="9"/>
  <c r="E767" i="12" s="1"/>
  <c r="G770" i="9"/>
  <c r="E768" i="12" s="1"/>
  <c r="G771" i="9"/>
  <c r="E769" i="12" s="1"/>
  <c r="G772" i="9"/>
  <c r="E770" i="12" s="1"/>
  <c r="G773" i="9"/>
  <c r="E771" i="12" s="1"/>
  <c r="G774" i="9"/>
  <c r="E772" i="12" s="1"/>
  <c r="G775" i="9"/>
  <c r="E773" i="12" s="1"/>
  <c r="G776" i="9"/>
  <c r="E774" i="12" s="1"/>
  <c r="G777" i="9"/>
  <c r="E775" i="12" s="1"/>
  <c r="G778" i="9"/>
  <c r="E776" i="12" s="1"/>
  <c r="G779" i="9"/>
  <c r="E777" i="12" s="1"/>
  <c r="G780" i="9"/>
  <c r="E778" i="12" s="1"/>
  <c r="G781" i="9"/>
  <c r="E779" i="12" s="1"/>
  <c r="G782" i="9"/>
  <c r="E780" i="12" s="1"/>
  <c r="G783" i="9"/>
  <c r="E781" i="12" s="1"/>
  <c r="G784" i="9"/>
  <c r="E782" i="12" s="1"/>
  <c r="G785" i="9"/>
  <c r="E783" i="12" s="1"/>
  <c r="G786" i="9"/>
  <c r="E784" i="12" s="1"/>
  <c r="G787" i="9"/>
  <c r="E785" i="12" s="1"/>
  <c r="G788" i="9"/>
  <c r="E786" i="12" s="1"/>
  <c r="G789" i="9"/>
  <c r="E787" i="12" s="1"/>
  <c r="G790" i="9"/>
  <c r="E788" i="12" s="1"/>
  <c r="G791" i="9"/>
  <c r="E789" i="12" s="1"/>
  <c r="G792" i="9"/>
  <c r="E790" i="12" s="1"/>
  <c r="G793" i="9"/>
  <c r="E791" i="12" s="1"/>
  <c r="G794" i="9"/>
  <c r="E792" i="12" s="1"/>
  <c r="G795" i="9"/>
  <c r="E793" i="12" s="1"/>
  <c r="G796" i="9"/>
  <c r="E794" i="12" s="1"/>
  <c r="G797" i="9"/>
  <c r="E795" i="12" s="1"/>
  <c r="G798" i="9"/>
  <c r="E796" i="12" s="1"/>
  <c r="G799" i="9"/>
  <c r="E797" i="12" s="1"/>
  <c r="G800" i="9"/>
  <c r="E798" i="12" s="1"/>
  <c r="G801" i="9"/>
  <c r="E799" i="12" s="1"/>
  <c r="G802" i="9"/>
  <c r="E800" i="12" s="1"/>
  <c r="G803" i="9"/>
  <c r="E801" i="12" s="1"/>
  <c r="G804" i="9"/>
  <c r="E802" i="12" s="1"/>
  <c r="G805" i="9"/>
  <c r="E803" i="12" s="1"/>
  <c r="G806" i="9"/>
  <c r="E804" i="12" s="1"/>
  <c r="G807" i="9"/>
  <c r="E805" i="12" s="1"/>
  <c r="G808" i="9"/>
  <c r="E806" i="12" s="1"/>
  <c r="G809" i="9"/>
  <c r="E807" i="12" s="1"/>
  <c r="G810" i="9"/>
  <c r="E808" i="12" s="1"/>
  <c r="G811" i="9"/>
  <c r="E809" i="12" s="1"/>
  <c r="G812" i="9"/>
  <c r="E810" i="12" s="1"/>
  <c r="G813" i="9"/>
  <c r="E811" i="12" s="1"/>
  <c r="G814" i="9"/>
  <c r="E812" i="12" s="1"/>
  <c r="G815" i="9"/>
  <c r="E813" i="12" s="1"/>
  <c r="G816" i="9"/>
  <c r="E814" i="12" s="1"/>
  <c r="G817" i="9"/>
  <c r="E815" i="12" s="1"/>
  <c r="G818" i="9"/>
  <c r="E816" i="12" s="1"/>
  <c r="G819" i="9"/>
  <c r="E817" i="12" s="1"/>
  <c r="G820" i="9"/>
  <c r="E818" i="12" s="1"/>
  <c r="G821" i="9"/>
  <c r="E819" i="12" s="1"/>
  <c r="G822" i="9"/>
  <c r="E820" i="12" s="1"/>
  <c r="G823" i="9"/>
  <c r="E821" i="12" s="1"/>
  <c r="G824" i="9"/>
  <c r="E822" i="12" s="1"/>
  <c r="G825" i="9"/>
  <c r="E823" i="12" s="1"/>
  <c r="G826" i="9"/>
  <c r="E824" i="12" s="1"/>
  <c r="G827" i="9"/>
  <c r="E825" i="12" s="1"/>
  <c r="G828" i="9"/>
  <c r="E826" i="12" s="1"/>
  <c r="G829" i="9"/>
  <c r="E827" i="12" s="1"/>
  <c r="G830" i="9"/>
  <c r="E828" i="12" s="1"/>
  <c r="G831" i="9"/>
  <c r="E829" i="12" s="1"/>
  <c r="G832" i="9"/>
  <c r="E830" i="12" s="1"/>
  <c r="G833" i="9"/>
  <c r="E831" i="12" s="1"/>
  <c r="G834" i="9"/>
  <c r="E832" i="12" s="1"/>
  <c r="G835" i="9"/>
  <c r="E833" i="12" s="1"/>
  <c r="G836" i="9"/>
  <c r="E834" i="12" s="1"/>
  <c r="G837" i="9"/>
  <c r="E835" i="12" s="1"/>
  <c r="G838" i="9"/>
  <c r="E836" i="12" s="1"/>
  <c r="G839" i="9"/>
  <c r="E837" i="12" s="1"/>
  <c r="G840" i="9"/>
  <c r="E838" i="12" s="1"/>
  <c r="G841" i="9"/>
  <c r="E839" i="12" s="1"/>
  <c r="G842" i="9"/>
  <c r="E840" i="12" s="1"/>
  <c r="G843" i="9"/>
  <c r="E841" i="12" s="1"/>
  <c r="G844" i="9"/>
  <c r="E842" i="12" s="1"/>
  <c r="G845" i="9"/>
  <c r="E843" i="12" s="1"/>
  <c r="G846" i="9"/>
  <c r="E844" i="12" s="1"/>
  <c r="G847" i="9"/>
  <c r="E845" i="12" s="1"/>
  <c r="G848" i="9"/>
  <c r="E846" i="12" s="1"/>
  <c r="G849" i="9"/>
  <c r="E847" i="12" s="1"/>
  <c r="G850" i="9"/>
  <c r="E848" i="12" s="1"/>
  <c r="G851" i="9"/>
  <c r="E849" i="12" s="1"/>
  <c r="G852" i="9"/>
  <c r="E850" i="12" s="1"/>
  <c r="G853" i="9"/>
  <c r="E851" i="12" s="1"/>
  <c r="G854" i="9"/>
  <c r="E852" i="12" s="1"/>
  <c r="G855" i="9"/>
  <c r="E853" i="12" s="1"/>
  <c r="G856" i="9"/>
  <c r="E854" i="12" s="1"/>
  <c r="G857" i="9"/>
  <c r="E855" i="12" s="1"/>
  <c r="G858" i="9"/>
  <c r="E856" i="12" s="1"/>
  <c r="G859" i="9"/>
  <c r="E857" i="12" s="1"/>
  <c r="G860" i="9"/>
  <c r="E858" i="12" s="1"/>
  <c r="G861" i="9"/>
  <c r="E859" i="12" s="1"/>
  <c r="G862" i="9"/>
  <c r="E860" i="12" s="1"/>
  <c r="G863" i="9"/>
  <c r="E861" i="12" s="1"/>
  <c r="G864" i="9"/>
  <c r="E862" i="12" s="1"/>
  <c r="G865" i="9"/>
  <c r="E863" i="12" s="1"/>
  <c r="G866" i="9"/>
  <c r="E864" i="12" s="1"/>
  <c r="G867" i="9"/>
  <c r="E865" i="12" s="1"/>
  <c r="G868" i="9"/>
  <c r="E866" i="12" s="1"/>
  <c r="G869" i="9"/>
  <c r="E867" i="12" s="1"/>
  <c r="G870" i="9"/>
  <c r="E868" i="12" s="1"/>
  <c r="G871" i="9"/>
  <c r="E869" i="12" s="1"/>
  <c r="G872" i="9"/>
  <c r="E870" i="12" s="1"/>
  <c r="G873" i="9"/>
  <c r="E871" i="12" s="1"/>
  <c r="G874" i="9"/>
  <c r="E872" i="12" s="1"/>
  <c r="G875" i="9"/>
  <c r="E873" i="12" s="1"/>
  <c r="G876" i="9"/>
  <c r="E874" i="12" s="1"/>
  <c r="G877" i="9"/>
  <c r="E875" i="12" s="1"/>
  <c r="G878" i="9"/>
  <c r="E876" i="12" s="1"/>
  <c r="G879" i="9"/>
  <c r="E877" i="12" s="1"/>
  <c r="G880" i="9"/>
  <c r="E878" i="12" s="1"/>
  <c r="G881" i="9"/>
  <c r="E879" i="12" s="1"/>
  <c r="G882" i="9"/>
  <c r="E880" i="12" s="1"/>
  <c r="G883" i="9"/>
  <c r="E881" i="12" s="1"/>
  <c r="G884" i="9"/>
  <c r="E882" i="12" s="1"/>
  <c r="G885" i="9"/>
  <c r="E883" i="12" s="1"/>
  <c r="G886" i="9"/>
  <c r="E884" i="12" s="1"/>
  <c r="G887" i="9"/>
  <c r="E885" i="12" s="1"/>
  <c r="G888" i="9"/>
  <c r="E886" i="12" s="1"/>
  <c r="G889" i="9"/>
  <c r="E887" i="12" s="1"/>
  <c r="G890" i="9"/>
  <c r="E888" i="12" s="1"/>
  <c r="G891" i="9"/>
  <c r="E889" i="12" s="1"/>
  <c r="G892" i="9"/>
  <c r="E890" i="12" s="1"/>
  <c r="G893" i="9"/>
  <c r="E891" i="12" s="1"/>
  <c r="G894" i="9"/>
  <c r="E892" i="12" s="1"/>
  <c r="G895" i="9"/>
  <c r="E893" i="12" s="1"/>
  <c r="G896" i="9"/>
  <c r="E894" i="12" s="1"/>
  <c r="G897" i="9"/>
  <c r="E895" i="12" s="1"/>
  <c r="G898" i="9"/>
  <c r="E896" i="12" s="1"/>
  <c r="G899" i="9"/>
  <c r="E897" i="12" s="1"/>
  <c r="G900" i="9"/>
  <c r="E898" i="12" s="1"/>
  <c r="G901" i="9"/>
  <c r="E899" i="12" s="1"/>
  <c r="G902" i="9"/>
  <c r="E900" i="12" s="1"/>
  <c r="G903" i="9"/>
  <c r="E901" i="12" s="1"/>
  <c r="G904" i="9"/>
  <c r="E902" i="12" s="1"/>
  <c r="G905" i="9"/>
  <c r="E903" i="12" s="1"/>
  <c r="G906" i="9"/>
  <c r="E904" i="12" s="1"/>
  <c r="G907" i="9"/>
  <c r="E905" i="12" s="1"/>
  <c r="G908" i="9"/>
  <c r="E906" i="12" s="1"/>
  <c r="G909" i="9"/>
  <c r="E907" i="12" s="1"/>
  <c r="G910" i="9"/>
  <c r="E908" i="12" s="1"/>
  <c r="G911" i="9"/>
  <c r="E909" i="12" s="1"/>
  <c r="G912" i="9"/>
  <c r="E910" i="12" s="1"/>
  <c r="G913" i="9"/>
  <c r="E911" i="12" s="1"/>
  <c r="G914" i="9"/>
  <c r="E912" i="12" s="1"/>
  <c r="G915" i="9"/>
  <c r="E913" i="12" s="1"/>
  <c r="G916" i="9"/>
  <c r="E914" i="12" s="1"/>
  <c r="G917" i="9"/>
  <c r="E915" i="12" s="1"/>
  <c r="G918" i="9"/>
  <c r="E916" i="12" s="1"/>
  <c r="G919" i="9"/>
  <c r="E917" i="12" s="1"/>
  <c r="G920" i="9"/>
  <c r="E918" i="12" s="1"/>
  <c r="G921" i="9"/>
  <c r="E919" i="12" s="1"/>
  <c r="G922" i="9"/>
  <c r="E920" i="12" s="1"/>
  <c r="G923" i="9"/>
  <c r="E921" i="12" s="1"/>
  <c r="G924" i="9"/>
  <c r="E922" i="12" s="1"/>
  <c r="G925" i="9"/>
  <c r="E923" i="12" s="1"/>
  <c r="G926" i="9"/>
  <c r="E924" i="12" s="1"/>
  <c r="G927" i="9"/>
  <c r="E925" i="12" s="1"/>
  <c r="G928" i="9"/>
  <c r="E926" i="12" s="1"/>
  <c r="G929" i="9"/>
  <c r="E927" i="12" s="1"/>
  <c r="G930" i="9"/>
  <c r="E928" i="12" s="1"/>
  <c r="G931" i="9"/>
  <c r="E929" i="12" s="1"/>
  <c r="G932" i="9"/>
  <c r="E930" i="12" s="1"/>
  <c r="G933" i="9"/>
  <c r="E931" i="12" s="1"/>
  <c r="G934" i="9"/>
  <c r="E932" i="12" s="1"/>
  <c r="G935" i="9"/>
  <c r="E933" i="12" s="1"/>
  <c r="G936" i="9"/>
  <c r="E934" i="12" s="1"/>
  <c r="G937" i="9"/>
  <c r="E935" i="12" s="1"/>
  <c r="G938" i="9"/>
  <c r="E936" i="12" s="1"/>
  <c r="G939" i="9"/>
  <c r="E937" i="12" s="1"/>
  <c r="G940" i="9"/>
  <c r="E938" i="12" s="1"/>
  <c r="G941" i="9"/>
  <c r="E939" i="12" s="1"/>
  <c r="G942" i="9"/>
  <c r="E940" i="12" s="1"/>
  <c r="G943" i="9"/>
  <c r="E941" i="12" s="1"/>
  <c r="G944" i="9"/>
  <c r="E942" i="12" s="1"/>
  <c r="G945" i="9"/>
  <c r="E943" i="12" s="1"/>
  <c r="G946" i="9"/>
  <c r="E944" i="12" s="1"/>
  <c r="G947" i="9"/>
  <c r="E945" i="12" s="1"/>
  <c r="G948" i="9"/>
  <c r="E946" i="12" s="1"/>
  <c r="G949" i="9"/>
  <c r="E947" i="12" s="1"/>
  <c r="G950" i="9"/>
  <c r="E948" i="12" s="1"/>
  <c r="G951" i="9"/>
  <c r="E949" i="12" s="1"/>
  <c r="G952" i="9"/>
  <c r="E950" i="12" s="1"/>
  <c r="G953" i="9"/>
  <c r="E951" i="12" s="1"/>
  <c r="G954" i="9"/>
  <c r="E952" i="12" s="1"/>
  <c r="G955" i="9"/>
  <c r="E953" i="12" s="1"/>
  <c r="G956" i="9"/>
  <c r="E954" i="12" s="1"/>
  <c r="G957" i="9"/>
  <c r="E955" i="12" s="1"/>
  <c r="G958" i="9"/>
  <c r="E956" i="12" s="1"/>
  <c r="G959" i="9"/>
  <c r="E957" i="12" s="1"/>
  <c r="G960" i="9"/>
  <c r="E958" i="12" s="1"/>
  <c r="G961" i="9"/>
  <c r="E959" i="12" s="1"/>
  <c r="G962" i="9"/>
  <c r="E960" i="12" s="1"/>
  <c r="G963" i="9"/>
  <c r="E961" i="12" s="1"/>
  <c r="G964" i="9"/>
  <c r="E962" i="12" s="1"/>
  <c r="G965" i="9"/>
  <c r="E963" i="12" s="1"/>
  <c r="G966" i="9"/>
  <c r="E964" i="12" s="1"/>
  <c r="G967" i="9"/>
  <c r="E965" i="12" s="1"/>
  <c r="G968" i="9"/>
  <c r="E966" i="12" s="1"/>
  <c r="G969" i="9"/>
  <c r="E967" i="12" s="1"/>
  <c r="G970" i="9"/>
  <c r="E968" i="12" s="1"/>
  <c r="G971" i="9"/>
  <c r="E969" i="12" s="1"/>
  <c r="G972" i="9"/>
  <c r="E970" i="12" s="1"/>
  <c r="G973" i="9"/>
  <c r="E971" i="12" s="1"/>
  <c r="G974" i="9"/>
  <c r="E972" i="12" s="1"/>
  <c r="G975" i="9"/>
  <c r="E973" i="12" s="1"/>
  <c r="G976" i="9"/>
  <c r="E974" i="12" s="1"/>
  <c r="G977" i="9"/>
  <c r="E975" i="12" s="1"/>
  <c r="G978" i="9"/>
  <c r="E976" i="12" s="1"/>
  <c r="G979" i="9"/>
  <c r="E977" i="12" s="1"/>
  <c r="G980" i="9"/>
  <c r="E978" i="12" s="1"/>
  <c r="G981" i="9"/>
  <c r="E979" i="12" s="1"/>
  <c r="G982" i="9"/>
  <c r="E980" i="12" s="1"/>
  <c r="G983" i="9"/>
  <c r="E981" i="12" s="1"/>
  <c r="G984" i="9"/>
  <c r="E982" i="12" s="1"/>
  <c r="G985" i="9"/>
  <c r="E983" i="12" s="1"/>
  <c r="G986" i="9"/>
  <c r="E1042" i="12" s="1"/>
  <c r="G987" i="9"/>
  <c r="E984" i="12" s="1"/>
  <c r="G988" i="9"/>
  <c r="E985" i="12" s="1"/>
  <c r="G989" i="9"/>
  <c r="E986" i="12" s="1"/>
  <c r="G990" i="9"/>
  <c r="E987" i="12" s="1"/>
  <c r="G991" i="9"/>
  <c r="E988" i="12" s="1"/>
  <c r="G992" i="9"/>
  <c r="E989" i="12" s="1"/>
  <c r="G993" i="9"/>
  <c r="E990" i="12" s="1"/>
  <c r="G994" i="9"/>
  <c r="E991" i="12" s="1"/>
  <c r="G995" i="9"/>
  <c r="E1043" i="12" s="1"/>
  <c r="G996" i="9"/>
  <c r="E992" i="12" s="1"/>
  <c r="G997" i="9"/>
  <c r="E993" i="12" s="1"/>
  <c r="G998" i="9"/>
  <c r="E994" i="12" s="1"/>
  <c r="G999" i="9"/>
  <c r="E995" i="12" s="1"/>
  <c r="G1000" i="9"/>
  <c r="E996" i="12" s="1"/>
  <c r="G1001" i="9"/>
  <c r="E997" i="12" s="1"/>
  <c r="G1002" i="9"/>
  <c r="E998" i="12" s="1"/>
  <c r="G1003" i="9"/>
  <c r="E999" i="12" s="1"/>
  <c r="G1004" i="9"/>
  <c r="E1000" i="12" s="1"/>
  <c r="G1005" i="9"/>
  <c r="E1001" i="12" s="1"/>
  <c r="G1006" i="9"/>
  <c r="E1002" i="12" s="1"/>
  <c r="G1007" i="9"/>
  <c r="E1003" i="12" s="1"/>
  <c r="G1008" i="9"/>
  <c r="E1004" i="12" s="1"/>
  <c r="G1009" i="9"/>
  <c r="E1005" i="12" s="1"/>
  <c r="G1010" i="9"/>
  <c r="E1006" i="12" s="1"/>
  <c r="G1011" i="9"/>
  <c r="E1007" i="12" s="1"/>
  <c r="G1012" i="9"/>
  <c r="E1008" i="12" s="1"/>
  <c r="G1013" i="9"/>
  <c r="E1009" i="12" s="1"/>
  <c r="G1014" i="9"/>
  <c r="E1010" i="12" s="1"/>
  <c r="G1015" i="9"/>
  <c r="E1011" i="12" s="1"/>
  <c r="G1016" i="9"/>
  <c r="E1012" i="12" s="1"/>
  <c r="G1017" i="9"/>
  <c r="E1013" i="12" s="1"/>
  <c r="G1018" i="9"/>
  <c r="E1014" i="12" s="1"/>
  <c r="G1019" i="9"/>
  <c r="E1015" i="12" s="1"/>
  <c r="G1020" i="9"/>
  <c r="E1016" i="12" s="1"/>
  <c r="G1021" i="9"/>
  <c r="E1017" i="12" s="1"/>
  <c r="G1022" i="9"/>
  <c r="E1018" i="12" s="1"/>
  <c r="G1023" i="9"/>
  <c r="E1044" i="12" s="1"/>
  <c r="G1024" i="9"/>
  <c r="E1019" i="12" s="1"/>
  <c r="G1025" i="9"/>
  <c r="E1020" i="12" s="1"/>
  <c r="G1026" i="9"/>
  <c r="E1021" i="12" s="1"/>
  <c r="G1027" i="9"/>
  <c r="E1022" i="12" s="1"/>
  <c r="G1028" i="9"/>
  <c r="E1023" i="12" s="1"/>
  <c r="G1029" i="9"/>
  <c r="E1024" i="12" s="1"/>
  <c r="G1030" i="9"/>
  <c r="E1045" i="12" s="1"/>
  <c r="G1031" i="9"/>
  <c r="E1046" i="12" s="1"/>
  <c r="G1032" i="9"/>
  <c r="E1025" i="12" s="1"/>
  <c r="G1033" i="9"/>
  <c r="E1047" i="12" s="1"/>
  <c r="G1034" i="9"/>
  <c r="E1026" i="12" s="1"/>
  <c r="G1035" i="9"/>
  <c r="E1048" i="12" s="1"/>
  <c r="G1036" i="9"/>
  <c r="E1049" i="12" s="1"/>
  <c r="G1037" i="9"/>
  <c r="E1050" i="12" s="1"/>
  <c r="G1038" i="9"/>
  <c r="E1027" i="12" s="1"/>
  <c r="G1039" i="9"/>
  <c r="G1040" i="9"/>
  <c r="G1041" i="9"/>
  <c r="G1042" i="9"/>
  <c r="E1051" i="12" s="1"/>
  <c r="G1043" i="9"/>
  <c r="E1031" i="12" s="1"/>
  <c r="G1044" i="9"/>
  <c r="E1032" i="12" s="1"/>
  <c r="G1045" i="9"/>
  <c r="E1033" i="12" s="1"/>
  <c r="G1046" i="9"/>
  <c r="E1034" i="12" s="1"/>
  <c r="G1047" i="9"/>
  <c r="E1052" i="12" s="1"/>
  <c r="G1048" i="9"/>
  <c r="G1049" i="9"/>
  <c r="E1053" i="12" s="1"/>
  <c r="G1050" i="9"/>
  <c r="E1054" i="12" s="1"/>
  <c r="G1051" i="9"/>
  <c r="E1055" i="12" s="1"/>
  <c r="G1052" i="9"/>
  <c r="E1056" i="12" s="1"/>
  <c r="G1053" i="9"/>
  <c r="G1054" i="9"/>
  <c r="G1055" i="9"/>
  <c r="G1056" i="9"/>
  <c r="E1057" i="12" s="1"/>
  <c r="G1057" i="9"/>
  <c r="G1058" i="9"/>
  <c r="E1058" i="12" s="1"/>
  <c r="J4" i="9"/>
  <c r="G4" i="12" s="1"/>
  <c r="J5" i="9"/>
  <c r="G5" i="12" s="1"/>
  <c r="J6" i="9"/>
  <c r="G6" i="12" s="1"/>
  <c r="J7" i="9"/>
  <c r="G7" i="12" s="1"/>
  <c r="J8" i="9"/>
  <c r="G8" i="12" s="1"/>
  <c r="J9" i="9"/>
  <c r="G9" i="12" s="1"/>
  <c r="J10" i="9"/>
  <c r="G10" i="12" s="1"/>
  <c r="J11" i="9"/>
  <c r="G11" i="12" s="1"/>
  <c r="J12" i="9"/>
  <c r="G12" i="12" s="1"/>
  <c r="J13" i="9"/>
  <c r="G13" i="12" s="1"/>
  <c r="J14" i="9"/>
  <c r="G14" i="12" s="1"/>
  <c r="J15" i="9"/>
  <c r="G15" i="12" s="1"/>
  <c r="J16" i="9"/>
  <c r="G16" i="12" s="1"/>
  <c r="J17" i="9"/>
  <c r="G17" i="12" s="1"/>
  <c r="J18" i="9"/>
  <c r="G18" i="12" s="1"/>
  <c r="J19" i="9"/>
  <c r="G19" i="12" s="1"/>
  <c r="J20" i="9"/>
  <c r="G20" i="12" s="1"/>
  <c r="J21" i="9"/>
  <c r="G21" i="12" s="1"/>
  <c r="J22" i="9"/>
  <c r="G22" i="12" s="1"/>
  <c r="J23" i="9"/>
  <c r="G23" i="12" s="1"/>
  <c r="J24" i="9"/>
  <c r="G24" i="12" s="1"/>
  <c r="J25" i="9"/>
  <c r="G25" i="12" s="1"/>
  <c r="J26" i="9"/>
  <c r="G26" i="12" s="1"/>
  <c r="J27" i="9"/>
  <c r="G27" i="12" s="1"/>
  <c r="J28" i="9"/>
  <c r="G28" i="12" s="1"/>
  <c r="J29" i="9"/>
  <c r="G29" i="12" s="1"/>
  <c r="J30" i="9"/>
  <c r="G30" i="12" s="1"/>
  <c r="J31" i="9"/>
  <c r="G31" i="12" s="1"/>
  <c r="J32" i="9"/>
  <c r="G32" i="12" s="1"/>
  <c r="J33" i="9"/>
  <c r="G33" i="12" s="1"/>
  <c r="J34" i="9"/>
  <c r="G34" i="12" s="1"/>
  <c r="J35" i="9"/>
  <c r="G35" i="12" s="1"/>
  <c r="J36" i="9"/>
  <c r="G36" i="12" s="1"/>
  <c r="J37" i="9"/>
  <c r="G37" i="12" s="1"/>
  <c r="J38" i="9"/>
  <c r="G38" i="12" s="1"/>
  <c r="J39" i="9"/>
  <c r="G39" i="12" s="1"/>
  <c r="J40" i="9"/>
  <c r="G40" i="12" s="1"/>
  <c r="J41" i="9"/>
  <c r="G41" i="12" s="1"/>
  <c r="J42" i="9"/>
  <c r="G42" i="12" s="1"/>
  <c r="J43" i="9"/>
  <c r="G43" i="12" s="1"/>
  <c r="J44" i="9"/>
  <c r="G44" i="12" s="1"/>
  <c r="J45" i="9"/>
  <c r="G45" i="12" s="1"/>
  <c r="J46" i="9"/>
  <c r="G46" i="12" s="1"/>
  <c r="J47" i="9"/>
  <c r="G47" i="12" s="1"/>
  <c r="J48" i="9"/>
  <c r="G48" i="12" s="1"/>
  <c r="J49" i="9"/>
  <c r="G49" i="12" s="1"/>
  <c r="J50" i="9"/>
  <c r="G50" i="12" s="1"/>
  <c r="J51" i="9"/>
  <c r="G51" i="12" s="1"/>
  <c r="J52" i="9"/>
  <c r="G52" i="12" s="1"/>
  <c r="J53" i="9"/>
  <c r="G53" i="12" s="1"/>
  <c r="J54" i="9"/>
  <c r="G54" i="12" s="1"/>
  <c r="J55" i="9"/>
  <c r="G55" i="12" s="1"/>
  <c r="J56" i="9"/>
  <c r="G56" i="12" s="1"/>
  <c r="J57" i="9"/>
  <c r="G57" i="12" s="1"/>
  <c r="J58" i="9"/>
  <c r="G58" i="12" s="1"/>
  <c r="J59" i="9"/>
  <c r="G59" i="12" s="1"/>
  <c r="J60" i="9"/>
  <c r="G60" i="12" s="1"/>
  <c r="J61" i="9"/>
  <c r="G61" i="12" s="1"/>
  <c r="J62" i="9"/>
  <c r="G62" i="12" s="1"/>
  <c r="J63" i="9"/>
  <c r="G63" i="12" s="1"/>
  <c r="J64" i="9"/>
  <c r="G64" i="12" s="1"/>
  <c r="J65" i="9"/>
  <c r="G65" i="12" s="1"/>
  <c r="J66" i="9"/>
  <c r="G66" i="12" s="1"/>
  <c r="J67" i="9"/>
  <c r="G67" i="12" s="1"/>
  <c r="J68" i="9"/>
  <c r="G68" i="12" s="1"/>
  <c r="J69" i="9"/>
  <c r="G69" i="12" s="1"/>
  <c r="J70" i="9"/>
  <c r="G70" i="12" s="1"/>
  <c r="J71" i="9"/>
  <c r="G71" i="12" s="1"/>
  <c r="J72" i="9"/>
  <c r="G72" i="12" s="1"/>
  <c r="J73" i="9"/>
  <c r="G73" i="12" s="1"/>
  <c r="J74" i="9"/>
  <c r="G74" i="12" s="1"/>
  <c r="J75" i="9"/>
  <c r="G75" i="12" s="1"/>
  <c r="J76" i="9"/>
  <c r="G76" i="12" s="1"/>
  <c r="J77" i="9"/>
  <c r="G1040" i="12" s="1"/>
  <c r="J78" i="9"/>
  <c r="G77" i="12" s="1"/>
  <c r="J79" i="9"/>
  <c r="G78" i="12" s="1"/>
  <c r="J80" i="9"/>
  <c r="G79" i="12" s="1"/>
  <c r="J81" i="9"/>
  <c r="G80" i="12" s="1"/>
  <c r="J82" i="9"/>
  <c r="G81" i="12" s="1"/>
  <c r="J83" i="9"/>
  <c r="G82" i="12" s="1"/>
  <c r="J84" i="9"/>
  <c r="G83" i="12" s="1"/>
  <c r="J85" i="9"/>
  <c r="G84" i="12" s="1"/>
  <c r="J86" i="9"/>
  <c r="G85" i="12" s="1"/>
  <c r="J87" i="9"/>
  <c r="G1041" i="12" s="1"/>
  <c r="J88" i="9"/>
  <c r="G86" i="12" s="1"/>
  <c r="J89" i="9"/>
  <c r="G87" i="12" s="1"/>
  <c r="J90" i="9"/>
  <c r="G88" i="12" s="1"/>
  <c r="J91" i="9"/>
  <c r="G89" i="12" s="1"/>
  <c r="J92" i="9"/>
  <c r="G90" i="12" s="1"/>
  <c r="J93" i="9"/>
  <c r="G91" i="12" s="1"/>
  <c r="J94" i="9"/>
  <c r="G92" i="12" s="1"/>
  <c r="J95" i="9"/>
  <c r="G93" i="12" s="1"/>
  <c r="J96" i="9"/>
  <c r="G94" i="12" s="1"/>
  <c r="J97" i="9"/>
  <c r="G95" i="12" s="1"/>
  <c r="J98" i="9"/>
  <c r="G96" i="12" s="1"/>
  <c r="J99" i="9"/>
  <c r="G97" i="12" s="1"/>
  <c r="J100" i="9"/>
  <c r="G98" i="12" s="1"/>
  <c r="J101" i="9"/>
  <c r="G99" i="12" s="1"/>
  <c r="J102" i="9"/>
  <c r="G100" i="12" s="1"/>
  <c r="J103" i="9"/>
  <c r="G101" i="12" s="1"/>
  <c r="J104" i="9"/>
  <c r="G102" i="12" s="1"/>
  <c r="J105" i="9"/>
  <c r="G103" i="12" s="1"/>
  <c r="J106" i="9"/>
  <c r="G104" i="12" s="1"/>
  <c r="J107" i="9"/>
  <c r="G105" i="12" s="1"/>
  <c r="J108" i="9"/>
  <c r="G106" i="12" s="1"/>
  <c r="J109" i="9"/>
  <c r="G107" i="12" s="1"/>
  <c r="J110" i="9"/>
  <c r="G108" i="12" s="1"/>
  <c r="J111" i="9"/>
  <c r="G109" i="12" s="1"/>
  <c r="J112" i="9"/>
  <c r="G110" i="12" s="1"/>
  <c r="J113" i="9"/>
  <c r="G111" i="12" s="1"/>
  <c r="J114" i="9"/>
  <c r="G112" i="12" s="1"/>
  <c r="J115" i="9"/>
  <c r="G113" i="12" s="1"/>
  <c r="J116" i="9"/>
  <c r="G114" i="12" s="1"/>
  <c r="J117" i="9"/>
  <c r="G115" i="12" s="1"/>
  <c r="J118" i="9"/>
  <c r="G116" i="12" s="1"/>
  <c r="J119" i="9"/>
  <c r="G117" i="12" s="1"/>
  <c r="J120" i="9"/>
  <c r="G118" i="12" s="1"/>
  <c r="J121" i="9"/>
  <c r="G119" i="12" s="1"/>
  <c r="J122" i="9"/>
  <c r="G120" i="12" s="1"/>
  <c r="J123" i="9"/>
  <c r="G121" i="12" s="1"/>
  <c r="J124" i="9"/>
  <c r="G122" i="12" s="1"/>
  <c r="J125" i="9"/>
  <c r="G123" i="12" s="1"/>
  <c r="J126" i="9"/>
  <c r="G124" i="12" s="1"/>
  <c r="J127" i="9"/>
  <c r="G125" i="12" s="1"/>
  <c r="J128" i="9"/>
  <c r="G126" i="12" s="1"/>
  <c r="J129" i="9"/>
  <c r="G127" i="12" s="1"/>
  <c r="J130" i="9"/>
  <c r="G128" i="12" s="1"/>
  <c r="J131" i="9"/>
  <c r="G129" i="12" s="1"/>
  <c r="J132" i="9"/>
  <c r="G130" i="12" s="1"/>
  <c r="J133" i="9"/>
  <c r="G131" i="12" s="1"/>
  <c r="J134" i="9"/>
  <c r="G132" i="12" s="1"/>
  <c r="J135" i="9"/>
  <c r="G133" i="12" s="1"/>
  <c r="J136" i="9"/>
  <c r="G134" i="12" s="1"/>
  <c r="J137" i="9"/>
  <c r="G135" i="12" s="1"/>
  <c r="J138" i="9"/>
  <c r="G136" i="12" s="1"/>
  <c r="J139" i="9"/>
  <c r="G137" i="12" s="1"/>
  <c r="J140" i="9"/>
  <c r="G138" i="12" s="1"/>
  <c r="J141" i="9"/>
  <c r="G139" i="12" s="1"/>
  <c r="J142" i="9"/>
  <c r="G140" i="12" s="1"/>
  <c r="J143" i="9"/>
  <c r="G141" i="12" s="1"/>
  <c r="J144" i="9"/>
  <c r="G142" i="12" s="1"/>
  <c r="J145" i="9"/>
  <c r="G143" i="12" s="1"/>
  <c r="J146" i="9"/>
  <c r="G144" i="12" s="1"/>
  <c r="J147" i="9"/>
  <c r="G145" i="12" s="1"/>
  <c r="J148" i="9"/>
  <c r="G146" i="12" s="1"/>
  <c r="J149" i="9"/>
  <c r="G147" i="12" s="1"/>
  <c r="J150" i="9"/>
  <c r="G148" i="12" s="1"/>
  <c r="J151" i="9"/>
  <c r="G149" i="12" s="1"/>
  <c r="J152" i="9"/>
  <c r="G150" i="12" s="1"/>
  <c r="J153" i="9"/>
  <c r="G151" i="12" s="1"/>
  <c r="J154" i="9"/>
  <c r="G152" i="12" s="1"/>
  <c r="J155" i="9"/>
  <c r="G153" i="12" s="1"/>
  <c r="J156" i="9"/>
  <c r="G154" i="12" s="1"/>
  <c r="J157" i="9"/>
  <c r="G155" i="12" s="1"/>
  <c r="J158" i="9"/>
  <c r="G156" i="12" s="1"/>
  <c r="J159" i="9"/>
  <c r="G157" i="12" s="1"/>
  <c r="J160" i="9"/>
  <c r="G158" i="12" s="1"/>
  <c r="J161" i="9"/>
  <c r="G159" i="12" s="1"/>
  <c r="J162" i="9"/>
  <c r="G160" i="12" s="1"/>
  <c r="J163" i="9"/>
  <c r="G161" i="12" s="1"/>
  <c r="J164" i="9"/>
  <c r="G162" i="12" s="1"/>
  <c r="J165" i="9"/>
  <c r="G163" i="12" s="1"/>
  <c r="J166" i="9"/>
  <c r="G164" i="12" s="1"/>
  <c r="J167" i="9"/>
  <c r="G165" i="12" s="1"/>
  <c r="J168" i="9"/>
  <c r="G166" i="12" s="1"/>
  <c r="J169" i="9"/>
  <c r="G167" i="12" s="1"/>
  <c r="J170" i="9"/>
  <c r="G168" i="12" s="1"/>
  <c r="J171" i="9"/>
  <c r="G169" i="12" s="1"/>
  <c r="J172" i="9"/>
  <c r="G170" i="12" s="1"/>
  <c r="J173" i="9"/>
  <c r="G171" i="12" s="1"/>
  <c r="J174" i="9"/>
  <c r="G172" i="12" s="1"/>
  <c r="J175" i="9"/>
  <c r="G173" i="12" s="1"/>
  <c r="J176" i="9"/>
  <c r="G174" i="12" s="1"/>
  <c r="J177" i="9"/>
  <c r="G175" i="12" s="1"/>
  <c r="J178" i="9"/>
  <c r="G176" i="12" s="1"/>
  <c r="J179" i="9"/>
  <c r="G177" i="12" s="1"/>
  <c r="J180" i="9"/>
  <c r="G178" i="12" s="1"/>
  <c r="J181" i="9"/>
  <c r="G179" i="12" s="1"/>
  <c r="J182" i="9"/>
  <c r="G180" i="12" s="1"/>
  <c r="J183" i="9"/>
  <c r="G181" i="12" s="1"/>
  <c r="J184" i="9"/>
  <c r="G182" i="12" s="1"/>
  <c r="J185" i="9"/>
  <c r="G183" i="12" s="1"/>
  <c r="J186" i="9"/>
  <c r="G184" i="12" s="1"/>
  <c r="J187" i="9"/>
  <c r="G185" i="12" s="1"/>
  <c r="J188" i="9"/>
  <c r="G186" i="12" s="1"/>
  <c r="J189" i="9"/>
  <c r="G187" i="12" s="1"/>
  <c r="J190" i="9"/>
  <c r="G188" i="12" s="1"/>
  <c r="J191" i="9"/>
  <c r="G189" i="12" s="1"/>
  <c r="J192" i="9"/>
  <c r="G190" i="12" s="1"/>
  <c r="J193" i="9"/>
  <c r="G191" i="12" s="1"/>
  <c r="J194" i="9"/>
  <c r="G192" i="12" s="1"/>
  <c r="J195" i="9"/>
  <c r="G193" i="12" s="1"/>
  <c r="J196" i="9"/>
  <c r="G194" i="12" s="1"/>
  <c r="J197" i="9"/>
  <c r="G195" i="12" s="1"/>
  <c r="J198" i="9"/>
  <c r="G196" i="12" s="1"/>
  <c r="J199" i="9"/>
  <c r="G197" i="12" s="1"/>
  <c r="J200" i="9"/>
  <c r="G198" i="12" s="1"/>
  <c r="J201" i="9"/>
  <c r="G199" i="12" s="1"/>
  <c r="J202" i="9"/>
  <c r="G200" i="12" s="1"/>
  <c r="J203" i="9"/>
  <c r="G201" i="12" s="1"/>
  <c r="J204" i="9"/>
  <c r="G202" i="12" s="1"/>
  <c r="J205" i="9"/>
  <c r="G203" i="12" s="1"/>
  <c r="J206" i="9"/>
  <c r="G204" i="12" s="1"/>
  <c r="J207" i="9"/>
  <c r="G205" i="12" s="1"/>
  <c r="J208" i="9"/>
  <c r="G206" i="12" s="1"/>
  <c r="J209" i="9"/>
  <c r="G207" i="12" s="1"/>
  <c r="J210" i="9"/>
  <c r="G208" i="12" s="1"/>
  <c r="J211" i="9"/>
  <c r="G209" i="12" s="1"/>
  <c r="J212" i="9"/>
  <c r="G210" i="12" s="1"/>
  <c r="J213" i="9"/>
  <c r="G211" i="12" s="1"/>
  <c r="J214" i="9"/>
  <c r="G212" i="12" s="1"/>
  <c r="J215" i="9"/>
  <c r="G213" i="12" s="1"/>
  <c r="J216" i="9"/>
  <c r="G214" i="12" s="1"/>
  <c r="J217" i="9"/>
  <c r="G215" i="12" s="1"/>
  <c r="J218" i="9"/>
  <c r="G216" i="12" s="1"/>
  <c r="J219" i="9"/>
  <c r="G217" i="12" s="1"/>
  <c r="J220" i="9"/>
  <c r="G218" i="12" s="1"/>
  <c r="J221" i="9"/>
  <c r="G219" i="12" s="1"/>
  <c r="J222" i="9"/>
  <c r="G220" i="12" s="1"/>
  <c r="J223" i="9"/>
  <c r="G221" i="12" s="1"/>
  <c r="J224" i="9"/>
  <c r="G222" i="12" s="1"/>
  <c r="J225" i="9"/>
  <c r="G223" i="12" s="1"/>
  <c r="J226" i="9"/>
  <c r="G224" i="12" s="1"/>
  <c r="J227" i="9"/>
  <c r="G225" i="12" s="1"/>
  <c r="J228" i="9"/>
  <c r="G226" i="12" s="1"/>
  <c r="J229" i="9"/>
  <c r="G227" i="12" s="1"/>
  <c r="J230" i="9"/>
  <c r="G228" i="12" s="1"/>
  <c r="J231" i="9"/>
  <c r="G229" i="12" s="1"/>
  <c r="J232" i="9"/>
  <c r="G230" i="12" s="1"/>
  <c r="J233" i="9"/>
  <c r="G231" i="12" s="1"/>
  <c r="J234" i="9"/>
  <c r="G232" i="12" s="1"/>
  <c r="J235" i="9"/>
  <c r="G233" i="12" s="1"/>
  <c r="J236" i="9"/>
  <c r="G234" i="12" s="1"/>
  <c r="J237" i="9"/>
  <c r="G235" i="12" s="1"/>
  <c r="J238" i="9"/>
  <c r="G236" i="12" s="1"/>
  <c r="J239" i="9"/>
  <c r="G237" i="12" s="1"/>
  <c r="J240" i="9"/>
  <c r="G238" i="12" s="1"/>
  <c r="J241" i="9"/>
  <c r="G239" i="12" s="1"/>
  <c r="J242" i="9"/>
  <c r="G240" i="12" s="1"/>
  <c r="J243" i="9"/>
  <c r="G241" i="12" s="1"/>
  <c r="J244" i="9"/>
  <c r="G242" i="12" s="1"/>
  <c r="J245" i="9"/>
  <c r="G243" i="12" s="1"/>
  <c r="J246" i="9"/>
  <c r="G244" i="12" s="1"/>
  <c r="J247" i="9"/>
  <c r="G245" i="12" s="1"/>
  <c r="J248" i="9"/>
  <c r="G246" i="12" s="1"/>
  <c r="J249" i="9"/>
  <c r="G247" i="12" s="1"/>
  <c r="J250" i="9"/>
  <c r="G248" i="12" s="1"/>
  <c r="J251" i="9"/>
  <c r="G249" i="12" s="1"/>
  <c r="J252" i="9"/>
  <c r="G250" i="12" s="1"/>
  <c r="J253" i="9"/>
  <c r="G251" i="12" s="1"/>
  <c r="J254" i="9"/>
  <c r="G252" i="12" s="1"/>
  <c r="J255" i="9"/>
  <c r="G253" i="12" s="1"/>
  <c r="J256" i="9"/>
  <c r="G254" i="12" s="1"/>
  <c r="J257" i="9"/>
  <c r="G255" i="12" s="1"/>
  <c r="J258" i="9"/>
  <c r="G256" i="12" s="1"/>
  <c r="J259" i="9"/>
  <c r="G257" i="12" s="1"/>
  <c r="J260" i="9"/>
  <c r="G258" i="12" s="1"/>
  <c r="J261" i="9"/>
  <c r="G259" i="12" s="1"/>
  <c r="J262" i="9"/>
  <c r="G260" i="12" s="1"/>
  <c r="J263" i="9"/>
  <c r="G261" i="12" s="1"/>
  <c r="J264" i="9"/>
  <c r="G262" i="12" s="1"/>
  <c r="J265" i="9"/>
  <c r="G263" i="12" s="1"/>
  <c r="J266" i="9"/>
  <c r="G264" i="12" s="1"/>
  <c r="J267" i="9"/>
  <c r="G265" i="12" s="1"/>
  <c r="J268" i="9"/>
  <c r="G266" i="12" s="1"/>
  <c r="J269" i="9"/>
  <c r="G267" i="12" s="1"/>
  <c r="J270" i="9"/>
  <c r="G268" i="12" s="1"/>
  <c r="J271" i="9"/>
  <c r="G269" i="12" s="1"/>
  <c r="J272" i="9"/>
  <c r="G270" i="12" s="1"/>
  <c r="J273" i="9"/>
  <c r="G271" i="12" s="1"/>
  <c r="J274" i="9"/>
  <c r="G272" i="12" s="1"/>
  <c r="J275" i="9"/>
  <c r="G273" i="12" s="1"/>
  <c r="J276" i="9"/>
  <c r="G274" i="12" s="1"/>
  <c r="J277" i="9"/>
  <c r="G275" i="12" s="1"/>
  <c r="J278" i="9"/>
  <c r="G276" i="12" s="1"/>
  <c r="J279" i="9"/>
  <c r="G277" i="12" s="1"/>
  <c r="J280" i="9"/>
  <c r="G278" i="12" s="1"/>
  <c r="J281" i="9"/>
  <c r="G279" i="12" s="1"/>
  <c r="J282" i="9"/>
  <c r="G280" i="12" s="1"/>
  <c r="J283" i="9"/>
  <c r="G281" i="12" s="1"/>
  <c r="J284" i="9"/>
  <c r="G282" i="12" s="1"/>
  <c r="J285" i="9"/>
  <c r="G283" i="12" s="1"/>
  <c r="J286" i="9"/>
  <c r="G284" i="12" s="1"/>
  <c r="J287" i="9"/>
  <c r="G285" i="12" s="1"/>
  <c r="J288" i="9"/>
  <c r="G286" i="12" s="1"/>
  <c r="J289" i="9"/>
  <c r="G287" i="12" s="1"/>
  <c r="J290" i="9"/>
  <c r="G288" i="12" s="1"/>
  <c r="J291" i="9"/>
  <c r="G289" i="12" s="1"/>
  <c r="J292" i="9"/>
  <c r="G290" i="12" s="1"/>
  <c r="J293" i="9"/>
  <c r="G291" i="12" s="1"/>
  <c r="J294" i="9"/>
  <c r="G292" i="12" s="1"/>
  <c r="J295" i="9"/>
  <c r="G293" i="12" s="1"/>
  <c r="J296" i="9"/>
  <c r="G294" i="12" s="1"/>
  <c r="J297" i="9"/>
  <c r="G295" i="12" s="1"/>
  <c r="J298" i="9"/>
  <c r="G296" i="12" s="1"/>
  <c r="J299" i="9"/>
  <c r="G297" i="12" s="1"/>
  <c r="J300" i="9"/>
  <c r="G298" i="12" s="1"/>
  <c r="J301" i="9"/>
  <c r="G299" i="12" s="1"/>
  <c r="J302" i="9"/>
  <c r="G300" i="12" s="1"/>
  <c r="J303" i="9"/>
  <c r="G301" i="12" s="1"/>
  <c r="J304" i="9"/>
  <c r="G302" i="12" s="1"/>
  <c r="J305" i="9"/>
  <c r="G303" i="12" s="1"/>
  <c r="J306" i="9"/>
  <c r="G304" i="12" s="1"/>
  <c r="J307" i="9"/>
  <c r="G305" i="12" s="1"/>
  <c r="J308" i="9"/>
  <c r="G306" i="12" s="1"/>
  <c r="J309" i="9"/>
  <c r="G307" i="12" s="1"/>
  <c r="J310" i="9"/>
  <c r="G308" i="12" s="1"/>
  <c r="J311" i="9"/>
  <c r="G309" i="12" s="1"/>
  <c r="J312" i="9"/>
  <c r="G310" i="12" s="1"/>
  <c r="J313" i="9"/>
  <c r="G311" i="12" s="1"/>
  <c r="J314" i="9"/>
  <c r="G312" i="12" s="1"/>
  <c r="J315" i="9"/>
  <c r="G313" i="12" s="1"/>
  <c r="J316" i="9"/>
  <c r="G314" i="12" s="1"/>
  <c r="J317" i="9"/>
  <c r="G315" i="12" s="1"/>
  <c r="J318" i="9"/>
  <c r="G316" i="12" s="1"/>
  <c r="J319" i="9"/>
  <c r="G317" i="12" s="1"/>
  <c r="J320" i="9"/>
  <c r="G318" i="12" s="1"/>
  <c r="J321" i="9"/>
  <c r="G319" i="12" s="1"/>
  <c r="J322" i="9"/>
  <c r="G320" i="12" s="1"/>
  <c r="J323" i="9"/>
  <c r="G321" i="12" s="1"/>
  <c r="J324" i="9"/>
  <c r="G322" i="12" s="1"/>
  <c r="J325" i="9"/>
  <c r="G323" i="12" s="1"/>
  <c r="J326" i="9"/>
  <c r="G324" i="12" s="1"/>
  <c r="J327" i="9"/>
  <c r="G325" i="12" s="1"/>
  <c r="J328" i="9"/>
  <c r="G326" i="12" s="1"/>
  <c r="J329" i="9"/>
  <c r="G327" i="12" s="1"/>
  <c r="J330" i="9"/>
  <c r="G328" i="12" s="1"/>
  <c r="J331" i="9"/>
  <c r="G329" i="12" s="1"/>
  <c r="J332" i="9"/>
  <c r="G330" i="12" s="1"/>
  <c r="J333" i="9"/>
  <c r="G331" i="12" s="1"/>
  <c r="J334" i="9"/>
  <c r="G332" i="12" s="1"/>
  <c r="J335" i="9"/>
  <c r="G333" i="12" s="1"/>
  <c r="J336" i="9"/>
  <c r="G334" i="12" s="1"/>
  <c r="J337" i="9"/>
  <c r="G335" i="12" s="1"/>
  <c r="J338" i="9"/>
  <c r="G336" i="12" s="1"/>
  <c r="J339" i="9"/>
  <c r="G337" i="12" s="1"/>
  <c r="J340" i="9"/>
  <c r="G338" i="12" s="1"/>
  <c r="J341" i="9"/>
  <c r="G339" i="12" s="1"/>
  <c r="J342" i="9"/>
  <c r="G340" i="12" s="1"/>
  <c r="J343" i="9"/>
  <c r="G341" i="12" s="1"/>
  <c r="J344" i="9"/>
  <c r="G342" i="12" s="1"/>
  <c r="J345" i="9"/>
  <c r="G343" i="12" s="1"/>
  <c r="J346" i="9"/>
  <c r="G344" i="12" s="1"/>
  <c r="J347" i="9"/>
  <c r="G345" i="12" s="1"/>
  <c r="J348" i="9"/>
  <c r="G346" i="12" s="1"/>
  <c r="J349" i="9"/>
  <c r="G347" i="12" s="1"/>
  <c r="J350" i="9"/>
  <c r="G348" i="12" s="1"/>
  <c r="J351" i="9"/>
  <c r="G349" i="12" s="1"/>
  <c r="J352" i="9"/>
  <c r="G350" i="12" s="1"/>
  <c r="J353" i="9"/>
  <c r="G351" i="12" s="1"/>
  <c r="J354" i="9"/>
  <c r="G352" i="12" s="1"/>
  <c r="J355" i="9"/>
  <c r="G353" i="12" s="1"/>
  <c r="J356" i="9"/>
  <c r="G354" i="12" s="1"/>
  <c r="J357" i="9"/>
  <c r="G355" i="12" s="1"/>
  <c r="J358" i="9"/>
  <c r="G356" i="12" s="1"/>
  <c r="J359" i="9"/>
  <c r="G357" i="12" s="1"/>
  <c r="J360" i="9"/>
  <c r="G358" i="12" s="1"/>
  <c r="J361" i="9"/>
  <c r="G359" i="12" s="1"/>
  <c r="J362" i="9"/>
  <c r="G360" i="12" s="1"/>
  <c r="J363" i="9"/>
  <c r="G361" i="12" s="1"/>
  <c r="J364" i="9"/>
  <c r="G362" i="12" s="1"/>
  <c r="J365" i="9"/>
  <c r="G363" i="12" s="1"/>
  <c r="J366" i="9"/>
  <c r="G364" i="12" s="1"/>
  <c r="J367" i="9"/>
  <c r="G365" i="12" s="1"/>
  <c r="J368" i="9"/>
  <c r="G366" i="12" s="1"/>
  <c r="J369" i="9"/>
  <c r="G367" i="12" s="1"/>
  <c r="J370" i="9"/>
  <c r="G368" i="12" s="1"/>
  <c r="J371" i="9"/>
  <c r="G369" i="12" s="1"/>
  <c r="J372" i="9"/>
  <c r="G370" i="12" s="1"/>
  <c r="J373" i="9"/>
  <c r="G371" i="12" s="1"/>
  <c r="J374" i="9"/>
  <c r="G372" i="12" s="1"/>
  <c r="J375" i="9"/>
  <c r="G373" i="12" s="1"/>
  <c r="J376" i="9"/>
  <c r="G374" i="12" s="1"/>
  <c r="J377" i="9"/>
  <c r="G375" i="12" s="1"/>
  <c r="J378" i="9"/>
  <c r="G376" i="12" s="1"/>
  <c r="J379" i="9"/>
  <c r="G377" i="12" s="1"/>
  <c r="J380" i="9"/>
  <c r="G378" i="12" s="1"/>
  <c r="J381" i="9"/>
  <c r="G379" i="12" s="1"/>
  <c r="J382" i="9"/>
  <c r="G380" i="12" s="1"/>
  <c r="J383" i="9"/>
  <c r="G381" i="12" s="1"/>
  <c r="J384" i="9"/>
  <c r="G382" i="12" s="1"/>
  <c r="J385" i="9"/>
  <c r="G383" i="12" s="1"/>
  <c r="J386" i="9"/>
  <c r="G384" i="12" s="1"/>
  <c r="J387" i="9"/>
  <c r="G385" i="12" s="1"/>
  <c r="J388" i="9"/>
  <c r="G386" i="12" s="1"/>
  <c r="J389" i="9"/>
  <c r="G387" i="12" s="1"/>
  <c r="J390" i="9"/>
  <c r="G388" i="12" s="1"/>
  <c r="J391" i="9"/>
  <c r="G389" i="12" s="1"/>
  <c r="J392" i="9"/>
  <c r="G390" i="12" s="1"/>
  <c r="J393" i="9"/>
  <c r="G391" i="12" s="1"/>
  <c r="J394" i="9"/>
  <c r="G392" i="12" s="1"/>
  <c r="J395" i="9"/>
  <c r="G393" i="12" s="1"/>
  <c r="J396" i="9"/>
  <c r="G394" i="12" s="1"/>
  <c r="J397" i="9"/>
  <c r="G395" i="12" s="1"/>
  <c r="J398" i="9"/>
  <c r="G396" i="12" s="1"/>
  <c r="J399" i="9"/>
  <c r="G397" i="12" s="1"/>
  <c r="J400" i="9"/>
  <c r="G398" i="12" s="1"/>
  <c r="J401" i="9"/>
  <c r="G399" i="12" s="1"/>
  <c r="J402" i="9"/>
  <c r="G400" i="12" s="1"/>
  <c r="J403" i="9"/>
  <c r="G401" i="12" s="1"/>
  <c r="J404" i="9"/>
  <c r="G402" i="12" s="1"/>
  <c r="J405" i="9"/>
  <c r="G403" i="12" s="1"/>
  <c r="J406" i="9"/>
  <c r="G404" i="12" s="1"/>
  <c r="J407" i="9"/>
  <c r="G405" i="12" s="1"/>
  <c r="J408" i="9"/>
  <c r="G406" i="12" s="1"/>
  <c r="J409" i="9"/>
  <c r="G407" i="12" s="1"/>
  <c r="J410" i="9"/>
  <c r="G408" i="12" s="1"/>
  <c r="J411" i="9"/>
  <c r="G409" i="12" s="1"/>
  <c r="J412" i="9"/>
  <c r="G410" i="12" s="1"/>
  <c r="J413" i="9"/>
  <c r="G411" i="12" s="1"/>
  <c r="J414" i="9"/>
  <c r="G412" i="12" s="1"/>
  <c r="J415" i="9"/>
  <c r="G413" i="12" s="1"/>
  <c r="J416" i="9"/>
  <c r="G414" i="12" s="1"/>
  <c r="J417" i="9"/>
  <c r="G415" i="12" s="1"/>
  <c r="J418" i="9"/>
  <c r="G416" i="12" s="1"/>
  <c r="J419" i="9"/>
  <c r="G417" i="12" s="1"/>
  <c r="J420" i="9"/>
  <c r="G418" i="12" s="1"/>
  <c r="J421" i="9"/>
  <c r="G419" i="12" s="1"/>
  <c r="J422" i="9"/>
  <c r="G420" i="12" s="1"/>
  <c r="J423" i="9"/>
  <c r="G421" i="12" s="1"/>
  <c r="J424" i="9"/>
  <c r="G422" i="12" s="1"/>
  <c r="J425" i="9"/>
  <c r="G423" i="12" s="1"/>
  <c r="J426" i="9"/>
  <c r="G424" i="12" s="1"/>
  <c r="J427" i="9"/>
  <c r="G425" i="12" s="1"/>
  <c r="J428" i="9"/>
  <c r="G426" i="12" s="1"/>
  <c r="J429" i="9"/>
  <c r="G427" i="12" s="1"/>
  <c r="J430" i="9"/>
  <c r="G428" i="12" s="1"/>
  <c r="J431" i="9"/>
  <c r="G429" i="12" s="1"/>
  <c r="J432" i="9"/>
  <c r="G430" i="12" s="1"/>
  <c r="J433" i="9"/>
  <c r="G431" i="12" s="1"/>
  <c r="J434" i="9"/>
  <c r="G432" i="12" s="1"/>
  <c r="J435" i="9"/>
  <c r="G433" i="12" s="1"/>
  <c r="J436" i="9"/>
  <c r="G434" i="12" s="1"/>
  <c r="J437" i="9"/>
  <c r="G435" i="12" s="1"/>
  <c r="J438" i="9"/>
  <c r="G436" i="12" s="1"/>
  <c r="J439" i="9"/>
  <c r="G437" i="12" s="1"/>
  <c r="J440" i="9"/>
  <c r="G438" i="12" s="1"/>
  <c r="J441" i="9"/>
  <c r="G439" i="12" s="1"/>
  <c r="J442" i="9"/>
  <c r="G440" i="12" s="1"/>
  <c r="J443" i="9"/>
  <c r="G441" i="12" s="1"/>
  <c r="J444" i="9"/>
  <c r="G442" i="12" s="1"/>
  <c r="J445" i="9"/>
  <c r="G443" i="12" s="1"/>
  <c r="J446" i="9"/>
  <c r="G444" i="12" s="1"/>
  <c r="J447" i="9"/>
  <c r="G445" i="12" s="1"/>
  <c r="J448" i="9"/>
  <c r="G446" i="12" s="1"/>
  <c r="J449" i="9"/>
  <c r="G447" i="12" s="1"/>
  <c r="J450" i="9"/>
  <c r="G448" i="12" s="1"/>
  <c r="J451" i="9"/>
  <c r="G449" i="12" s="1"/>
  <c r="J452" i="9"/>
  <c r="G450" i="12" s="1"/>
  <c r="J453" i="9"/>
  <c r="G451" i="12" s="1"/>
  <c r="J454" i="9"/>
  <c r="G452" i="12" s="1"/>
  <c r="J455" i="9"/>
  <c r="G453" i="12" s="1"/>
  <c r="J456" i="9"/>
  <c r="G454" i="12" s="1"/>
  <c r="J457" i="9"/>
  <c r="G455" i="12" s="1"/>
  <c r="J458" i="9"/>
  <c r="G456" i="12" s="1"/>
  <c r="J459" i="9"/>
  <c r="G457" i="12" s="1"/>
  <c r="J460" i="9"/>
  <c r="G458" i="12" s="1"/>
  <c r="J461" i="9"/>
  <c r="G459" i="12" s="1"/>
  <c r="J462" i="9"/>
  <c r="G460" i="12" s="1"/>
  <c r="J463" i="9"/>
  <c r="G461" i="12" s="1"/>
  <c r="J464" i="9"/>
  <c r="G462" i="12" s="1"/>
  <c r="J465" i="9"/>
  <c r="G463" i="12" s="1"/>
  <c r="J466" i="9"/>
  <c r="G464" i="12" s="1"/>
  <c r="J467" i="9"/>
  <c r="G465" i="12" s="1"/>
  <c r="J468" i="9"/>
  <c r="G466" i="12" s="1"/>
  <c r="J469" i="9"/>
  <c r="G467" i="12" s="1"/>
  <c r="J470" i="9"/>
  <c r="G468" i="12" s="1"/>
  <c r="J471" i="9"/>
  <c r="G469" i="12" s="1"/>
  <c r="J472" i="9"/>
  <c r="G470" i="12" s="1"/>
  <c r="J473" i="9"/>
  <c r="G471" i="12" s="1"/>
  <c r="J474" i="9"/>
  <c r="G472" i="12" s="1"/>
  <c r="J475" i="9"/>
  <c r="G473" i="12" s="1"/>
  <c r="J476" i="9"/>
  <c r="G474" i="12" s="1"/>
  <c r="J477" i="9"/>
  <c r="G475" i="12" s="1"/>
  <c r="J478" i="9"/>
  <c r="G476" i="12" s="1"/>
  <c r="J479" i="9"/>
  <c r="G477" i="12" s="1"/>
  <c r="J480" i="9"/>
  <c r="G478" i="12" s="1"/>
  <c r="J481" i="9"/>
  <c r="G479" i="12" s="1"/>
  <c r="J482" i="9"/>
  <c r="G480" i="12" s="1"/>
  <c r="J483" i="9"/>
  <c r="G481" i="12" s="1"/>
  <c r="J484" i="9"/>
  <c r="G482" i="12" s="1"/>
  <c r="J485" i="9"/>
  <c r="G483" i="12" s="1"/>
  <c r="J486" i="9"/>
  <c r="G484" i="12" s="1"/>
  <c r="J487" i="9"/>
  <c r="G485" i="12" s="1"/>
  <c r="J488" i="9"/>
  <c r="G486" i="12" s="1"/>
  <c r="J489" i="9"/>
  <c r="G487" i="12" s="1"/>
  <c r="J490" i="9"/>
  <c r="G488" i="12" s="1"/>
  <c r="J491" i="9"/>
  <c r="G489" i="12" s="1"/>
  <c r="J492" i="9"/>
  <c r="G490" i="12" s="1"/>
  <c r="J493" i="9"/>
  <c r="G491" i="12" s="1"/>
  <c r="J494" i="9"/>
  <c r="G492" i="12" s="1"/>
  <c r="J495" i="9"/>
  <c r="G493" i="12" s="1"/>
  <c r="J496" i="9"/>
  <c r="G494" i="12" s="1"/>
  <c r="J497" i="9"/>
  <c r="G495" i="12" s="1"/>
  <c r="J498" i="9"/>
  <c r="G496" i="12" s="1"/>
  <c r="J499" i="9"/>
  <c r="G497" i="12" s="1"/>
  <c r="J500" i="9"/>
  <c r="G498" i="12" s="1"/>
  <c r="J501" i="9"/>
  <c r="G499" i="12" s="1"/>
  <c r="J502" i="9"/>
  <c r="G500" i="12" s="1"/>
  <c r="J503" i="9"/>
  <c r="G501" i="12" s="1"/>
  <c r="J504" i="9"/>
  <c r="G502" i="12" s="1"/>
  <c r="J505" i="9"/>
  <c r="G503" i="12" s="1"/>
  <c r="J506" i="9"/>
  <c r="G504" i="12" s="1"/>
  <c r="J507" i="9"/>
  <c r="G505" i="12" s="1"/>
  <c r="J508" i="9"/>
  <c r="G506" i="12" s="1"/>
  <c r="J509" i="9"/>
  <c r="G507" i="12" s="1"/>
  <c r="J510" i="9"/>
  <c r="G508" i="12" s="1"/>
  <c r="J511" i="9"/>
  <c r="G509" i="12" s="1"/>
  <c r="J512" i="9"/>
  <c r="G510" i="12" s="1"/>
  <c r="J513" i="9"/>
  <c r="G511" i="12" s="1"/>
  <c r="J514" i="9"/>
  <c r="G512" i="12" s="1"/>
  <c r="J515" i="9"/>
  <c r="G513" i="12" s="1"/>
  <c r="J516" i="9"/>
  <c r="G514" i="12" s="1"/>
  <c r="J517" i="9"/>
  <c r="G515" i="12" s="1"/>
  <c r="J518" i="9"/>
  <c r="G516" i="12" s="1"/>
  <c r="J519" i="9"/>
  <c r="G517" i="12" s="1"/>
  <c r="J520" i="9"/>
  <c r="G518" i="12" s="1"/>
  <c r="J521" i="9"/>
  <c r="G519" i="12" s="1"/>
  <c r="J522" i="9"/>
  <c r="G520" i="12" s="1"/>
  <c r="J523" i="9"/>
  <c r="G521" i="12" s="1"/>
  <c r="J524" i="9"/>
  <c r="G522" i="12" s="1"/>
  <c r="J525" i="9"/>
  <c r="G523" i="12" s="1"/>
  <c r="J526" i="9"/>
  <c r="G524" i="12" s="1"/>
  <c r="J527" i="9"/>
  <c r="G525" i="12" s="1"/>
  <c r="J528" i="9"/>
  <c r="G526" i="12" s="1"/>
  <c r="J529" i="9"/>
  <c r="G527" i="12" s="1"/>
  <c r="J530" i="9"/>
  <c r="G528" i="12" s="1"/>
  <c r="J531" i="9"/>
  <c r="G529" i="12" s="1"/>
  <c r="J532" i="9"/>
  <c r="G530" i="12" s="1"/>
  <c r="J533" i="9"/>
  <c r="G531" i="12" s="1"/>
  <c r="J534" i="9"/>
  <c r="G532" i="12" s="1"/>
  <c r="J535" i="9"/>
  <c r="G533" i="12" s="1"/>
  <c r="J536" i="9"/>
  <c r="G534" i="12" s="1"/>
  <c r="J537" i="9"/>
  <c r="G535" i="12" s="1"/>
  <c r="J538" i="9"/>
  <c r="G536" i="12" s="1"/>
  <c r="J539" i="9"/>
  <c r="G537" i="12" s="1"/>
  <c r="J540" i="9"/>
  <c r="G538" i="12" s="1"/>
  <c r="J541" i="9"/>
  <c r="G539" i="12" s="1"/>
  <c r="J542" i="9"/>
  <c r="G540" i="12" s="1"/>
  <c r="J543" i="9"/>
  <c r="G541" i="12" s="1"/>
  <c r="J544" i="9"/>
  <c r="G542" i="12" s="1"/>
  <c r="J545" i="9"/>
  <c r="G543" i="12" s="1"/>
  <c r="J546" i="9"/>
  <c r="G544" i="12" s="1"/>
  <c r="J547" i="9"/>
  <c r="G545" i="12" s="1"/>
  <c r="J548" i="9"/>
  <c r="G546" i="12" s="1"/>
  <c r="J549" i="9"/>
  <c r="G547" i="12" s="1"/>
  <c r="J550" i="9"/>
  <c r="G548" i="12" s="1"/>
  <c r="J551" i="9"/>
  <c r="G549" i="12" s="1"/>
  <c r="J552" i="9"/>
  <c r="G550" i="12" s="1"/>
  <c r="J553" i="9"/>
  <c r="G551" i="12" s="1"/>
  <c r="J554" i="9"/>
  <c r="G552" i="12" s="1"/>
  <c r="J555" i="9"/>
  <c r="G553" i="12" s="1"/>
  <c r="J556" i="9"/>
  <c r="G554" i="12" s="1"/>
  <c r="J557" i="9"/>
  <c r="G555" i="12" s="1"/>
  <c r="J558" i="9"/>
  <c r="G556" i="12" s="1"/>
  <c r="J559" i="9"/>
  <c r="G557" i="12" s="1"/>
  <c r="J560" i="9"/>
  <c r="G558" i="12" s="1"/>
  <c r="J561" i="9"/>
  <c r="G559" i="12" s="1"/>
  <c r="J562" i="9"/>
  <c r="G560" i="12" s="1"/>
  <c r="J563" i="9"/>
  <c r="G561" i="12" s="1"/>
  <c r="J564" i="9"/>
  <c r="G562" i="12" s="1"/>
  <c r="J565" i="9"/>
  <c r="G563" i="12" s="1"/>
  <c r="J566" i="9"/>
  <c r="G564" i="12" s="1"/>
  <c r="J567" i="9"/>
  <c r="G565" i="12" s="1"/>
  <c r="J568" i="9"/>
  <c r="G566" i="12" s="1"/>
  <c r="J569" i="9"/>
  <c r="G567" i="12" s="1"/>
  <c r="J570" i="9"/>
  <c r="G568" i="12" s="1"/>
  <c r="J571" i="9"/>
  <c r="G569" i="12" s="1"/>
  <c r="J572" i="9"/>
  <c r="G570" i="12" s="1"/>
  <c r="J573" i="9"/>
  <c r="G571" i="12" s="1"/>
  <c r="J574" i="9"/>
  <c r="G572" i="12" s="1"/>
  <c r="J575" i="9"/>
  <c r="G573" i="12" s="1"/>
  <c r="J576" i="9"/>
  <c r="G574" i="12" s="1"/>
  <c r="J577" i="9"/>
  <c r="G575" i="12" s="1"/>
  <c r="J578" i="9"/>
  <c r="G576" i="12" s="1"/>
  <c r="J579" i="9"/>
  <c r="G577" i="12" s="1"/>
  <c r="J580" i="9"/>
  <c r="G578" i="12" s="1"/>
  <c r="J581" i="9"/>
  <c r="G579" i="12" s="1"/>
  <c r="J582" i="9"/>
  <c r="G580" i="12" s="1"/>
  <c r="J583" i="9"/>
  <c r="G581" i="12" s="1"/>
  <c r="J584" i="9"/>
  <c r="G582" i="12" s="1"/>
  <c r="J585" i="9"/>
  <c r="G583" i="12" s="1"/>
  <c r="J586" i="9"/>
  <c r="G584" i="12" s="1"/>
  <c r="J587" i="9"/>
  <c r="G585" i="12" s="1"/>
  <c r="J588" i="9"/>
  <c r="G586" i="12" s="1"/>
  <c r="J589" i="9"/>
  <c r="G587" i="12" s="1"/>
  <c r="J590" i="9"/>
  <c r="G588" i="12" s="1"/>
  <c r="J591" i="9"/>
  <c r="G589" i="12" s="1"/>
  <c r="J592" i="9"/>
  <c r="G590" i="12" s="1"/>
  <c r="J593" i="9"/>
  <c r="G591" i="12" s="1"/>
  <c r="J594" i="9"/>
  <c r="G592" i="12" s="1"/>
  <c r="J595" i="9"/>
  <c r="G593" i="12" s="1"/>
  <c r="J596" i="9"/>
  <c r="G594" i="12" s="1"/>
  <c r="J597" i="9"/>
  <c r="G595" i="12" s="1"/>
  <c r="J598" i="9"/>
  <c r="G596" i="12" s="1"/>
  <c r="J599" i="9"/>
  <c r="G597" i="12" s="1"/>
  <c r="J600" i="9"/>
  <c r="G598" i="12" s="1"/>
  <c r="J601" i="9"/>
  <c r="G599" i="12" s="1"/>
  <c r="J602" i="9"/>
  <c r="G600" i="12" s="1"/>
  <c r="J603" i="9"/>
  <c r="G601" i="12" s="1"/>
  <c r="J604" i="9"/>
  <c r="G602" i="12" s="1"/>
  <c r="J605" i="9"/>
  <c r="G603" i="12" s="1"/>
  <c r="J606" i="9"/>
  <c r="G604" i="12" s="1"/>
  <c r="J607" i="9"/>
  <c r="G605" i="12" s="1"/>
  <c r="J608" i="9"/>
  <c r="G606" i="12" s="1"/>
  <c r="J609" i="9"/>
  <c r="G607" i="12" s="1"/>
  <c r="J610" i="9"/>
  <c r="G608" i="12" s="1"/>
  <c r="J611" i="9"/>
  <c r="G609" i="12" s="1"/>
  <c r="J612" i="9"/>
  <c r="G610" i="12" s="1"/>
  <c r="J613" i="9"/>
  <c r="G611" i="12" s="1"/>
  <c r="J614" i="9"/>
  <c r="G612" i="12" s="1"/>
  <c r="J615" i="9"/>
  <c r="G613" i="12" s="1"/>
  <c r="J616" i="9"/>
  <c r="G614" i="12" s="1"/>
  <c r="J617" i="9"/>
  <c r="G615" i="12" s="1"/>
  <c r="J618" i="9"/>
  <c r="G616" i="12" s="1"/>
  <c r="J619" i="9"/>
  <c r="G617" i="12" s="1"/>
  <c r="J620" i="9"/>
  <c r="G618" i="12" s="1"/>
  <c r="J621" i="9"/>
  <c r="G619" i="12" s="1"/>
  <c r="J622" i="9"/>
  <c r="G620" i="12" s="1"/>
  <c r="J623" i="9"/>
  <c r="G621" i="12" s="1"/>
  <c r="J624" i="9"/>
  <c r="G622" i="12" s="1"/>
  <c r="J625" i="9"/>
  <c r="G623" i="12" s="1"/>
  <c r="J626" i="9"/>
  <c r="G624" i="12" s="1"/>
  <c r="J627" i="9"/>
  <c r="G625" i="12" s="1"/>
  <c r="J628" i="9"/>
  <c r="G626" i="12" s="1"/>
  <c r="J629" i="9"/>
  <c r="G627" i="12" s="1"/>
  <c r="J630" i="9"/>
  <c r="G628" i="12" s="1"/>
  <c r="J631" i="9"/>
  <c r="G629" i="12" s="1"/>
  <c r="J632" i="9"/>
  <c r="G630" i="12" s="1"/>
  <c r="J633" i="9"/>
  <c r="G631" i="12" s="1"/>
  <c r="J634" i="9"/>
  <c r="G632" i="12" s="1"/>
  <c r="J635" i="9"/>
  <c r="G633" i="12" s="1"/>
  <c r="J636" i="9"/>
  <c r="G634" i="12" s="1"/>
  <c r="J637" i="9"/>
  <c r="G635" i="12" s="1"/>
  <c r="J638" i="9"/>
  <c r="G636" i="12" s="1"/>
  <c r="J639" i="9"/>
  <c r="G637" i="12" s="1"/>
  <c r="J640" i="9"/>
  <c r="G638" i="12" s="1"/>
  <c r="J641" i="9"/>
  <c r="G639" i="12" s="1"/>
  <c r="J642" i="9"/>
  <c r="G640" i="12" s="1"/>
  <c r="J643" i="9"/>
  <c r="G641" i="12" s="1"/>
  <c r="J644" i="9"/>
  <c r="G642" i="12" s="1"/>
  <c r="J645" i="9"/>
  <c r="G643" i="12" s="1"/>
  <c r="J646" i="9"/>
  <c r="G644" i="12" s="1"/>
  <c r="J647" i="9"/>
  <c r="G645" i="12" s="1"/>
  <c r="J648" i="9"/>
  <c r="G646" i="12" s="1"/>
  <c r="J649" i="9"/>
  <c r="G647" i="12" s="1"/>
  <c r="J650" i="9"/>
  <c r="G648" i="12" s="1"/>
  <c r="J651" i="9"/>
  <c r="G649" i="12" s="1"/>
  <c r="J652" i="9"/>
  <c r="G650" i="12" s="1"/>
  <c r="J653" i="9"/>
  <c r="G651" i="12" s="1"/>
  <c r="J654" i="9"/>
  <c r="G652" i="12" s="1"/>
  <c r="J655" i="9"/>
  <c r="G653" i="12" s="1"/>
  <c r="J656" i="9"/>
  <c r="G654" i="12" s="1"/>
  <c r="J657" i="9"/>
  <c r="G655" i="12" s="1"/>
  <c r="J658" i="9"/>
  <c r="G656" i="12" s="1"/>
  <c r="J659" i="9"/>
  <c r="G657" i="12" s="1"/>
  <c r="J660" i="9"/>
  <c r="G658" i="12" s="1"/>
  <c r="J661" i="9"/>
  <c r="G659" i="12" s="1"/>
  <c r="J662" i="9"/>
  <c r="G660" i="12" s="1"/>
  <c r="J663" i="9"/>
  <c r="G661" i="12" s="1"/>
  <c r="J664" i="9"/>
  <c r="G662" i="12" s="1"/>
  <c r="J665" i="9"/>
  <c r="G663" i="12" s="1"/>
  <c r="J666" i="9"/>
  <c r="G664" i="12" s="1"/>
  <c r="J667" i="9"/>
  <c r="G665" i="12" s="1"/>
  <c r="J668" i="9"/>
  <c r="G666" i="12" s="1"/>
  <c r="J669" i="9"/>
  <c r="G667" i="12" s="1"/>
  <c r="J670" i="9"/>
  <c r="G668" i="12" s="1"/>
  <c r="J671" i="9"/>
  <c r="G669" i="12" s="1"/>
  <c r="J672" i="9"/>
  <c r="G670" i="12" s="1"/>
  <c r="J673" i="9"/>
  <c r="G671" i="12" s="1"/>
  <c r="J674" i="9"/>
  <c r="G672" i="12" s="1"/>
  <c r="J675" i="9"/>
  <c r="G673" i="12" s="1"/>
  <c r="J676" i="9"/>
  <c r="G674" i="12" s="1"/>
  <c r="J677" i="9"/>
  <c r="G675" i="12" s="1"/>
  <c r="J678" i="9"/>
  <c r="G676" i="12" s="1"/>
  <c r="J679" i="9"/>
  <c r="G677" i="12" s="1"/>
  <c r="J680" i="9"/>
  <c r="G678" i="12" s="1"/>
  <c r="J681" i="9"/>
  <c r="G679" i="12" s="1"/>
  <c r="J682" i="9"/>
  <c r="G680" i="12" s="1"/>
  <c r="J683" i="9"/>
  <c r="G681" i="12" s="1"/>
  <c r="J684" i="9"/>
  <c r="G682" i="12" s="1"/>
  <c r="J685" i="9"/>
  <c r="G683" i="12" s="1"/>
  <c r="J686" i="9"/>
  <c r="G684" i="12" s="1"/>
  <c r="J687" i="9"/>
  <c r="G685" i="12" s="1"/>
  <c r="J688" i="9"/>
  <c r="G686" i="12" s="1"/>
  <c r="J689" i="9"/>
  <c r="G687" i="12" s="1"/>
  <c r="J690" i="9"/>
  <c r="G688" i="12" s="1"/>
  <c r="J691" i="9"/>
  <c r="G689" i="12" s="1"/>
  <c r="J692" i="9"/>
  <c r="G690" i="12" s="1"/>
  <c r="J693" i="9"/>
  <c r="G691" i="12" s="1"/>
  <c r="J694" i="9"/>
  <c r="G692" i="12" s="1"/>
  <c r="J695" i="9"/>
  <c r="G693" i="12" s="1"/>
  <c r="J696" i="9"/>
  <c r="G694" i="12" s="1"/>
  <c r="J697" i="9"/>
  <c r="G695" i="12" s="1"/>
  <c r="J698" i="9"/>
  <c r="G696" i="12" s="1"/>
  <c r="J699" i="9"/>
  <c r="G697" i="12" s="1"/>
  <c r="J700" i="9"/>
  <c r="G698" i="12" s="1"/>
  <c r="J701" i="9"/>
  <c r="G699" i="12" s="1"/>
  <c r="J702" i="9"/>
  <c r="G700" i="12" s="1"/>
  <c r="J703" i="9"/>
  <c r="G701" i="12" s="1"/>
  <c r="J704" i="9"/>
  <c r="G702" i="12" s="1"/>
  <c r="J705" i="9"/>
  <c r="G703" i="12" s="1"/>
  <c r="J706" i="9"/>
  <c r="G704" i="12" s="1"/>
  <c r="J707" i="9"/>
  <c r="G705" i="12" s="1"/>
  <c r="J708" i="9"/>
  <c r="G706" i="12" s="1"/>
  <c r="J709" i="9"/>
  <c r="G707" i="12" s="1"/>
  <c r="J710" i="9"/>
  <c r="G708" i="12" s="1"/>
  <c r="J711" i="9"/>
  <c r="G709" i="12" s="1"/>
  <c r="J712" i="9"/>
  <c r="G710" i="12" s="1"/>
  <c r="J713" i="9"/>
  <c r="G711" i="12" s="1"/>
  <c r="J714" i="9"/>
  <c r="G712" i="12" s="1"/>
  <c r="J715" i="9"/>
  <c r="G713" i="12" s="1"/>
  <c r="J716" i="9"/>
  <c r="G714" i="12" s="1"/>
  <c r="J717" i="9"/>
  <c r="G715" i="12" s="1"/>
  <c r="J718" i="9"/>
  <c r="G716" i="12" s="1"/>
  <c r="J719" i="9"/>
  <c r="G717" i="12" s="1"/>
  <c r="J720" i="9"/>
  <c r="G718" i="12" s="1"/>
  <c r="J721" i="9"/>
  <c r="G719" i="12" s="1"/>
  <c r="J722" i="9"/>
  <c r="G720" i="12" s="1"/>
  <c r="J723" i="9"/>
  <c r="G721" i="12" s="1"/>
  <c r="J724" i="9"/>
  <c r="G722" i="12" s="1"/>
  <c r="J725" i="9"/>
  <c r="G723" i="12" s="1"/>
  <c r="J726" i="9"/>
  <c r="G724" i="12" s="1"/>
  <c r="J727" i="9"/>
  <c r="G725" i="12" s="1"/>
  <c r="J728" i="9"/>
  <c r="G726" i="12" s="1"/>
  <c r="J729" i="9"/>
  <c r="G727" i="12" s="1"/>
  <c r="J730" i="9"/>
  <c r="G728" i="12" s="1"/>
  <c r="J731" i="9"/>
  <c r="G729" i="12" s="1"/>
  <c r="J732" i="9"/>
  <c r="G730" i="12" s="1"/>
  <c r="J733" i="9"/>
  <c r="G731" i="12" s="1"/>
  <c r="J734" i="9"/>
  <c r="G732" i="12" s="1"/>
  <c r="J735" i="9"/>
  <c r="G733" i="12" s="1"/>
  <c r="J736" i="9"/>
  <c r="G734" i="12" s="1"/>
  <c r="J737" i="9"/>
  <c r="G735" i="12" s="1"/>
  <c r="J738" i="9"/>
  <c r="G736" i="12" s="1"/>
  <c r="J739" i="9"/>
  <c r="G737" i="12" s="1"/>
  <c r="J740" i="9"/>
  <c r="G738" i="12" s="1"/>
  <c r="J741" i="9"/>
  <c r="G739" i="12" s="1"/>
  <c r="J742" i="9"/>
  <c r="G740" i="12" s="1"/>
  <c r="J743" i="9"/>
  <c r="G741" i="12" s="1"/>
  <c r="J744" i="9"/>
  <c r="G742" i="12" s="1"/>
  <c r="J745" i="9"/>
  <c r="G743" i="12" s="1"/>
  <c r="J746" i="9"/>
  <c r="G744" i="12" s="1"/>
  <c r="J747" i="9"/>
  <c r="G745" i="12" s="1"/>
  <c r="J748" i="9"/>
  <c r="G746" i="12" s="1"/>
  <c r="J749" i="9"/>
  <c r="G747" i="12" s="1"/>
  <c r="J750" i="9"/>
  <c r="G748" i="12" s="1"/>
  <c r="J751" i="9"/>
  <c r="G749" i="12" s="1"/>
  <c r="J752" i="9"/>
  <c r="G750" i="12" s="1"/>
  <c r="J753" i="9"/>
  <c r="G751" i="12" s="1"/>
  <c r="J754" i="9"/>
  <c r="G752" i="12" s="1"/>
  <c r="J755" i="9"/>
  <c r="G753" i="12" s="1"/>
  <c r="J756" i="9"/>
  <c r="G754" i="12" s="1"/>
  <c r="J757" i="9"/>
  <c r="G755" i="12" s="1"/>
  <c r="J758" i="9"/>
  <c r="G756" i="12" s="1"/>
  <c r="J759" i="9"/>
  <c r="G757" i="12" s="1"/>
  <c r="J760" i="9"/>
  <c r="G758" i="12" s="1"/>
  <c r="J761" i="9"/>
  <c r="G759" i="12" s="1"/>
  <c r="J762" i="9"/>
  <c r="G760" i="12" s="1"/>
  <c r="J763" i="9"/>
  <c r="G761" i="12" s="1"/>
  <c r="J764" i="9"/>
  <c r="G762" i="12" s="1"/>
  <c r="J765" i="9"/>
  <c r="G763" i="12" s="1"/>
  <c r="J766" i="9"/>
  <c r="G764" i="12" s="1"/>
  <c r="J767" i="9"/>
  <c r="G765" i="12" s="1"/>
  <c r="J768" i="9"/>
  <c r="G766" i="12" s="1"/>
  <c r="J769" i="9"/>
  <c r="G767" i="12" s="1"/>
  <c r="J770" i="9"/>
  <c r="G768" i="12" s="1"/>
  <c r="J771" i="9"/>
  <c r="G769" i="12" s="1"/>
  <c r="J772" i="9"/>
  <c r="G770" i="12" s="1"/>
  <c r="J773" i="9"/>
  <c r="G771" i="12" s="1"/>
  <c r="J774" i="9"/>
  <c r="G772" i="12" s="1"/>
  <c r="J775" i="9"/>
  <c r="G773" i="12" s="1"/>
  <c r="J776" i="9"/>
  <c r="G774" i="12" s="1"/>
  <c r="J777" i="9"/>
  <c r="G775" i="12" s="1"/>
  <c r="J778" i="9"/>
  <c r="G776" i="12" s="1"/>
  <c r="J779" i="9"/>
  <c r="G777" i="12" s="1"/>
  <c r="J780" i="9"/>
  <c r="G778" i="12" s="1"/>
  <c r="J781" i="9"/>
  <c r="G779" i="12" s="1"/>
  <c r="J782" i="9"/>
  <c r="G780" i="12" s="1"/>
  <c r="J783" i="9"/>
  <c r="G781" i="12" s="1"/>
  <c r="J784" i="9"/>
  <c r="G782" i="12" s="1"/>
  <c r="J785" i="9"/>
  <c r="G783" i="12" s="1"/>
  <c r="J786" i="9"/>
  <c r="G784" i="12" s="1"/>
  <c r="J787" i="9"/>
  <c r="G785" i="12" s="1"/>
  <c r="J788" i="9"/>
  <c r="G786" i="12" s="1"/>
  <c r="J789" i="9"/>
  <c r="G787" i="12" s="1"/>
  <c r="J790" i="9"/>
  <c r="G788" i="12" s="1"/>
  <c r="J791" i="9"/>
  <c r="G789" i="12" s="1"/>
  <c r="J792" i="9"/>
  <c r="G790" i="12" s="1"/>
  <c r="J793" i="9"/>
  <c r="G791" i="12" s="1"/>
  <c r="J794" i="9"/>
  <c r="G792" i="12" s="1"/>
  <c r="J795" i="9"/>
  <c r="G793" i="12" s="1"/>
  <c r="J796" i="9"/>
  <c r="G794" i="12" s="1"/>
  <c r="J797" i="9"/>
  <c r="G795" i="12" s="1"/>
  <c r="J798" i="9"/>
  <c r="G796" i="12" s="1"/>
  <c r="J799" i="9"/>
  <c r="G797" i="12" s="1"/>
  <c r="J800" i="9"/>
  <c r="G798" i="12" s="1"/>
  <c r="J801" i="9"/>
  <c r="G799" i="12" s="1"/>
  <c r="J802" i="9"/>
  <c r="G800" i="12" s="1"/>
  <c r="J803" i="9"/>
  <c r="G801" i="12" s="1"/>
  <c r="J804" i="9"/>
  <c r="G802" i="12" s="1"/>
  <c r="J805" i="9"/>
  <c r="G803" i="12" s="1"/>
  <c r="J806" i="9"/>
  <c r="G804" i="12" s="1"/>
  <c r="J807" i="9"/>
  <c r="G805" i="12" s="1"/>
  <c r="J808" i="9"/>
  <c r="G806" i="12" s="1"/>
  <c r="J809" i="9"/>
  <c r="G807" i="12" s="1"/>
  <c r="J810" i="9"/>
  <c r="G808" i="12" s="1"/>
  <c r="J811" i="9"/>
  <c r="G809" i="12" s="1"/>
  <c r="J812" i="9"/>
  <c r="G810" i="12" s="1"/>
  <c r="J813" i="9"/>
  <c r="G811" i="12" s="1"/>
  <c r="J814" i="9"/>
  <c r="G812" i="12" s="1"/>
  <c r="J815" i="9"/>
  <c r="G813" i="12" s="1"/>
  <c r="J816" i="9"/>
  <c r="G814" i="12" s="1"/>
  <c r="J817" i="9"/>
  <c r="G815" i="12" s="1"/>
  <c r="J818" i="9"/>
  <c r="G816" i="12" s="1"/>
  <c r="J819" i="9"/>
  <c r="G817" i="12" s="1"/>
  <c r="J820" i="9"/>
  <c r="G818" i="12" s="1"/>
  <c r="J821" i="9"/>
  <c r="G819" i="12" s="1"/>
  <c r="J822" i="9"/>
  <c r="G820" i="12" s="1"/>
  <c r="J823" i="9"/>
  <c r="G821" i="12" s="1"/>
  <c r="J824" i="9"/>
  <c r="G822" i="12" s="1"/>
  <c r="J825" i="9"/>
  <c r="G823" i="12" s="1"/>
  <c r="J826" i="9"/>
  <c r="G824" i="12" s="1"/>
  <c r="J827" i="9"/>
  <c r="G825" i="12" s="1"/>
  <c r="J828" i="9"/>
  <c r="G826" i="12" s="1"/>
  <c r="J829" i="9"/>
  <c r="G827" i="12" s="1"/>
  <c r="J830" i="9"/>
  <c r="G828" i="12" s="1"/>
  <c r="J831" i="9"/>
  <c r="G829" i="12" s="1"/>
  <c r="J832" i="9"/>
  <c r="G830" i="12" s="1"/>
  <c r="J833" i="9"/>
  <c r="G831" i="12" s="1"/>
  <c r="J834" i="9"/>
  <c r="G832" i="12" s="1"/>
  <c r="J835" i="9"/>
  <c r="G833" i="12" s="1"/>
  <c r="J836" i="9"/>
  <c r="G834" i="12" s="1"/>
  <c r="J837" i="9"/>
  <c r="G835" i="12" s="1"/>
  <c r="J838" i="9"/>
  <c r="G836" i="12" s="1"/>
  <c r="J839" i="9"/>
  <c r="G837" i="12" s="1"/>
  <c r="J840" i="9"/>
  <c r="G838" i="12" s="1"/>
  <c r="J841" i="9"/>
  <c r="G839" i="12" s="1"/>
  <c r="J842" i="9"/>
  <c r="G840" i="12" s="1"/>
  <c r="J843" i="9"/>
  <c r="G841" i="12" s="1"/>
  <c r="J844" i="9"/>
  <c r="G842" i="12" s="1"/>
  <c r="J845" i="9"/>
  <c r="G843" i="12" s="1"/>
  <c r="J846" i="9"/>
  <c r="G844" i="12" s="1"/>
  <c r="J847" i="9"/>
  <c r="G845" i="12" s="1"/>
  <c r="J848" i="9"/>
  <c r="G846" i="12" s="1"/>
  <c r="J849" i="9"/>
  <c r="G847" i="12" s="1"/>
  <c r="J850" i="9"/>
  <c r="G848" i="12" s="1"/>
  <c r="J851" i="9"/>
  <c r="G849" i="12" s="1"/>
  <c r="J852" i="9"/>
  <c r="G850" i="12" s="1"/>
  <c r="J853" i="9"/>
  <c r="G851" i="12" s="1"/>
  <c r="J854" i="9"/>
  <c r="G852" i="12" s="1"/>
  <c r="J855" i="9"/>
  <c r="G853" i="12" s="1"/>
  <c r="J856" i="9"/>
  <c r="G854" i="12" s="1"/>
  <c r="J857" i="9"/>
  <c r="G855" i="12" s="1"/>
  <c r="J858" i="9"/>
  <c r="G856" i="12" s="1"/>
  <c r="J859" i="9"/>
  <c r="G857" i="12" s="1"/>
  <c r="J860" i="9"/>
  <c r="G858" i="12" s="1"/>
  <c r="J861" i="9"/>
  <c r="G859" i="12" s="1"/>
  <c r="J862" i="9"/>
  <c r="G860" i="12" s="1"/>
  <c r="J863" i="9"/>
  <c r="G861" i="12" s="1"/>
  <c r="J864" i="9"/>
  <c r="G862" i="12" s="1"/>
  <c r="J865" i="9"/>
  <c r="G863" i="12" s="1"/>
  <c r="J866" i="9"/>
  <c r="G864" i="12" s="1"/>
  <c r="J867" i="9"/>
  <c r="G865" i="12" s="1"/>
  <c r="J868" i="9"/>
  <c r="G866" i="12" s="1"/>
  <c r="J869" i="9"/>
  <c r="G867" i="12" s="1"/>
  <c r="J870" i="9"/>
  <c r="G868" i="12" s="1"/>
  <c r="J871" i="9"/>
  <c r="G869" i="12" s="1"/>
  <c r="J872" i="9"/>
  <c r="G870" i="12" s="1"/>
  <c r="J873" i="9"/>
  <c r="G871" i="12" s="1"/>
  <c r="J874" i="9"/>
  <c r="G872" i="12" s="1"/>
  <c r="J875" i="9"/>
  <c r="G873" i="12" s="1"/>
  <c r="J876" i="9"/>
  <c r="G874" i="12" s="1"/>
  <c r="J877" i="9"/>
  <c r="G875" i="12" s="1"/>
  <c r="J878" i="9"/>
  <c r="G876" i="12" s="1"/>
  <c r="J879" i="9"/>
  <c r="G877" i="12" s="1"/>
  <c r="J880" i="9"/>
  <c r="G878" i="12" s="1"/>
  <c r="J881" i="9"/>
  <c r="G879" i="12" s="1"/>
  <c r="J882" i="9"/>
  <c r="G880" i="12" s="1"/>
  <c r="J883" i="9"/>
  <c r="G881" i="12" s="1"/>
  <c r="J884" i="9"/>
  <c r="G882" i="12" s="1"/>
  <c r="J885" i="9"/>
  <c r="G883" i="12" s="1"/>
  <c r="J886" i="9"/>
  <c r="G884" i="12" s="1"/>
  <c r="J887" i="9"/>
  <c r="G885" i="12" s="1"/>
  <c r="J888" i="9"/>
  <c r="G886" i="12" s="1"/>
  <c r="J889" i="9"/>
  <c r="G887" i="12" s="1"/>
  <c r="J890" i="9"/>
  <c r="G888" i="12" s="1"/>
  <c r="J891" i="9"/>
  <c r="G889" i="12" s="1"/>
  <c r="J892" i="9"/>
  <c r="G890" i="12" s="1"/>
  <c r="J893" i="9"/>
  <c r="G891" i="12" s="1"/>
  <c r="J894" i="9"/>
  <c r="G892" i="12" s="1"/>
  <c r="J895" i="9"/>
  <c r="G893" i="12" s="1"/>
  <c r="J896" i="9"/>
  <c r="G894" i="12" s="1"/>
  <c r="J897" i="9"/>
  <c r="G895" i="12" s="1"/>
  <c r="J898" i="9"/>
  <c r="G896" i="12" s="1"/>
  <c r="J899" i="9"/>
  <c r="G897" i="12" s="1"/>
  <c r="J900" i="9"/>
  <c r="G898" i="12" s="1"/>
  <c r="J901" i="9"/>
  <c r="G899" i="12" s="1"/>
  <c r="J902" i="9"/>
  <c r="G900" i="12" s="1"/>
  <c r="J903" i="9"/>
  <c r="G901" i="12" s="1"/>
  <c r="J904" i="9"/>
  <c r="G902" i="12" s="1"/>
  <c r="J905" i="9"/>
  <c r="G903" i="12" s="1"/>
  <c r="J906" i="9"/>
  <c r="G904" i="12" s="1"/>
  <c r="J907" i="9"/>
  <c r="G905" i="12" s="1"/>
  <c r="J908" i="9"/>
  <c r="G906" i="12" s="1"/>
  <c r="J909" i="9"/>
  <c r="G907" i="12" s="1"/>
  <c r="J910" i="9"/>
  <c r="G908" i="12" s="1"/>
  <c r="J911" i="9"/>
  <c r="G909" i="12" s="1"/>
  <c r="J912" i="9"/>
  <c r="G910" i="12" s="1"/>
  <c r="J913" i="9"/>
  <c r="G911" i="12" s="1"/>
  <c r="J914" i="9"/>
  <c r="G912" i="12" s="1"/>
  <c r="J915" i="9"/>
  <c r="G913" i="12" s="1"/>
  <c r="J916" i="9"/>
  <c r="G914" i="12" s="1"/>
  <c r="J917" i="9"/>
  <c r="G915" i="12" s="1"/>
  <c r="J918" i="9"/>
  <c r="G916" i="12" s="1"/>
  <c r="J919" i="9"/>
  <c r="G917" i="12" s="1"/>
  <c r="J920" i="9"/>
  <c r="G918" i="12" s="1"/>
  <c r="J921" i="9"/>
  <c r="G919" i="12" s="1"/>
  <c r="J922" i="9"/>
  <c r="G920" i="12" s="1"/>
  <c r="J923" i="9"/>
  <c r="G921" i="12" s="1"/>
  <c r="J924" i="9"/>
  <c r="G922" i="12" s="1"/>
  <c r="J925" i="9"/>
  <c r="G923" i="12" s="1"/>
  <c r="J926" i="9"/>
  <c r="G924" i="12" s="1"/>
  <c r="J927" i="9"/>
  <c r="G925" i="12" s="1"/>
  <c r="J928" i="9"/>
  <c r="G926" i="12" s="1"/>
  <c r="J929" i="9"/>
  <c r="G927" i="12" s="1"/>
  <c r="J930" i="9"/>
  <c r="G928" i="12" s="1"/>
  <c r="J931" i="9"/>
  <c r="G929" i="12" s="1"/>
  <c r="J932" i="9"/>
  <c r="G930" i="12" s="1"/>
  <c r="J933" i="9"/>
  <c r="G931" i="12" s="1"/>
  <c r="J934" i="9"/>
  <c r="G932" i="12" s="1"/>
  <c r="J935" i="9"/>
  <c r="G933" i="12" s="1"/>
  <c r="J936" i="9"/>
  <c r="G934" i="12" s="1"/>
  <c r="J937" i="9"/>
  <c r="G935" i="12" s="1"/>
  <c r="J938" i="9"/>
  <c r="G936" i="12" s="1"/>
  <c r="J939" i="9"/>
  <c r="G937" i="12" s="1"/>
  <c r="J940" i="9"/>
  <c r="G938" i="12" s="1"/>
  <c r="J941" i="9"/>
  <c r="G939" i="12" s="1"/>
  <c r="J942" i="9"/>
  <c r="G940" i="12" s="1"/>
  <c r="J943" i="9"/>
  <c r="G941" i="12" s="1"/>
  <c r="J944" i="9"/>
  <c r="G942" i="12" s="1"/>
  <c r="J945" i="9"/>
  <c r="G943" i="12" s="1"/>
  <c r="J946" i="9"/>
  <c r="G944" i="12" s="1"/>
  <c r="J947" i="9"/>
  <c r="G945" i="12" s="1"/>
  <c r="J948" i="9"/>
  <c r="G946" i="12" s="1"/>
  <c r="J949" i="9"/>
  <c r="G947" i="12" s="1"/>
  <c r="J950" i="9"/>
  <c r="G948" i="12" s="1"/>
  <c r="J951" i="9"/>
  <c r="G949" i="12" s="1"/>
  <c r="J952" i="9"/>
  <c r="G950" i="12" s="1"/>
  <c r="J953" i="9"/>
  <c r="G951" i="12" s="1"/>
  <c r="J954" i="9"/>
  <c r="G952" i="12" s="1"/>
  <c r="J955" i="9"/>
  <c r="G953" i="12" s="1"/>
  <c r="J956" i="9"/>
  <c r="G954" i="12" s="1"/>
  <c r="J957" i="9"/>
  <c r="G955" i="12" s="1"/>
  <c r="J958" i="9"/>
  <c r="G956" i="12" s="1"/>
  <c r="J959" i="9"/>
  <c r="G957" i="12" s="1"/>
  <c r="J960" i="9"/>
  <c r="G958" i="12" s="1"/>
  <c r="J961" i="9"/>
  <c r="G959" i="12" s="1"/>
  <c r="J962" i="9"/>
  <c r="G960" i="12" s="1"/>
  <c r="J963" i="9"/>
  <c r="G961" i="12" s="1"/>
  <c r="J964" i="9"/>
  <c r="G962" i="12" s="1"/>
  <c r="J965" i="9"/>
  <c r="G963" i="12" s="1"/>
  <c r="J966" i="9"/>
  <c r="G964" i="12" s="1"/>
  <c r="J967" i="9"/>
  <c r="G965" i="12" s="1"/>
  <c r="J968" i="9"/>
  <c r="G966" i="12" s="1"/>
  <c r="J969" i="9"/>
  <c r="G967" i="12" s="1"/>
  <c r="J970" i="9"/>
  <c r="G968" i="12" s="1"/>
  <c r="J971" i="9"/>
  <c r="G969" i="12" s="1"/>
  <c r="J972" i="9"/>
  <c r="G970" i="12" s="1"/>
  <c r="J973" i="9"/>
  <c r="G971" i="12" s="1"/>
  <c r="J974" i="9"/>
  <c r="G972" i="12" s="1"/>
  <c r="J975" i="9"/>
  <c r="G973" i="12" s="1"/>
  <c r="J976" i="9"/>
  <c r="G974" i="12" s="1"/>
  <c r="J977" i="9"/>
  <c r="G975" i="12" s="1"/>
  <c r="J978" i="9"/>
  <c r="G976" i="12" s="1"/>
  <c r="J979" i="9"/>
  <c r="G977" i="12" s="1"/>
  <c r="J980" i="9"/>
  <c r="G978" i="12" s="1"/>
  <c r="J981" i="9"/>
  <c r="G979" i="12" s="1"/>
  <c r="J982" i="9"/>
  <c r="G980" i="12" s="1"/>
  <c r="J983" i="9"/>
  <c r="G981" i="12" s="1"/>
  <c r="J984" i="9"/>
  <c r="G982" i="12" s="1"/>
  <c r="J985" i="9"/>
  <c r="G983" i="12" s="1"/>
  <c r="J986" i="9"/>
  <c r="G1042" i="12" s="1"/>
  <c r="J987" i="9"/>
  <c r="G984" i="12" s="1"/>
  <c r="J988" i="9"/>
  <c r="G985" i="12" s="1"/>
  <c r="J989" i="9"/>
  <c r="G986" i="12" s="1"/>
  <c r="J990" i="9"/>
  <c r="G987" i="12" s="1"/>
  <c r="J991" i="9"/>
  <c r="G988" i="12" s="1"/>
  <c r="J992" i="9"/>
  <c r="G989" i="12" s="1"/>
  <c r="J993" i="9"/>
  <c r="G990" i="12" s="1"/>
  <c r="J994" i="9"/>
  <c r="G991" i="12" s="1"/>
  <c r="J995" i="9"/>
  <c r="G1043" i="12" s="1"/>
  <c r="J996" i="9"/>
  <c r="G992" i="12" s="1"/>
  <c r="J997" i="9"/>
  <c r="G993" i="12" s="1"/>
  <c r="J998" i="9"/>
  <c r="G994" i="12" s="1"/>
  <c r="J999" i="9"/>
  <c r="G995" i="12" s="1"/>
  <c r="J1000" i="9"/>
  <c r="G996" i="12" s="1"/>
  <c r="J1001" i="9"/>
  <c r="G997" i="12" s="1"/>
  <c r="J1002" i="9"/>
  <c r="G998" i="12" s="1"/>
  <c r="J1003" i="9"/>
  <c r="G999" i="12" s="1"/>
  <c r="J1004" i="9"/>
  <c r="G1000" i="12" s="1"/>
  <c r="J1005" i="9"/>
  <c r="G1001" i="12" s="1"/>
  <c r="J1006" i="9"/>
  <c r="G1002" i="12" s="1"/>
  <c r="J1007" i="9"/>
  <c r="G1003" i="12" s="1"/>
  <c r="J1008" i="9"/>
  <c r="G1004" i="12" s="1"/>
  <c r="J1009" i="9"/>
  <c r="G1005" i="12" s="1"/>
  <c r="J1010" i="9"/>
  <c r="G1006" i="12" s="1"/>
  <c r="J1011" i="9"/>
  <c r="G1007" i="12" s="1"/>
  <c r="J1012" i="9"/>
  <c r="G1008" i="12" s="1"/>
  <c r="J1013" i="9"/>
  <c r="G1009" i="12" s="1"/>
  <c r="J1014" i="9"/>
  <c r="G1010" i="12" s="1"/>
  <c r="J1015" i="9"/>
  <c r="G1011" i="12" s="1"/>
  <c r="J1016" i="9"/>
  <c r="G1012" i="12" s="1"/>
  <c r="J1017" i="9"/>
  <c r="G1013" i="12" s="1"/>
  <c r="J1018" i="9"/>
  <c r="G1014" i="12" s="1"/>
  <c r="J1019" i="9"/>
  <c r="G1015" i="12" s="1"/>
  <c r="J1020" i="9"/>
  <c r="G1016" i="12" s="1"/>
  <c r="J1021" i="9"/>
  <c r="G1017" i="12" s="1"/>
  <c r="J1022" i="9"/>
  <c r="G1018" i="12" s="1"/>
  <c r="J1023" i="9"/>
  <c r="G1044" i="12" s="1"/>
  <c r="J1024" i="9"/>
  <c r="G1019" i="12" s="1"/>
  <c r="J1025" i="9"/>
  <c r="G1020" i="12" s="1"/>
  <c r="J1026" i="9"/>
  <c r="G1021" i="12" s="1"/>
  <c r="J1027" i="9"/>
  <c r="G1022" i="12" s="1"/>
  <c r="J1028" i="9"/>
  <c r="G1023" i="12" s="1"/>
  <c r="J1029" i="9"/>
  <c r="G1024" i="12" s="1"/>
  <c r="J1030" i="9"/>
  <c r="G1045" i="12" s="1"/>
  <c r="J1031" i="9"/>
  <c r="G1046" i="12" s="1"/>
  <c r="J1032" i="9"/>
  <c r="G1025" i="12" s="1"/>
  <c r="J1033" i="9"/>
  <c r="G1047" i="12" s="1"/>
  <c r="J1034" i="9"/>
  <c r="G1026" i="12" s="1"/>
  <c r="J1035" i="9"/>
  <c r="G1048" i="12" s="1"/>
  <c r="J1036" i="9"/>
  <c r="G1049" i="12" s="1"/>
  <c r="J1037" i="9"/>
  <c r="G1050" i="12" s="1"/>
  <c r="J1038" i="9"/>
  <c r="J1039" i="9"/>
  <c r="G1028" i="12" s="1"/>
  <c r="J1040" i="9"/>
  <c r="G1029" i="12" s="1"/>
  <c r="J1041" i="9"/>
  <c r="J1042" i="9"/>
  <c r="G1051" i="12" s="1"/>
  <c r="J1043" i="9"/>
  <c r="G1031" i="12" s="1"/>
  <c r="J1044" i="9"/>
  <c r="G1032" i="12" s="1"/>
  <c r="J1045" i="9"/>
  <c r="G1033" i="12" s="1"/>
  <c r="J1046" i="9"/>
  <c r="G1034" i="12" s="1"/>
  <c r="J1047" i="9"/>
  <c r="G1052" i="12" s="1"/>
  <c r="J1048" i="9"/>
  <c r="G1035" i="12" s="1"/>
  <c r="J1049" i="9"/>
  <c r="G1053" i="12" s="1"/>
  <c r="J1050" i="9"/>
  <c r="G1054" i="12" s="1"/>
  <c r="J1051" i="9"/>
  <c r="G1055" i="12" s="1"/>
  <c r="J1052" i="9"/>
  <c r="G1056" i="12" s="1"/>
  <c r="J1053" i="9"/>
  <c r="G1036" i="12" s="1"/>
  <c r="J1054" i="9"/>
  <c r="G1037" i="12" s="1"/>
  <c r="J1055" i="9"/>
  <c r="G1038" i="12" s="1"/>
  <c r="J1056" i="9"/>
  <c r="G1057" i="12" s="1"/>
  <c r="J1057" i="9"/>
  <c r="G1039" i="12" s="1"/>
  <c r="J1058" i="9"/>
  <c r="G1058" i="12" s="1"/>
  <c r="X1309" i="1"/>
  <c r="N1309" i="1"/>
  <c r="X1308" i="1"/>
  <c r="N1308" i="1"/>
  <c r="X1307" i="1"/>
  <c r="N1307" i="1"/>
  <c r="X1306" i="1"/>
  <c r="N1306" i="1"/>
  <c r="X1305" i="1"/>
  <c r="N1305" i="1"/>
  <c r="X1304" i="1"/>
  <c r="N1304" i="1"/>
  <c r="X1303" i="1"/>
  <c r="N1303" i="1"/>
  <c r="X1302" i="1"/>
  <c r="N1302" i="1"/>
  <c r="X1301" i="1"/>
  <c r="N1301" i="1"/>
  <c r="X1300" i="1"/>
  <c r="N1300" i="1"/>
  <c r="X1299" i="1"/>
  <c r="N1299" i="1"/>
  <c r="X1298" i="1"/>
  <c r="N1298" i="1"/>
  <c r="X1297" i="1"/>
  <c r="N1297" i="1"/>
  <c r="X1296" i="1"/>
  <c r="N1296" i="1"/>
  <c r="X1295" i="1"/>
  <c r="N1295" i="1"/>
  <c r="X1294" i="1"/>
  <c r="N1294" i="1"/>
  <c r="X1293" i="1"/>
  <c r="N1293" i="1"/>
  <c r="X1292" i="1"/>
  <c r="N1292" i="1"/>
  <c r="X1291" i="1"/>
  <c r="N1291" i="1"/>
  <c r="X1290" i="1"/>
  <c r="N1290" i="1"/>
  <c r="X1289" i="1"/>
  <c r="N1289" i="1"/>
  <c r="X1288" i="1"/>
  <c r="N1288" i="1"/>
  <c r="X1287" i="1"/>
  <c r="N1287" i="1"/>
  <c r="X1286" i="1"/>
  <c r="N1286" i="1"/>
  <c r="X1285" i="1"/>
  <c r="N1285" i="1"/>
  <c r="X1284" i="1"/>
  <c r="N1284" i="1"/>
  <c r="X1283" i="1"/>
  <c r="N1283" i="1"/>
  <c r="X1282" i="1"/>
  <c r="N1282" i="1"/>
  <c r="X1281" i="1"/>
  <c r="N1281" i="1"/>
  <c r="X1280" i="1"/>
  <c r="N1280" i="1"/>
  <c r="X1279" i="1"/>
  <c r="N1279" i="1"/>
  <c r="X1278" i="1"/>
  <c r="N1278" i="1"/>
  <c r="X1277" i="1"/>
  <c r="N1277" i="1"/>
  <c r="X1276" i="1"/>
  <c r="N1276" i="1"/>
  <c r="X1275" i="1"/>
  <c r="N1275" i="1"/>
  <c r="X1274" i="1"/>
  <c r="N1274" i="1"/>
  <c r="X1273" i="1"/>
  <c r="N1273" i="1"/>
  <c r="X1272" i="1"/>
  <c r="N1272" i="1"/>
  <c r="X1271" i="1"/>
  <c r="N1271" i="1"/>
  <c r="X1270" i="1"/>
  <c r="N1270" i="1"/>
  <c r="X1269" i="1"/>
  <c r="N1269" i="1"/>
  <c r="X1268" i="1"/>
  <c r="N1268" i="1"/>
  <c r="X1267" i="1"/>
  <c r="N1267" i="1"/>
  <c r="X1266" i="1"/>
  <c r="N1266" i="1"/>
  <c r="X1265" i="1"/>
  <c r="N1265" i="1"/>
  <c r="X1264" i="1"/>
  <c r="N1264" i="1"/>
  <c r="X1263" i="1"/>
  <c r="N1263" i="1"/>
  <c r="X1262" i="1"/>
  <c r="N1262" i="1"/>
  <c r="X1261" i="1"/>
  <c r="N1261" i="1"/>
  <c r="X1260" i="1"/>
  <c r="N1260" i="1"/>
  <c r="X1259" i="1"/>
  <c r="N1259" i="1"/>
  <c r="X1258" i="1"/>
  <c r="N1258" i="1"/>
  <c r="X1257" i="1"/>
  <c r="N1257" i="1"/>
  <c r="X1256" i="1"/>
  <c r="N1256" i="1"/>
  <c r="X1255" i="1"/>
  <c r="N1255" i="1"/>
  <c r="X1254" i="1"/>
  <c r="N1254" i="1"/>
  <c r="X1253" i="1"/>
  <c r="N1253" i="1"/>
  <c r="X1252" i="1"/>
  <c r="N1252" i="1"/>
  <c r="X1251" i="1"/>
  <c r="N1251" i="1"/>
  <c r="X1250" i="1"/>
  <c r="N1250" i="1"/>
  <c r="X1249" i="1"/>
  <c r="N1249" i="1"/>
  <c r="X1248" i="1"/>
  <c r="N1248" i="1"/>
  <c r="X1247" i="1"/>
  <c r="N1247" i="1"/>
  <c r="X1246" i="1"/>
  <c r="N1246" i="1"/>
  <c r="X1245" i="1"/>
  <c r="N1245" i="1"/>
  <c r="X1244" i="1"/>
  <c r="N1244" i="1"/>
  <c r="X1243" i="1"/>
  <c r="N1243" i="1"/>
  <c r="X1242" i="1"/>
  <c r="N1242" i="1"/>
  <c r="X1241" i="1"/>
  <c r="N1241" i="1"/>
  <c r="X1240" i="1"/>
  <c r="N1240" i="1"/>
  <c r="X1239" i="1"/>
  <c r="N1239" i="1"/>
  <c r="X1238" i="1"/>
  <c r="N1238" i="1"/>
  <c r="X1237" i="1"/>
  <c r="N1237" i="1"/>
  <c r="X1236" i="1"/>
  <c r="N1236" i="1"/>
  <c r="X1235" i="1"/>
  <c r="N1235" i="1"/>
  <c r="X1234" i="1"/>
  <c r="N1234" i="1"/>
  <c r="X1233" i="1"/>
  <c r="N1233" i="1"/>
  <c r="X1232" i="1"/>
  <c r="N1232" i="1"/>
  <c r="X1231" i="1"/>
  <c r="N1231" i="1"/>
  <c r="X1230" i="1"/>
  <c r="N1230" i="1"/>
  <c r="X1229" i="1"/>
  <c r="N1229" i="1"/>
  <c r="X1228" i="1"/>
  <c r="N1228" i="1"/>
  <c r="X1227" i="1"/>
  <c r="N1227" i="1"/>
  <c r="X1226" i="1"/>
  <c r="N1226" i="1"/>
  <c r="X1225"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X1201" i="1"/>
  <c r="N1201" i="1"/>
  <c r="X1200" i="1"/>
  <c r="N1200" i="1"/>
  <c r="N1199" i="1"/>
  <c r="X1198" i="1"/>
  <c r="N1198" i="1"/>
  <c r="X1197" i="1"/>
  <c r="N1197" i="1"/>
  <c r="X1196" i="1"/>
  <c r="N1196" i="1"/>
  <c r="X1195" i="1"/>
  <c r="N1195" i="1"/>
  <c r="X1194" i="1"/>
  <c r="N1194" i="1"/>
  <c r="X1193" i="1"/>
  <c r="N1193" i="1"/>
  <c r="X1192" i="1"/>
  <c r="N1192" i="1"/>
  <c r="X1191" i="1"/>
  <c r="N1191" i="1"/>
  <c r="X1190" i="1"/>
  <c r="N1190" i="1"/>
  <c r="X1189" i="1"/>
  <c r="N1189" i="1"/>
  <c r="X1188" i="1"/>
  <c r="N1188" i="1"/>
  <c r="X1187" i="1"/>
  <c r="N1187" i="1"/>
  <c r="X1186" i="1"/>
  <c r="N1186" i="1"/>
  <c r="X1185" i="1"/>
  <c r="N1185" i="1"/>
  <c r="X1184" i="1"/>
  <c r="N1184" i="1"/>
  <c r="X1183" i="1"/>
  <c r="N1183" i="1"/>
  <c r="X1182" i="1"/>
  <c r="N1182" i="1"/>
  <c r="X1181" i="1"/>
  <c r="N1181" i="1"/>
  <c r="X1180" i="1"/>
  <c r="N1180" i="1"/>
  <c r="X1179" i="1"/>
  <c r="N1179" i="1"/>
  <c r="X1178" i="1"/>
  <c r="N1178" i="1"/>
  <c r="X1177" i="1"/>
  <c r="N1177" i="1"/>
  <c r="X1176" i="1"/>
  <c r="N1176" i="1"/>
  <c r="X1175" i="1"/>
  <c r="N1175" i="1"/>
  <c r="X1174" i="1"/>
  <c r="N1174" i="1"/>
  <c r="X1173" i="1"/>
  <c r="N1173" i="1"/>
  <c r="X1172" i="1"/>
  <c r="N1172" i="1"/>
  <c r="X1171" i="1"/>
  <c r="N1171" i="1"/>
  <c r="X1170" i="1"/>
  <c r="N1170" i="1"/>
  <c r="X1169" i="1"/>
  <c r="N1169" i="1"/>
  <c r="X1168" i="1"/>
  <c r="N1168" i="1"/>
  <c r="X1167" i="1"/>
  <c r="N1167" i="1"/>
  <c r="X1166" i="1"/>
  <c r="N1166" i="1"/>
  <c r="X1165" i="1"/>
  <c r="N1165" i="1"/>
  <c r="X1164" i="1"/>
  <c r="N1164" i="1"/>
  <c r="X1163" i="1"/>
  <c r="N1163" i="1"/>
  <c r="X1162" i="1"/>
  <c r="N1162" i="1"/>
  <c r="X1161" i="1"/>
  <c r="N1161" i="1"/>
  <c r="X1160" i="1"/>
  <c r="N1160" i="1"/>
  <c r="X1159" i="1"/>
  <c r="N1159" i="1"/>
  <c r="X1158" i="1"/>
  <c r="N1158" i="1"/>
  <c r="X1157" i="1"/>
  <c r="N1157" i="1"/>
  <c r="X1156" i="1"/>
  <c r="N1156" i="1"/>
  <c r="X1155" i="1"/>
  <c r="N1155" i="1"/>
  <c r="X1154" i="1"/>
  <c r="N1154" i="1"/>
  <c r="X1153" i="1"/>
  <c r="N1153" i="1"/>
  <c r="X1152" i="1"/>
  <c r="N1152" i="1"/>
  <c r="X1151" i="1"/>
  <c r="N1151" i="1"/>
  <c r="X1150" i="1"/>
  <c r="N1150" i="1"/>
  <c r="X1149" i="1"/>
  <c r="N1149" i="1"/>
  <c r="X1148" i="1"/>
  <c r="N1148" i="1"/>
  <c r="X1147" i="1"/>
  <c r="N1147" i="1"/>
  <c r="X1146" i="1"/>
  <c r="N1146" i="1"/>
  <c r="X1145" i="1"/>
  <c r="N1145" i="1"/>
  <c r="X1144" i="1"/>
  <c r="N1144" i="1"/>
  <c r="X1143" i="1"/>
  <c r="N1143" i="1"/>
  <c r="X1142" i="1"/>
  <c r="N1142" i="1"/>
  <c r="X1141" i="1"/>
  <c r="N1141" i="1"/>
  <c r="X1140" i="1"/>
  <c r="N1140" i="1"/>
  <c r="X1139" i="1"/>
  <c r="N1139" i="1"/>
  <c r="X1138" i="1"/>
  <c r="N1138" i="1"/>
  <c r="X1137" i="1"/>
  <c r="N1137" i="1"/>
  <c r="X1136" i="1"/>
  <c r="N1136" i="1"/>
  <c r="X1135" i="1"/>
  <c r="N1135" i="1"/>
  <c r="X1134" i="1"/>
  <c r="N1134" i="1"/>
  <c r="X1133" i="1"/>
  <c r="N1133" i="1"/>
  <c r="X1132" i="1"/>
  <c r="N1132" i="1"/>
  <c r="X1131" i="1"/>
  <c r="N1131" i="1"/>
  <c r="X1130" i="1"/>
  <c r="N1130" i="1"/>
  <c r="X1129" i="1"/>
  <c r="N1129" i="1"/>
  <c r="X1128" i="1"/>
  <c r="N1128" i="1"/>
  <c r="X1127" i="1"/>
  <c r="N1127" i="1"/>
  <c r="X1126" i="1"/>
  <c r="N1126" i="1"/>
  <c r="X1125" i="1"/>
  <c r="N1125" i="1"/>
  <c r="X1124" i="1"/>
  <c r="N1124" i="1"/>
  <c r="X1123" i="1"/>
  <c r="N1123" i="1"/>
  <c r="X1122" i="1"/>
  <c r="N1122" i="1"/>
  <c r="X1121" i="1"/>
  <c r="N1121" i="1"/>
  <c r="X1120" i="1"/>
  <c r="N1120" i="1"/>
  <c r="X1119" i="1"/>
  <c r="N1119" i="1"/>
  <c r="X1118" i="1"/>
  <c r="N1118" i="1"/>
  <c r="X1117" i="1"/>
  <c r="N1117" i="1"/>
  <c r="X1116" i="1"/>
  <c r="N1116" i="1"/>
  <c r="X1115" i="1"/>
  <c r="N1115" i="1"/>
  <c r="X1114" i="1"/>
  <c r="N1114" i="1"/>
  <c r="X1113" i="1"/>
  <c r="N1113" i="1"/>
  <c r="X1112" i="1"/>
  <c r="N1112" i="1"/>
  <c r="X1111" i="1"/>
  <c r="N1111" i="1"/>
  <c r="X1110" i="1"/>
  <c r="N1110" i="1"/>
  <c r="X1109" i="1"/>
  <c r="N1109" i="1"/>
  <c r="X1108" i="1"/>
  <c r="N1108" i="1"/>
  <c r="X1107" i="1"/>
  <c r="N1107" i="1"/>
  <c r="X1106" i="1"/>
  <c r="N1106" i="1"/>
  <c r="X1105" i="1"/>
  <c r="N1105" i="1"/>
  <c r="X1104" i="1"/>
  <c r="N1104" i="1"/>
  <c r="X1103" i="1"/>
  <c r="N1103" i="1"/>
  <c r="X1102" i="1"/>
  <c r="N1102" i="1"/>
  <c r="X1101" i="1"/>
  <c r="N1101" i="1"/>
  <c r="X1100" i="1"/>
  <c r="N1100" i="1"/>
  <c r="X1099" i="1"/>
  <c r="N1099" i="1"/>
  <c r="X1098" i="1"/>
  <c r="N1098" i="1"/>
  <c r="X1097" i="1"/>
  <c r="N1097" i="1"/>
  <c r="X1096" i="1"/>
  <c r="N1096" i="1"/>
  <c r="X1095" i="1"/>
  <c r="N1095" i="1"/>
  <c r="X1094" i="1"/>
  <c r="N1094" i="1"/>
  <c r="X1093" i="1"/>
  <c r="N1093" i="1"/>
  <c r="X1092" i="1"/>
  <c r="N1092" i="1"/>
  <c r="X1091" i="1"/>
  <c r="N1091" i="1"/>
  <c r="X1090" i="1"/>
  <c r="N1090" i="1"/>
  <c r="X1089" i="1"/>
  <c r="N1089" i="1"/>
  <c r="X1088" i="1"/>
  <c r="N1088" i="1"/>
  <c r="X1087" i="1"/>
  <c r="N1087" i="1"/>
  <c r="X1086" i="1"/>
  <c r="N1086" i="1"/>
  <c r="X1085" i="1"/>
  <c r="N1085" i="1"/>
  <c r="X1084" i="1"/>
  <c r="N1084" i="1"/>
  <c r="X1083" i="1"/>
  <c r="N1083" i="1"/>
  <c r="X1082" i="1"/>
  <c r="N1082" i="1"/>
  <c r="X1081" i="1"/>
  <c r="N1081" i="1"/>
  <c r="X1080" i="1"/>
  <c r="N1080" i="1"/>
  <c r="X1079" i="1"/>
  <c r="N1079" i="1"/>
  <c r="X1078" i="1"/>
  <c r="N1078" i="1"/>
  <c r="X1077" i="1"/>
  <c r="N1077" i="1"/>
  <c r="X1076" i="1"/>
  <c r="N1076" i="1"/>
  <c r="X1075" i="1"/>
  <c r="N1075" i="1"/>
  <c r="X1074" i="1"/>
  <c r="N1074" i="1"/>
  <c r="X1073" i="1"/>
  <c r="N1073" i="1"/>
  <c r="X1072" i="1"/>
  <c r="N1072" i="1"/>
  <c r="X1071" i="1"/>
  <c r="N1071" i="1"/>
  <c r="X1070" i="1"/>
  <c r="N1070" i="1"/>
  <c r="X1069" i="1"/>
  <c r="N1069" i="1"/>
  <c r="X1068" i="1"/>
  <c r="N1068" i="1"/>
  <c r="X1067" i="1"/>
  <c r="N1067" i="1"/>
  <c r="X1066" i="1"/>
  <c r="N1066" i="1"/>
  <c r="X1065" i="1"/>
  <c r="N1065" i="1"/>
  <c r="X1064" i="1"/>
  <c r="N1064" i="1"/>
  <c r="X1063" i="1"/>
  <c r="N1063" i="1"/>
  <c r="X1062" i="1"/>
  <c r="N1062" i="1"/>
  <c r="X1061" i="1"/>
  <c r="N1061" i="1"/>
  <c r="X1060" i="1"/>
  <c r="N1060" i="1"/>
  <c r="X1059" i="1"/>
  <c r="N1059" i="1"/>
  <c r="X1058" i="1"/>
  <c r="N1058" i="1"/>
  <c r="X1057" i="1"/>
  <c r="N1057" i="1"/>
  <c r="X1056" i="1"/>
  <c r="N1056" i="1"/>
  <c r="X1055" i="1"/>
  <c r="N1055" i="1"/>
  <c r="X1054" i="1"/>
  <c r="N1054" i="1"/>
  <c r="X1053" i="1"/>
  <c r="N1053" i="1"/>
  <c r="X1052" i="1"/>
  <c r="N1052" i="1"/>
  <c r="X1051" i="1"/>
  <c r="N1051" i="1"/>
  <c r="X1050" i="1"/>
  <c r="N1050" i="1"/>
  <c r="X1049" i="1"/>
  <c r="N1049" i="1"/>
  <c r="X1048" i="1"/>
  <c r="N1048" i="1"/>
  <c r="X1047" i="1"/>
  <c r="N1047" i="1"/>
  <c r="X1046" i="1"/>
  <c r="N1046" i="1"/>
  <c r="X1045" i="1"/>
  <c r="N1045" i="1"/>
  <c r="X1044" i="1"/>
  <c r="N1044" i="1"/>
  <c r="X1043" i="1"/>
  <c r="N1043" i="1"/>
  <c r="X1042" i="1"/>
  <c r="N1042" i="1"/>
  <c r="X1041" i="1"/>
  <c r="N1041" i="1"/>
  <c r="X1040" i="1"/>
  <c r="N1040" i="1"/>
  <c r="X1039" i="1"/>
  <c r="N1039" i="1"/>
  <c r="X1038" i="1"/>
  <c r="N1038" i="1"/>
  <c r="X1037" i="1"/>
  <c r="N1037" i="1"/>
  <c r="X1036" i="1"/>
  <c r="N1036" i="1"/>
  <c r="X1035" i="1"/>
  <c r="N1035" i="1"/>
  <c r="X1034" i="1"/>
  <c r="N1034" i="1"/>
  <c r="X1033" i="1"/>
  <c r="N1033" i="1"/>
  <c r="X1032" i="1"/>
  <c r="N1032" i="1"/>
  <c r="X1031" i="1"/>
  <c r="N1031" i="1"/>
  <c r="X1030" i="1"/>
  <c r="N1030" i="1"/>
  <c r="X1029" i="1"/>
  <c r="N1029" i="1"/>
  <c r="X1028" i="1"/>
  <c r="N1028" i="1"/>
  <c r="X1027" i="1"/>
  <c r="N1027" i="1"/>
  <c r="X1026" i="1"/>
  <c r="N1026" i="1"/>
  <c r="X1025" i="1"/>
  <c r="N1025" i="1"/>
  <c r="X1024" i="1"/>
  <c r="N1024" i="1"/>
  <c r="X1023" i="1"/>
  <c r="N1023" i="1"/>
  <c r="X1022" i="1"/>
  <c r="N1022" i="1"/>
  <c r="X1021" i="1"/>
  <c r="N1021" i="1"/>
  <c r="X1020" i="1"/>
  <c r="N1020" i="1"/>
  <c r="X1019" i="1"/>
  <c r="N1019" i="1"/>
  <c r="X1018" i="1"/>
  <c r="N1018" i="1"/>
  <c r="X1017" i="1"/>
  <c r="N1017" i="1"/>
  <c r="X1016" i="1"/>
  <c r="N1016" i="1"/>
  <c r="X1015" i="1"/>
  <c r="N1015" i="1"/>
  <c r="X1014" i="1"/>
  <c r="N1014" i="1"/>
  <c r="X1013" i="1"/>
  <c r="N1013" i="1"/>
  <c r="X1012" i="1"/>
  <c r="N1012" i="1"/>
  <c r="X1011" i="1"/>
  <c r="N1011" i="1"/>
  <c r="N1010" i="1"/>
  <c r="X1009" i="1"/>
  <c r="N1009" i="1"/>
  <c r="X1008" i="1"/>
  <c r="N1008" i="1"/>
  <c r="X1007" i="1"/>
  <c r="N1007" i="1"/>
  <c r="X1006" i="1"/>
  <c r="N1006" i="1"/>
  <c r="X1005" i="1"/>
  <c r="N1005" i="1"/>
  <c r="X1004" i="1"/>
  <c r="N1004" i="1"/>
  <c r="X1003" i="1"/>
  <c r="N1003" i="1"/>
  <c r="X1002" i="1"/>
  <c r="N1002" i="1"/>
  <c r="X1001" i="1"/>
  <c r="N1001" i="1"/>
  <c r="X1000" i="1"/>
  <c r="N1000" i="1"/>
  <c r="X999" i="1"/>
  <c r="N999" i="1"/>
  <c r="X998" i="1"/>
  <c r="N998" i="1"/>
  <c r="X997" i="1"/>
  <c r="N997" i="1"/>
  <c r="X996" i="1"/>
  <c r="N996" i="1"/>
  <c r="X995" i="1"/>
  <c r="N995" i="1"/>
  <c r="X994" i="1"/>
  <c r="N994" i="1"/>
  <c r="X993" i="1"/>
  <c r="N993" i="1"/>
  <c r="X992" i="1"/>
  <c r="N992" i="1"/>
  <c r="X991" i="1"/>
  <c r="N991" i="1"/>
  <c r="X990" i="1"/>
  <c r="N990" i="1"/>
  <c r="X989" i="1"/>
  <c r="N989" i="1"/>
  <c r="X988" i="1"/>
  <c r="N988" i="1"/>
  <c r="X987" i="1"/>
  <c r="N987" i="1"/>
  <c r="X986" i="1"/>
  <c r="N986" i="1"/>
  <c r="X985" i="1"/>
  <c r="N985" i="1"/>
  <c r="X984" i="1"/>
  <c r="N984" i="1"/>
  <c r="X983" i="1"/>
  <c r="N983" i="1"/>
  <c r="X982" i="1"/>
  <c r="N982" i="1"/>
  <c r="X981" i="1"/>
  <c r="N981" i="1"/>
  <c r="X980" i="1"/>
  <c r="N980" i="1"/>
  <c r="X979" i="1"/>
  <c r="N979" i="1"/>
  <c r="X978" i="1"/>
  <c r="N978" i="1"/>
  <c r="X977" i="1"/>
  <c r="N977" i="1"/>
  <c r="X976" i="1"/>
  <c r="N976" i="1"/>
  <c r="X975" i="1"/>
  <c r="N975" i="1"/>
  <c r="X974" i="1"/>
  <c r="N974" i="1"/>
  <c r="X973" i="1"/>
  <c r="N973" i="1"/>
  <c r="X972" i="1"/>
  <c r="N972" i="1"/>
  <c r="X971" i="1"/>
  <c r="N971" i="1"/>
  <c r="X970" i="1"/>
  <c r="N970" i="1"/>
  <c r="X969" i="1"/>
  <c r="N969" i="1"/>
  <c r="X968" i="1"/>
  <c r="N968" i="1"/>
  <c r="X967" i="1"/>
  <c r="N967" i="1"/>
  <c r="X966" i="1"/>
  <c r="N966" i="1"/>
  <c r="X965" i="1"/>
  <c r="N965" i="1"/>
  <c r="X964" i="1"/>
  <c r="N964" i="1"/>
  <c r="X963" i="1"/>
  <c r="N963" i="1"/>
  <c r="X962" i="1"/>
  <c r="N962" i="1"/>
  <c r="X961" i="1"/>
  <c r="N961" i="1"/>
  <c r="X960" i="1"/>
  <c r="N960" i="1"/>
  <c r="X959" i="1"/>
  <c r="N959" i="1"/>
  <c r="X958" i="1"/>
  <c r="N958" i="1"/>
  <c r="X957" i="1"/>
  <c r="N957" i="1"/>
  <c r="X956" i="1"/>
  <c r="N956" i="1"/>
  <c r="X955" i="1"/>
  <c r="N955" i="1"/>
  <c r="X954" i="1"/>
  <c r="N954" i="1"/>
  <c r="X953" i="1"/>
  <c r="N953" i="1"/>
  <c r="X952" i="1"/>
  <c r="N952" i="1"/>
  <c r="X951" i="1"/>
  <c r="N951" i="1"/>
  <c r="X950" i="1"/>
  <c r="N950" i="1"/>
  <c r="N949" i="1"/>
  <c r="X948" i="1"/>
  <c r="N948" i="1"/>
  <c r="X947" i="1"/>
  <c r="N947" i="1"/>
  <c r="X946" i="1"/>
  <c r="N946" i="1"/>
  <c r="X945" i="1"/>
  <c r="N945" i="1"/>
  <c r="X944" i="1"/>
  <c r="N944" i="1"/>
  <c r="X943" i="1"/>
  <c r="N943" i="1"/>
  <c r="X942" i="1"/>
  <c r="N942" i="1"/>
  <c r="X941" i="1"/>
  <c r="N941" i="1"/>
  <c r="X940" i="1"/>
  <c r="N940" i="1"/>
  <c r="X939" i="1"/>
  <c r="N939" i="1"/>
  <c r="X938" i="1"/>
  <c r="N938" i="1"/>
  <c r="X937" i="1"/>
  <c r="N937" i="1"/>
  <c r="X936" i="1"/>
  <c r="N936" i="1"/>
  <c r="X935" i="1"/>
  <c r="N935" i="1"/>
  <c r="X934" i="1"/>
  <c r="N934" i="1"/>
  <c r="X933" i="1"/>
  <c r="N933" i="1"/>
  <c r="X932" i="1"/>
  <c r="N932" i="1"/>
  <c r="X931" i="1"/>
  <c r="N931" i="1"/>
  <c r="X930" i="1"/>
  <c r="N930" i="1"/>
  <c r="X929" i="1"/>
  <c r="N929" i="1"/>
  <c r="X928" i="1"/>
  <c r="N928" i="1"/>
  <c r="X927" i="1"/>
  <c r="N927" i="1"/>
  <c r="X926" i="1"/>
  <c r="N926" i="1"/>
  <c r="X925" i="1"/>
  <c r="N925" i="1"/>
  <c r="X924" i="1"/>
  <c r="N924" i="1"/>
  <c r="X923" i="1"/>
  <c r="N923" i="1"/>
  <c r="X922" i="1"/>
  <c r="N922" i="1"/>
  <c r="X921" i="1"/>
  <c r="N921" i="1"/>
  <c r="X920" i="1"/>
  <c r="N920" i="1"/>
  <c r="X919" i="1"/>
  <c r="N919" i="1"/>
  <c r="X918" i="1"/>
  <c r="N918" i="1"/>
  <c r="X917" i="1"/>
  <c r="N917" i="1"/>
  <c r="X916" i="1"/>
  <c r="N916" i="1"/>
  <c r="X915" i="1"/>
  <c r="N915" i="1"/>
  <c r="X914" i="1"/>
  <c r="N914" i="1"/>
  <c r="X913" i="1"/>
  <c r="N913" i="1"/>
  <c r="X912" i="1"/>
  <c r="N912" i="1"/>
  <c r="X911" i="1"/>
  <c r="N911" i="1"/>
  <c r="X910" i="1"/>
  <c r="N910" i="1"/>
  <c r="X909" i="1"/>
  <c r="N909" i="1"/>
  <c r="X908" i="1"/>
  <c r="N908" i="1"/>
  <c r="X907" i="1"/>
  <c r="N907" i="1"/>
  <c r="X906" i="1"/>
  <c r="N906" i="1"/>
  <c r="X905" i="1"/>
  <c r="N905" i="1"/>
  <c r="X904" i="1"/>
  <c r="N904" i="1"/>
  <c r="X903" i="1"/>
  <c r="N903" i="1"/>
  <c r="X902" i="1"/>
  <c r="N902" i="1"/>
  <c r="X901" i="1"/>
  <c r="N901" i="1"/>
  <c r="X900" i="1"/>
  <c r="N900" i="1"/>
  <c r="X899" i="1"/>
  <c r="N899" i="1"/>
  <c r="X898" i="1"/>
  <c r="N898" i="1"/>
  <c r="X897" i="1"/>
  <c r="N897" i="1"/>
  <c r="X896" i="1"/>
  <c r="N896" i="1"/>
  <c r="X895" i="1"/>
  <c r="N895" i="1"/>
  <c r="X894" i="1"/>
  <c r="N894" i="1"/>
  <c r="X893" i="1"/>
  <c r="N893" i="1"/>
  <c r="X892" i="1"/>
  <c r="N892" i="1"/>
  <c r="X891" i="1"/>
  <c r="N891" i="1"/>
  <c r="X890" i="1"/>
  <c r="N890" i="1"/>
  <c r="X889" i="1"/>
  <c r="N889" i="1"/>
  <c r="X888" i="1"/>
  <c r="N888" i="1"/>
  <c r="X887" i="1"/>
  <c r="N887" i="1"/>
  <c r="X886" i="1"/>
  <c r="N886" i="1"/>
  <c r="X885" i="1"/>
  <c r="N885" i="1"/>
  <c r="X884" i="1"/>
  <c r="N884" i="1"/>
  <c r="X883" i="1"/>
  <c r="N883" i="1"/>
  <c r="X882" i="1"/>
  <c r="N882" i="1"/>
  <c r="X881" i="1"/>
  <c r="N881" i="1"/>
  <c r="X880" i="1"/>
  <c r="N880" i="1"/>
  <c r="X879" i="1"/>
  <c r="N879" i="1"/>
  <c r="X878" i="1"/>
  <c r="N878" i="1"/>
  <c r="X877" i="1"/>
  <c r="N877" i="1"/>
  <c r="X876" i="1"/>
  <c r="N876" i="1"/>
  <c r="X875" i="1"/>
  <c r="N875" i="1"/>
  <c r="X874" i="1"/>
  <c r="N874" i="1"/>
  <c r="X873" i="1"/>
  <c r="N873" i="1"/>
  <c r="X872" i="1"/>
  <c r="N872" i="1"/>
  <c r="X871" i="1"/>
  <c r="N871" i="1"/>
  <c r="X870" i="1"/>
  <c r="N870" i="1"/>
  <c r="X869" i="1"/>
  <c r="N869" i="1"/>
  <c r="X868" i="1"/>
  <c r="N868" i="1"/>
  <c r="X867" i="1"/>
  <c r="N867" i="1"/>
  <c r="X866" i="1"/>
  <c r="N866" i="1"/>
  <c r="X865" i="1"/>
  <c r="N865" i="1"/>
  <c r="X864" i="1"/>
  <c r="N864" i="1"/>
  <c r="X863" i="1"/>
  <c r="N863" i="1"/>
  <c r="X862" i="1"/>
  <c r="N862" i="1"/>
  <c r="X861" i="1"/>
  <c r="N861" i="1"/>
  <c r="X860" i="1"/>
  <c r="N860" i="1"/>
  <c r="X859" i="1"/>
  <c r="N859" i="1"/>
  <c r="X858" i="1"/>
  <c r="N858" i="1"/>
  <c r="X857" i="1"/>
  <c r="N857" i="1"/>
  <c r="X856" i="1"/>
  <c r="N856" i="1"/>
  <c r="X855" i="1"/>
  <c r="N855" i="1"/>
  <c r="X854" i="1"/>
  <c r="N854" i="1"/>
  <c r="X853" i="1"/>
  <c r="N853" i="1"/>
  <c r="X852" i="1"/>
  <c r="N852" i="1"/>
  <c r="X851" i="1"/>
  <c r="N851" i="1"/>
  <c r="X850" i="1"/>
  <c r="N850" i="1"/>
  <c r="X849" i="1"/>
  <c r="N849" i="1"/>
  <c r="X848" i="1"/>
  <c r="N848" i="1"/>
  <c r="X847" i="1"/>
  <c r="N847" i="1"/>
  <c r="X846" i="1"/>
  <c r="N846" i="1"/>
  <c r="X845" i="1"/>
  <c r="N845" i="1"/>
  <c r="X844" i="1"/>
  <c r="N844" i="1"/>
  <c r="X843" i="1"/>
  <c r="N843" i="1"/>
  <c r="X842" i="1"/>
  <c r="N842" i="1"/>
  <c r="X841" i="1"/>
  <c r="N841" i="1"/>
  <c r="X840" i="1"/>
  <c r="N840" i="1"/>
  <c r="X839" i="1"/>
  <c r="N839" i="1"/>
  <c r="X838" i="1"/>
  <c r="N838" i="1"/>
  <c r="X837" i="1"/>
  <c r="N837" i="1"/>
  <c r="X836" i="1"/>
  <c r="N836" i="1"/>
  <c r="X835" i="1"/>
  <c r="N835" i="1"/>
  <c r="X834" i="1"/>
  <c r="N834" i="1"/>
  <c r="X833" i="1"/>
  <c r="N833" i="1"/>
  <c r="X832" i="1"/>
  <c r="N832" i="1"/>
  <c r="X831" i="1"/>
  <c r="N831" i="1"/>
  <c r="X830" i="1"/>
  <c r="N830" i="1"/>
  <c r="X829" i="1"/>
  <c r="N829" i="1"/>
  <c r="X828" i="1"/>
  <c r="N828" i="1"/>
  <c r="X827" i="1"/>
  <c r="N827" i="1"/>
  <c r="X826" i="1"/>
  <c r="N826" i="1"/>
  <c r="X825" i="1"/>
  <c r="N825" i="1"/>
  <c r="X824" i="1"/>
  <c r="N824" i="1"/>
  <c r="X823" i="1"/>
  <c r="N823" i="1"/>
  <c r="X822" i="1"/>
  <c r="N822" i="1"/>
  <c r="X821" i="1"/>
  <c r="N821" i="1"/>
  <c r="X820" i="1"/>
  <c r="N820" i="1"/>
  <c r="X819" i="1"/>
  <c r="N819" i="1"/>
  <c r="X818" i="1"/>
  <c r="N818" i="1"/>
  <c r="X817" i="1"/>
  <c r="N817" i="1"/>
  <c r="X816" i="1"/>
  <c r="N816" i="1"/>
  <c r="X815" i="1"/>
  <c r="N815" i="1"/>
  <c r="X814" i="1"/>
  <c r="N814" i="1"/>
  <c r="X813" i="1"/>
  <c r="N813" i="1"/>
  <c r="X812" i="1"/>
  <c r="N812" i="1"/>
  <c r="X811" i="1"/>
  <c r="N811" i="1"/>
  <c r="X810" i="1"/>
  <c r="N810" i="1"/>
  <c r="X809" i="1"/>
  <c r="N809" i="1"/>
  <c r="X808" i="1"/>
  <c r="N808" i="1"/>
  <c r="X807" i="1"/>
  <c r="N807" i="1"/>
  <c r="X806" i="1"/>
  <c r="N806" i="1"/>
  <c r="X805" i="1"/>
  <c r="N805" i="1"/>
  <c r="X804" i="1"/>
  <c r="N804" i="1"/>
  <c r="X803" i="1"/>
  <c r="N803" i="1"/>
  <c r="X802" i="1"/>
  <c r="N802" i="1"/>
  <c r="X801" i="1"/>
  <c r="N801" i="1"/>
  <c r="X800" i="1"/>
  <c r="N800" i="1"/>
  <c r="X799" i="1"/>
  <c r="N799" i="1"/>
  <c r="X798" i="1"/>
  <c r="N798" i="1"/>
  <c r="X797" i="1"/>
  <c r="N797" i="1"/>
  <c r="X796" i="1"/>
  <c r="N796" i="1"/>
  <c r="X795" i="1"/>
  <c r="N795" i="1"/>
  <c r="X794" i="1"/>
  <c r="N794" i="1"/>
  <c r="X793" i="1"/>
  <c r="N793" i="1"/>
  <c r="X792" i="1"/>
  <c r="N792" i="1"/>
  <c r="X791" i="1"/>
  <c r="N791" i="1"/>
  <c r="X790" i="1"/>
  <c r="N790" i="1"/>
  <c r="X789" i="1"/>
  <c r="N789" i="1"/>
  <c r="X788" i="1"/>
  <c r="N788" i="1"/>
  <c r="X787" i="1"/>
  <c r="N787" i="1"/>
  <c r="X786" i="1"/>
  <c r="N786" i="1"/>
  <c r="X785" i="1"/>
  <c r="N785" i="1"/>
  <c r="X784" i="1"/>
  <c r="N784" i="1"/>
  <c r="X783" i="1"/>
  <c r="N783" i="1"/>
  <c r="X782" i="1"/>
  <c r="N782" i="1"/>
  <c r="X781" i="1"/>
  <c r="N781" i="1"/>
  <c r="X780" i="1"/>
  <c r="N780" i="1"/>
  <c r="X779" i="1"/>
  <c r="N779" i="1"/>
  <c r="X778" i="1"/>
  <c r="N778" i="1"/>
  <c r="X777" i="1"/>
  <c r="N777" i="1"/>
  <c r="X776" i="1"/>
  <c r="N776" i="1"/>
  <c r="X775" i="1"/>
  <c r="N775" i="1"/>
  <c r="X774" i="1"/>
  <c r="N774" i="1"/>
  <c r="X773" i="1"/>
  <c r="N773" i="1"/>
  <c r="X772" i="1"/>
  <c r="N772" i="1"/>
  <c r="X771" i="1"/>
  <c r="N771" i="1"/>
  <c r="X770" i="1"/>
  <c r="N770" i="1"/>
  <c r="X769" i="1"/>
  <c r="N769" i="1"/>
  <c r="X768" i="1"/>
  <c r="N768" i="1"/>
  <c r="X767" i="1"/>
  <c r="N767" i="1"/>
  <c r="X766" i="1"/>
  <c r="N766" i="1"/>
  <c r="X765" i="1"/>
  <c r="N765" i="1"/>
  <c r="X764" i="1"/>
  <c r="N764" i="1"/>
  <c r="X763" i="1"/>
  <c r="N763" i="1"/>
  <c r="X762" i="1"/>
  <c r="N762" i="1"/>
  <c r="X761" i="1"/>
  <c r="N761" i="1"/>
  <c r="X760" i="1"/>
  <c r="N760" i="1"/>
  <c r="X759" i="1"/>
  <c r="N759" i="1"/>
  <c r="X758" i="1"/>
  <c r="N758" i="1"/>
  <c r="X757" i="1"/>
  <c r="N757" i="1"/>
  <c r="X756" i="1"/>
  <c r="N756" i="1"/>
  <c r="X755" i="1"/>
  <c r="N755" i="1"/>
  <c r="X754" i="1"/>
  <c r="N754" i="1"/>
  <c r="X753" i="1"/>
  <c r="N753" i="1"/>
  <c r="X752" i="1"/>
  <c r="N752" i="1"/>
  <c r="X751" i="1"/>
  <c r="N751" i="1"/>
  <c r="X750" i="1"/>
  <c r="N750" i="1"/>
  <c r="X749" i="1"/>
  <c r="N749" i="1"/>
  <c r="X748" i="1"/>
  <c r="N748" i="1"/>
  <c r="X747" i="1"/>
  <c r="N747" i="1"/>
  <c r="X746" i="1"/>
  <c r="N746" i="1"/>
  <c r="X745" i="1"/>
  <c r="N745" i="1"/>
  <c r="X744" i="1"/>
  <c r="N744" i="1"/>
  <c r="X743" i="1"/>
  <c r="N743" i="1"/>
  <c r="N742" i="1"/>
  <c r="X741" i="1"/>
  <c r="N741" i="1"/>
  <c r="X740" i="1"/>
  <c r="N740" i="1"/>
  <c r="X739" i="1"/>
  <c r="N739" i="1"/>
  <c r="X738" i="1"/>
  <c r="N738" i="1"/>
  <c r="X737" i="1"/>
  <c r="N737" i="1"/>
  <c r="X736" i="1"/>
  <c r="N736" i="1"/>
  <c r="X735" i="1"/>
  <c r="N735" i="1"/>
  <c r="X734" i="1"/>
  <c r="N734" i="1"/>
  <c r="X733" i="1"/>
  <c r="N733" i="1"/>
  <c r="X732" i="1"/>
  <c r="N732" i="1"/>
  <c r="X731" i="1"/>
  <c r="N731" i="1"/>
  <c r="X730" i="1"/>
  <c r="N730" i="1"/>
  <c r="X729" i="1"/>
  <c r="N729" i="1"/>
  <c r="X728" i="1"/>
  <c r="N728" i="1"/>
  <c r="X727" i="1"/>
  <c r="N727" i="1"/>
  <c r="X726" i="1"/>
  <c r="N726" i="1"/>
  <c r="X725" i="1"/>
  <c r="N725" i="1"/>
  <c r="X724" i="1"/>
  <c r="N724" i="1"/>
  <c r="X723" i="1"/>
  <c r="N723" i="1"/>
  <c r="X722" i="1"/>
  <c r="N722" i="1"/>
  <c r="X721" i="1"/>
  <c r="N721" i="1"/>
  <c r="X720" i="1"/>
  <c r="N720" i="1"/>
  <c r="X719" i="1"/>
  <c r="N719" i="1"/>
  <c r="X718" i="1"/>
  <c r="N718" i="1"/>
  <c r="X717" i="1"/>
  <c r="N717" i="1"/>
  <c r="X716" i="1"/>
  <c r="N716" i="1"/>
  <c r="X715" i="1"/>
  <c r="N715" i="1"/>
  <c r="X714" i="1"/>
  <c r="N714" i="1"/>
  <c r="X713" i="1"/>
  <c r="N713" i="1"/>
  <c r="X712" i="1"/>
  <c r="N712" i="1"/>
  <c r="X711" i="1"/>
  <c r="N711" i="1"/>
  <c r="X710" i="1"/>
  <c r="N710" i="1"/>
  <c r="X709" i="1"/>
  <c r="N709" i="1"/>
  <c r="X708" i="1"/>
  <c r="N708" i="1"/>
  <c r="X707" i="1"/>
  <c r="N707" i="1"/>
  <c r="X706" i="1"/>
  <c r="N706" i="1"/>
  <c r="X705" i="1"/>
  <c r="N705" i="1"/>
  <c r="X704" i="1"/>
  <c r="N704" i="1"/>
  <c r="X703" i="1"/>
  <c r="N703" i="1"/>
  <c r="X702" i="1"/>
  <c r="N702" i="1"/>
  <c r="X701" i="1"/>
  <c r="N701" i="1"/>
  <c r="X700" i="1"/>
  <c r="N700" i="1"/>
  <c r="X699" i="1"/>
  <c r="N699" i="1"/>
  <c r="X698" i="1"/>
  <c r="N698" i="1"/>
  <c r="X697" i="1"/>
  <c r="N697" i="1"/>
  <c r="X696" i="1"/>
  <c r="N696" i="1"/>
  <c r="X695" i="1"/>
  <c r="N695" i="1"/>
  <c r="X694" i="1"/>
  <c r="N694" i="1"/>
  <c r="X693" i="1"/>
  <c r="N693" i="1"/>
  <c r="X692" i="1"/>
  <c r="N692" i="1"/>
  <c r="X691" i="1"/>
  <c r="N691" i="1"/>
  <c r="X690" i="1"/>
  <c r="N690" i="1"/>
  <c r="X689" i="1"/>
  <c r="N689" i="1"/>
  <c r="X688" i="1"/>
  <c r="N688" i="1"/>
  <c r="X687" i="1"/>
  <c r="N687" i="1"/>
  <c r="X686" i="1"/>
  <c r="N686" i="1"/>
  <c r="X685" i="1"/>
  <c r="N685" i="1"/>
  <c r="X684" i="1"/>
  <c r="N684" i="1"/>
  <c r="X683" i="1"/>
  <c r="N683" i="1"/>
  <c r="X682" i="1"/>
  <c r="N682" i="1"/>
  <c r="X681" i="1"/>
  <c r="N681" i="1"/>
  <c r="X680" i="1"/>
  <c r="N680" i="1"/>
  <c r="X679" i="1"/>
  <c r="N679" i="1"/>
  <c r="X678" i="1"/>
  <c r="N678" i="1"/>
  <c r="X677" i="1"/>
  <c r="N677" i="1"/>
  <c r="X676" i="1"/>
  <c r="N676" i="1"/>
  <c r="X675" i="1"/>
  <c r="N675" i="1"/>
  <c r="X674" i="1"/>
  <c r="N674" i="1"/>
  <c r="X673" i="1"/>
  <c r="N673" i="1"/>
  <c r="X672" i="1"/>
  <c r="N672" i="1"/>
  <c r="X671" i="1"/>
  <c r="N671" i="1"/>
  <c r="X670" i="1"/>
  <c r="N670" i="1"/>
  <c r="X669" i="1"/>
  <c r="N669" i="1"/>
  <c r="X668" i="1"/>
  <c r="N668" i="1"/>
  <c r="X667" i="1"/>
  <c r="N667" i="1"/>
  <c r="X666" i="1"/>
  <c r="N666" i="1"/>
  <c r="X665" i="1"/>
  <c r="N665" i="1"/>
  <c r="X664" i="1"/>
  <c r="N664" i="1"/>
  <c r="X663" i="1"/>
  <c r="N663" i="1"/>
  <c r="X662" i="1"/>
  <c r="N662" i="1"/>
  <c r="X661" i="1"/>
  <c r="N661" i="1"/>
  <c r="X660" i="1"/>
  <c r="N660" i="1"/>
  <c r="X659" i="1"/>
  <c r="N659" i="1"/>
  <c r="X658" i="1"/>
  <c r="N658" i="1"/>
  <c r="X657" i="1"/>
  <c r="N657" i="1"/>
  <c r="X656" i="1"/>
  <c r="N656" i="1"/>
  <c r="X655" i="1"/>
  <c r="N655" i="1"/>
  <c r="X654" i="1"/>
  <c r="N654" i="1"/>
  <c r="X653" i="1"/>
  <c r="N653" i="1"/>
  <c r="X652" i="1"/>
  <c r="N652" i="1"/>
  <c r="X651" i="1"/>
  <c r="N651" i="1"/>
  <c r="X650" i="1"/>
  <c r="N650" i="1"/>
  <c r="X649" i="1"/>
  <c r="N649" i="1"/>
  <c r="X648" i="1"/>
  <c r="N648" i="1"/>
  <c r="X647" i="1"/>
  <c r="N647" i="1"/>
  <c r="X646" i="1"/>
  <c r="N646" i="1"/>
  <c r="X645" i="1"/>
  <c r="N645" i="1"/>
  <c r="X644" i="1"/>
  <c r="N644" i="1"/>
  <c r="X643" i="1"/>
  <c r="N643" i="1"/>
  <c r="X642" i="1"/>
  <c r="N642" i="1"/>
  <c r="X641" i="1"/>
  <c r="N641" i="1"/>
  <c r="X640" i="1"/>
  <c r="N640" i="1"/>
  <c r="X639" i="1"/>
  <c r="N639" i="1"/>
  <c r="X638" i="1"/>
  <c r="N638" i="1"/>
  <c r="X637" i="1"/>
  <c r="N637" i="1"/>
  <c r="X636" i="1"/>
  <c r="N636" i="1"/>
  <c r="X635" i="1"/>
  <c r="N635" i="1"/>
  <c r="X634" i="1"/>
  <c r="N634" i="1"/>
  <c r="X633" i="1"/>
  <c r="N633" i="1"/>
  <c r="X632" i="1"/>
  <c r="N632" i="1"/>
  <c r="X631" i="1"/>
  <c r="N631" i="1"/>
  <c r="X630" i="1"/>
  <c r="N630" i="1"/>
  <c r="X629" i="1"/>
  <c r="N629" i="1"/>
  <c r="X628" i="1"/>
  <c r="N628" i="1"/>
  <c r="X627" i="1"/>
  <c r="N627" i="1"/>
  <c r="X626" i="1"/>
  <c r="N626" i="1"/>
  <c r="X625" i="1"/>
  <c r="N625" i="1"/>
  <c r="X624" i="1"/>
  <c r="N624" i="1"/>
  <c r="X623" i="1"/>
  <c r="N623" i="1"/>
  <c r="X622" i="1"/>
  <c r="N622" i="1"/>
  <c r="X621" i="1"/>
  <c r="N621" i="1"/>
  <c r="X620" i="1"/>
  <c r="N620" i="1"/>
  <c r="X619" i="1"/>
  <c r="N619" i="1"/>
  <c r="X618" i="1"/>
  <c r="N618" i="1"/>
  <c r="X617" i="1"/>
  <c r="N617" i="1"/>
  <c r="X616" i="1"/>
  <c r="N616" i="1"/>
  <c r="X615" i="1"/>
  <c r="N615" i="1"/>
  <c r="X614" i="1"/>
  <c r="N614" i="1"/>
  <c r="X613" i="1"/>
  <c r="N613" i="1"/>
  <c r="X612" i="1"/>
  <c r="N612" i="1"/>
  <c r="X611" i="1"/>
  <c r="N611" i="1"/>
  <c r="X610" i="1"/>
  <c r="N610" i="1"/>
  <c r="X609" i="1"/>
  <c r="N609" i="1"/>
  <c r="X608" i="1"/>
  <c r="N608" i="1"/>
  <c r="X607" i="1"/>
  <c r="N607" i="1"/>
  <c r="X606" i="1"/>
  <c r="N606" i="1"/>
  <c r="X605" i="1"/>
  <c r="N605" i="1"/>
  <c r="X604" i="1"/>
  <c r="N604" i="1"/>
  <c r="X603" i="1"/>
  <c r="N603" i="1"/>
  <c r="X602" i="1"/>
  <c r="N602" i="1"/>
  <c r="X601" i="1"/>
  <c r="N601" i="1"/>
  <c r="X600" i="1"/>
  <c r="N600" i="1"/>
  <c r="X599" i="1"/>
  <c r="N599" i="1"/>
  <c r="X598" i="1"/>
  <c r="N598" i="1"/>
  <c r="X597" i="1"/>
  <c r="N597" i="1"/>
  <c r="X596" i="1"/>
  <c r="N596" i="1"/>
  <c r="X595" i="1"/>
  <c r="N595" i="1"/>
  <c r="X594" i="1"/>
  <c r="N594" i="1"/>
  <c r="X593" i="1"/>
  <c r="N593" i="1"/>
  <c r="X592" i="1"/>
  <c r="N592" i="1"/>
  <c r="X591" i="1"/>
  <c r="N591" i="1"/>
  <c r="X590" i="1"/>
  <c r="N590" i="1"/>
  <c r="X589" i="1"/>
  <c r="N589" i="1"/>
  <c r="X588" i="1"/>
  <c r="N588" i="1"/>
  <c r="X587" i="1"/>
  <c r="N587" i="1"/>
  <c r="X586" i="1"/>
  <c r="N586" i="1"/>
  <c r="X585" i="1"/>
  <c r="N585" i="1"/>
  <c r="X584" i="1"/>
  <c r="N584" i="1"/>
  <c r="X583" i="1"/>
  <c r="N583" i="1"/>
  <c r="X582" i="1"/>
  <c r="N582" i="1"/>
  <c r="X581" i="1"/>
  <c r="N581" i="1"/>
  <c r="X580" i="1"/>
  <c r="N580" i="1"/>
  <c r="X579" i="1"/>
  <c r="N579" i="1"/>
  <c r="X578" i="1"/>
  <c r="N578" i="1"/>
  <c r="X577" i="1"/>
  <c r="N577" i="1"/>
  <c r="X576" i="1"/>
  <c r="N576" i="1"/>
  <c r="X575" i="1"/>
  <c r="N575" i="1"/>
  <c r="X574" i="1"/>
  <c r="N574" i="1"/>
  <c r="X573" i="1"/>
  <c r="N573" i="1"/>
  <c r="X572" i="1"/>
  <c r="N572" i="1"/>
  <c r="X571" i="1"/>
  <c r="N571" i="1"/>
  <c r="X570" i="1"/>
  <c r="N570" i="1"/>
  <c r="X569" i="1"/>
  <c r="N569" i="1"/>
  <c r="X568" i="1"/>
  <c r="N568" i="1"/>
  <c r="X567" i="1"/>
  <c r="N567" i="1"/>
  <c r="X566" i="1"/>
  <c r="N566" i="1"/>
  <c r="X565" i="1"/>
  <c r="N565" i="1"/>
  <c r="X564" i="1"/>
  <c r="N564" i="1"/>
  <c r="X563" i="1"/>
  <c r="N563" i="1"/>
  <c r="X562" i="1"/>
  <c r="N562" i="1"/>
  <c r="X561" i="1"/>
  <c r="N561" i="1"/>
  <c r="X560" i="1"/>
  <c r="N560" i="1"/>
  <c r="X559" i="1"/>
  <c r="N559" i="1"/>
  <c r="X558" i="1"/>
  <c r="N558" i="1"/>
  <c r="X557" i="1"/>
  <c r="N557" i="1"/>
  <c r="X556" i="1"/>
  <c r="N556" i="1"/>
  <c r="X555" i="1"/>
  <c r="N555" i="1"/>
  <c r="X554" i="1"/>
  <c r="N554" i="1"/>
  <c r="X553" i="1"/>
  <c r="N553" i="1"/>
  <c r="X552" i="1"/>
  <c r="N552" i="1"/>
  <c r="X551" i="1"/>
  <c r="N551" i="1"/>
  <c r="X550" i="1"/>
  <c r="N550" i="1"/>
  <c r="X549" i="1"/>
  <c r="N549" i="1"/>
  <c r="X548" i="1"/>
  <c r="N548" i="1"/>
  <c r="X547" i="1"/>
  <c r="N547" i="1"/>
  <c r="X546" i="1"/>
  <c r="N546" i="1"/>
  <c r="X545" i="1"/>
  <c r="N545" i="1"/>
  <c r="X544" i="1"/>
  <c r="N544" i="1"/>
  <c r="X543" i="1"/>
  <c r="N543" i="1"/>
  <c r="X542" i="1"/>
  <c r="N542" i="1"/>
  <c r="X541" i="1"/>
  <c r="N541" i="1"/>
  <c r="X540" i="1"/>
  <c r="N540" i="1"/>
  <c r="X539" i="1"/>
  <c r="N539" i="1"/>
  <c r="X538" i="1"/>
  <c r="N538" i="1"/>
  <c r="X537" i="1"/>
  <c r="N537" i="1"/>
  <c r="X536" i="1"/>
  <c r="N536" i="1"/>
  <c r="X535" i="1"/>
  <c r="N535" i="1"/>
  <c r="X534" i="1"/>
  <c r="N534" i="1"/>
  <c r="X533" i="1"/>
  <c r="N533" i="1"/>
  <c r="X532" i="1"/>
  <c r="N532" i="1"/>
  <c r="X531" i="1"/>
  <c r="N531" i="1"/>
  <c r="X530" i="1"/>
  <c r="N530" i="1"/>
  <c r="X529" i="1"/>
  <c r="N529" i="1"/>
  <c r="X528" i="1"/>
  <c r="N528" i="1"/>
  <c r="X527" i="1"/>
  <c r="N527" i="1"/>
  <c r="X526" i="1"/>
  <c r="N526" i="1"/>
  <c r="X525" i="1"/>
  <c r="N525" i="1"/>
  <c r="X524" i="1"/>
  <c r="N524" i="1"/>
  <c r="X523" i="1"/>
  <c r="N523" i="1"/>
  <c r="X522" i="1"/>
  <c r="N522" i="1"/>
  <c r="X521" i="1"/>
  <c r="N521" i="1"/>
  <c r="X520" i="1"/>
  <c r="N520" i="1"/>
  <c r="X519" i="1"/>
  <c r="N519" i="1"/>
  <c r="X518" i="1"/>
  <c r="N518" i="1"/>
  <c r="X517" i="1"/>
  <c r="N517" i="1"/>
  <c r="X516" i="1"/>
  <c r="N516" i="1"/>
  <c r="X515" i="1"/>
  <c r="N515" i="1"/>
  <c r="X514" i="1"/>
  <c r="N514" i="1"/>
  <c r="X513" i="1"/>
  <c r="N513" i="1"/>
  <c r="X512" i="1"/>
  <c r="N512" i="1"/>
  <c r="X511" i="1"/>
  <c r="N511" i="1"/>
  <c r="X510" i="1"/>
  <c r="N510" i="1"/>
  <c r="X509" i="1"/>
  <c r="N509" i="1"/>
  <c r="X508" i="1"/>
  <c r="N508" i="1"/>
  <c r="X507" i="1"/>
  <c r="N507" i="1"/>
  <c r="X506" i="1"/>
  <c r="N506" i="1"/>
  <c r="X505" i="1"/>
  <c r="N505" i="1"/>
  <c r="X504" i="1"/>
  <c r="N504" i="1"/>
  <c r="X503" i="1"/>
  <c r="N503" i="1"/>
  <c r="X502" i="1"/>
  <c r="N502" i="1"/>
  <c r="X501" i="1"/>
  <c r="N501" i="1"/>
  <c r="X500" i="1"/>
  <c r="N500" i="1"/>
  <c r="X499" i="1"/>
  <c r="N499" i="1"/>
  <c r="X498" i="1"/>
  <c r="N498" i="1"/>
  <c r="X497" i="1"/>
  <c r="N497" i="1"/>
  <c r="X496" i="1"/>
  <c r="N496" i="1"/>
  <c r="X495" i="1"/>
  <c r="N495" i="1"/>
  <c r="X494" i="1"/>
  <c r="N494" i="1"/>
  <c r="X493" i="1"/>
  <c r="N493" i="1"/>
  <c r="X492" i="1"/>
  <c r="N492" i="1"/>
  <c r="X491" i="1"/>
  <c r="N491" i="1"/>
  <c r="X490" i="1"/>
  <c r="N490" i="1"/>
  <c r="X489" i="1"/>
  <c r="N489" i="1"/>
  <c r="X488" i="1"/>
  <c r="N488" i="1"/>
  <c r="X487" i="1"/>
  <c r="N487" i="1"/>
  <c r="X486" i="1"/>
  <c r="N486" i="1"/>
  <c r="X485" i="1"/>
  <c r="N485" i="1"/>
  <c r="X484" i="1"/>
  <c r="N484" i="1"/>
  <c r="X483" i="1"/>
  <c r="N483" i="1"/>
  <c r="X482" i="1"/>
  <c r="N482" i="1"/>
  <c r="X481" i="1"/>
  <c r="N481" i="1"/>
  <c r="X480" i="1"/>
  <c r="N480" i="1"/>
  <c r="X479" i="1"/>
  <c r="N479" i="1"/>
  <c r="X478" i="1"/>
  <c r="N478" i="1"/>
  <c r="X477" i="1"/>
  <c r="N477" i="1"/>
  <c r="X476" i="1"/>
  <c r="N476" i="1"/>
  <c r="X475" i="1"/>
  <c r="N475" i="1"/>
  <c r="X474" i="1"/>
  <c r="N474" i="1"/>
  <c r="X473" i="1"/>
  <c r="N473" i="1"/>
  <c r="X472" i="1"/>
  <c r="N472" i="1"/>
  <c r="X471" i="1"/>
  <c r="N471" i="1"/>
  <c r="X470" i="1"/>
  <c r="N470" i="1"/>
  <c r="X469" i="1"/>
  <c r="N469" i="1"/>
  <c r="X468" i="1"/>
  <c r="N468" i="1"/>
  <c r="X467" i="1"/>
  <c r="N467" i="1"/>
  <c r="X466" i="1"/>
  <c r="N466" i="1"/>
  <c r="X465" i="1"/>
  <c r="N465" i="1"/>
  <c r="X464" i="1"/>
  <c r="N464" i="1"/>
  <c r="X463" i="1"/>
  <c r="N463" i="1"/>
  <c r="X462" i="1"/>
  <c r="N462" i="1"/>
  <c r="X461" i="1"/>
  <c r="N461" i="1"/>
  <c r="X460" i="1"/>
  <c r="N460" i="1"/>
  <c r="X459" i="1"/>
  <c r="N459" i="1"/>
  <c r="X458" i="1"/>
  <c r="N458" i="1"/>
  <c r="X457" i="1"/>
  <c r="N457" i="1"/>
  <c r="X456" i="1"/>
  <c r="N456" i="1"/>
  <c r="X455" i="1"/>
  <c r="N455" i="1"/>
  <c r="X454" i="1"/>
  <c r="N454" i="1"/>
  <c r="X453" i="1"/>
  <c r="N453" i="1"/>
  <c r="X452" i="1"/>
  <c r="N452" i="1"/>
  <c r="X451" i="1"/>
  <c r="N451" i="1"/>
  <c r="X450" i="1"/>
  <c r="N450" i="1"/>
  <c r="X449" i="1"/>
  <c r="N449" i="1"/>
  <c r="X448" i="1"/>
  <c r="N448" i="1"/>
  <c r="X447" i="1"/>
  <c r="N447" i="1"/>
  <c r="X446" i="1"/>
  <c r="N446" i="1"/>
  <c r="X445" i="1"/>
  <c r="N445" i="1"/>
  <c r="X444" i="1"/>
  <c r="N444" i="1"/>
  <c r="X443" i="1"/>
  <c r="N443" i="1"/>
  <c r="X442" i="1"/>
  <c r="N442" i="1"/>
  <c r="X441" i="1"/>
  <c r="N441" i="1"/>
  <c r="X440" i="1"/>
  <c r="N440" i="1"/>
  <c r="X439" i="1"/>
  <c r="N439" i="1"/>
  <c r="X438" i="1"/>
  <c r="N438" i="1"/>
  <c r="X437" i="1"/>
  <c r="N437" i="1"/>
  <c r="X436" i="1"/>
  <c r="N436" i="1"/>
  <c r="X435" i="1"/>
  <c r="N435" i="1"/>
  <c r="X434" i="1"/>
  <c r="N434" i="1"/>
  <c r="X433" i="1"/>
  <c r="N433" i="1"/>
  <c r="X432" i="1"/>
  <c r="N432" i="1"/>
  <c r="X431" i="1"/>
  <c r="N431" i="1"/>
  <c r="X430" i="1"/>
  <c r="N430" i="1"/>
  <c r="X429" i="1"/>
  <c r="N429" i="1"/>
  <c r="X428" i="1"/>
  <c r="N428" i="1"/>
  <c r="X427" i="1"/>
  <c r="N427" i="1"/>
  <c r="X426" i="1"/>
  <c r="N426" i="1"/>
  <c r="X425" i="1"/>
  <c r="N425" i="1"/>
  <c r="X424" i="1"/>
  <c r="N424" i="1"/>
  <c r="X423" i="1"/>
  <c r="N423" i="1"/>
  <c r="X422" i="1"/>
  <c r="N422" i="1"/>
  <c r="X421" i="1"/>
  <c r="N421" i="1"/>
  <c r="X420" i="1"/>
  <c r="N420" i="1"/>
  <c r="X419" i="1"/>
  <c r="N419" i="1"/>
  <c r="X418" i="1"/>
  <c r="N418" i="1"/>
  <c r="X417" i="1"/>
  <c r="N417" i="1"/>
  <c r="X416" i="1"/>
  <c r="N416" i="1"/>
  <c r="X415" i="1"/>
  <c r="N415" i="1"/>
  <c r="X414" i="1"/>
  <c r="N414" i="1"/>
  <c r="X413" i="1"/>
  <c r="N413" i="1"/>
  <c r="X412" i="1"/>
  <c r="N412" i="1"/>
  <c r="X411" i="1"/>
  <c r="N411" i="1"/>
  <c r="X410" i="1"/>
  <c r="N410" i="1"/>
  <c r="X409" i="1"/>
  <c r="N409" i="1"/>
  <c r="X408" i="1"/>
  <c r="N408" i="1"/>
  <c r="X407" i="1"/>
  <c r="N407" i="1"/>
  <c r="X406" i="1"/>
  <c r="N406" i="1"/>
  <c r="X405" i="1"/>
  <c r="N405" i="1"/>
  <c r="X404" i="1"/>
  <c r="N404" i="1"/>
  <c r="X403" i="1"/>
  <c r="N403" i="1"/>
  <c r="X402" i="1"/>
  <c r="N402" i="1"/>
  <c r="X401" i="1"/>
  <c r="N401" i="1"/>
  <c r="X400" i="1"/>
  <c r="N400" i="1"/>
  <c r="X399" i="1"/>
  <c r="N399" i="1"/>
  <c r="X398" i="1"/>
  <c r="N398" i="1"/>
  <c r="X397" i="1"/>
  <c r="N397" i="1"/>
  <c r="X396" i="1"/>
  <c r="N396" i="1"/>
  <c r="X395" i="1"/>
  <c r="N395" i="1"/>
  <c r="X394" i="1"/>
  <c r="N394" i="1"/>
  <c r="X393" i="1"/>
  <c r="N393" i="1"/>
  <c r="X392" i="1"/>
  <c r="N392" i="1"/>
  <c r="X391" i="1"/>
  <c r="N391" i="1"/>
  <c r="X390" i="1"/>
  <c r="N390" i="1"/>
  <c r="X389" i="1"/>
  <c r="N389" i="1"/>
  <c r="X388" i="1"/>
  <c r="N388" i="1"/>
  <c r="X387" i="1"/>
  <c r="N387" i="1"/>
  <c r="X386" i="1"/>
  <c r="N386" i="1"/>
  <c r="X385" i="1"/>
  <c r="N385" i="1"/>
  <c r="X384" i="1"/>
  <c r="N384" i="1"/>
  <c r="X383" i="1"/>
  <c r="N383" i="1"/>
  <c r="X382" i="1"/>
  <c r="N382" i="1"/>
  <c r="X381" i="1"/>
  <c r="N381" i="1"/>
  <c r="X380" i="1"/>
  <c r="N380" i="1"/>
  <c r="X379" i="1"/>
  <c r="N379" i="1"/>
  <c r="X378" i="1"/>
  <c r="N378" i="1"/>
  <c r="X377" i="1"/>
  <c r="N377" i="1"/>
  <c r="X376" i="1"/>
  <c r="N376" i="1"/>
  <c r="X375" i="1"/>
  <c r="N375" i="1"/>
  <c r="X374" i="1"/>
  <c r="N374" i="1"/>
  <c r="X373" i="1"/>
  <c r="N373" i="1"/>
  <c r="X372" i="1"/>
  <c r="N372" i="1"/>
  <c r="X371" i="1"/>
  <c r="N371" i="1"/>
  <c r="X370" i="1"/>
  <c r="N370" i="1"/>
  <c r="X369" i="1"/>
  <c r="N369" i="1"/>
  <c r="X368" i="1"/>
  <c r="N368" i="1"/>
  <c r="X367" i="1"/>
  <c r="N367" i="1"/>
  <c r="X366" i="1"/>
  <c r="N366" i="1"/>
  <c r="X365" i="1"/>
  <c r="N365" i="1"/>
  <c r="X364" i="1"/>
  <c r="N364" i="1"/>
  <c r="X363" i="1"/>
  <c r="N363" i="1"/>
  <c r="X362" i="1"/>
  <c r="N362" i="1"/>
  <c r="X361" i="1"/>
  <c r="N361" i="1"/>
  <c r="X360" i="1"/>
  <c r="N360" i="1"/>
  <c r="X359" i="1"/>
  <c r="N359" i="1"/>
  <c r="X358" i="1"/>
  <c r="N358" i="1"/>
  <c r="X357" i="1"/>
  <c r="N357" i="1"/>
  <c r="X356" i="1"/>
  <c r="N356" i="1"/>
  <c r="X355" i="1"/>
  <c r="N355" i="1"/>
  <c r="X354" i="1"/>
  <c r="N354" i="1"/>
  <c r="X353" i="1"/>
  <c r="N353" i="1"/>
  <c r="X352" i="1"/>
  <c r="N352" i="1"/>
  <c r="X351" i="1"/>
  <c r="N351" i="1"/>
  <c r="X350" i="1"/>
  <c r="N350" i="1"/>
  <c r="X349" i="1"/>
  <c r="N349" i="1"/>
  <c r="X348" i="1"/>
  <c r="N348" i="1"/>
  <c r="X347" i="1"/>
  <c r="N347" i="1"/>
  <c r="X346" i="1"/>
  <c r="N346" i="1"/>
  <c r="X345" i="1"/>
  <c r="N345" i="1"/>
  <c r="X344" i="1"/>
  <c r="N344" i="1"/>
  <c r="X343" i="1"/>
  <c r="N343" i="1"/>
  <c r="X342" i="1"/>
  <c r="N342" i="1"/>
  <c r="X341" i="1"/>
  <c r="N341" i="1"/>
  <c r="X340" i="1"/>
  <c r="N340" i="1"/>
  <c r="X339" i="1"/>
  <c r="N339" i="1"/>
  <c r="X338" i="1"/>
  <c r="N338" i="1"/>
  <c r="X337" i="1"/>
  <c r="N337" i="1"/>
  <c r="X336" i="1"/>
  <c r="N336" i="1"/>
  <c r="X335" i="1"/>
  <c r="N335" i="1"/>
  <c r="X334" i="1"/>
  <c r="N334" i="1"/>
  <c r="X333" i="1"/>
  <c r="N333" i="1"/>
  <c r="X332" i="1"/>
  <c r="N332" i="1"/>
  <c r="X331" i="1"/>
  <c r="N331" i="1"/>
  <c r="X330" i="1"/>
  <c r="N330" i="1"/>
  <c r="X329" i="1"/>
  <c r="N329" i="1"/>
  <c r="X328" i="1"/>
  <c r="N328" i="1"/>
  <c r="X327" i="1"/>
  <c r="N327" i="1"/>
  <c r="X326" i="1"/>
  <c r="N326" i="1"/>
  <c r="X325" i="1"/>
  <c r="N325" i="1"/>
  <c r="X324" i="1"/>
  <c r="N324" i="1"/>
  <c r="X323" i="1"/>
  <c r="N323" i="1"/>
  <c r="X322" i="1"/>
  <c r="N322" i="1"/>
  <c r="X321" i="1"/>
  <c r="N321" i="1"/>
  <c r="X320" i="1"/>
  <c r="N320" i="1"/>
  <c r="X319" i="1"/>
  <c r="N319" i="1"/>
  <c r="X318" i="1"/>
  <c r="N318" i="1"/>
  <c r="X317" i="1"/>
  <c r="N317" i="1"/>
  <c r="X316" i="1"/>
  <c r="N316" i="1"/>
  <c r="X315" i="1"/>
  <c r="N315" i="1"/>
  <c r="X314" i="1"/>
  <c r="N314" i="1"/>
  <c r="X313" i="1"/>
  <c r="N313" i="1"/>
  <c r="X312" i="1"/>
  <c r="N312" i="1"/>
  <c r="X311" i="1"/>
  <c r="N311" i="1"/>
  <c r="X310" i="1"/>
  <c r="N310" i="1"/>
  <c r="X309" i="1"/>
  <c r="N309" i="1"/>
  <c r="X308" i="1"/>
  <c r="N308" i="1"/>
  <c r="X307" i="1"/>
  <c r="N307" i="1"/>
  <c r="X306" i="1"/>
  <c r="N306" i="1"/>
  <c r="X305" i="1"/>
  <c r="N305" i="1"/>
  <c r="X304" i="1"/>
  <c r="N304" i="1"/>
  <c r="X303" i="1"/>
  <c r="N303" i="1"/>
  <c r="X302" i="1"/>
  <c r="N302" i="1"/>
  <c r="X301" i="1"/>
  <c r="N301" i="1"/>
  <c r="X300" i="1"/>
  <c r="N300" i="1"/>
  <c r="X299" i="1"/>
  <c r="N299" i="1"/>
  <c r="X298" i="1"/>
  <c r="N298" i="1"/>
  <c r="X297" i="1"/>
  <c r="N297" i="1"/>
  <c r="X296" i="1"/>
  <c r="N296" i="1"/>
  <c r="X295" i="1"/>
  <c r="N295" i="1"/>
  <c r="X294" i="1"/>
  <c r="N294" i="1"/>
  <c r="X293" i="1"/>
  <c r="N293" i="1"/>
  <c r="X292" i="1"/>
  <c r="N292" i="1"/>
  <c r="X291" i="1"/>
  <c r="N291" i="1"/>
  <c r="X290" i="1"/>
  <c r="N290" i="1"/>
  <c r="X289" i="1"/>
  <c r="N289" i="1"/>
  <c r="X288" i="1"/>
  <c r="N288" i="1"/>
  <c r="X287" i="1"/>
  <c r="N287" i="1"/>
  <c r="X286" i="1"/>
  <c r="N286" i="1"/>
  <c r="X285" i="1"/>
  <c r="N285" i="1"/>
  <c r="X284" i="1"/>
  <c r="N284" i="1"/>
  <c r="X283" i="1"/>
  <c r="N283" i="1"/>
  <c r="X282" i="1"/>
  <c r="N282" i="1"/>
  <c r="X281" i="1"/>
  <c r="N281" i="1"/>
  <c r="X280" i="1"/>
  <c r="N280" i="1"/>
  <c r="X279" i="1"/>
  <c r="N279" i="1"/>
  <c r="X278" i="1"/>
  <c r="N278" i="1"/>
  <c r="X277" i="1"/>
  <c r="N277" i="1"/>
  <c r="X276" i="1"/>
  <c r="N276" i="1"/>
  <c r="X275" i="1"/>
  <c r="N275" i="1"/>
  <c r="X274" i="1"/>
  <c r="N274" i="1"/>
  <c r="X273" i="1"/>
  <c r="N273" i="1"/>
  <c r="X272" i="1"/>
  <c r="N272" i="1"/>
  <c r="X271" i="1"/>
  <c r="N271" i="1"/>
  <c r="X270" i="1"/>
  <c r="N270" i="1"/>
  <c r="X269" i="1"/>
  <c r="N269" i="1"/>
  <c r="X268" i="1"/>
  <c r="N268" i="1"/>
  <c r="X267" i="1"/>
  <c r="N267" i="1"/>
  <c r="X266" i="1"/>
  <c r="N266" i="1"/>
  <c r="X265" i="1"/>
  <c r="N265" i="1"/>
  <c r="X264" i="1"/>
  <c r="N264" i="1"/>
  <c r="X263" i="1"/>
  <c r="N263" i="1"/>
  <c r="X262" i="1"/>
  <c r="N262" i="1"/>
  <c r="X261" i="1"/>
  <c r="N261" i="1"/>
  <c r="X260" i="1"/>
  <c r="N260" i="1"/>
  <c r="X259" i="1"/>
  <c r="N259" i="1"/>
  <c r="X258" i="1"/>
  <c r="N258" i="1"/>
  <c r="X257" i="1"/>
  <c r="N257" i="1"/>
  <c r="X256" i="1"/>
  <c r="N256" i="1"/>
  <c r="X255" i="1"/>
  <c r="N255" i="1"/>
  <c r="X254" i="1"/>
  <c r="N254" i="1"/>
  <c r="X253" i="1"/>
  <c r="N253" i="1"/>
  <c r="X252" i="1"/>
  <c r="N252" i="1"/>
  <c r="X251" i="1"/>
  <c r="N251" i="1"/>
  <c r="X250" i="1"/>
  <c r="N250" i="1"/>
  <c r="X249" i="1"/>
  <c r="N249" i="1"/>
  <c r="X248" i="1"/>
  <c r="N248" i="1"/>
  <c r="X247" i="1"/>
  <c r="N247" i="1"/>
  <c r="X246" i="1"/>
  <c r="N246" i="1"/>
  <c r="X245" i="1"/>
  <c r="N245" i="1"/>
  <c r="X244" i="1"/>
  <c r="N244" i="1"/>
  <c r="X243" i="1"/>
  <c r="N243" i="1"/>
  <c r="X242" i="1"/>
  <c r="N242" i="1"/>
  <c r="X241" i="1"/>
  <c r="N241" i="1"/>
  <c r="X240" i="1"/>
  <c r="N240" i="1"/>
  <c r="X239" i="1"/>
  <c r="N239" i="1"/>
  <c r="X238" i="1"/>
  <c r="N238" i="1"/>
  <c r="X237" i="1"/>
  <c r="N237" i="1"/>
  <c r="X236" i="1"/>
  <c r="N236" i="1"/>
  <c r="X235" i="1"/>
  <c r="N235" i="1"/>
  <c r="X234" i="1"/>
  <c r="N234" i="1"/>
  <c r="X233" i="1"/>
  <c r="N233" i="1"/>
  <c r="X232" i="1"/>
  <c r="N232" i="1"/>
  <c r="X231" i="1"/>
  <c r="N231" i="1"/>
  <c r="X230" i="1"/>
  <c r="N230" i="1"/>
  <c r="X229" i="1"/>
  <c r="N229" i="1"/>
  <c r="X228" i="1"/>
  <c r="N228" i="1"/>
  <c r="X227" i="1"/>
  <c r="N227" i="1"/>
  <c r="X226" i="1"/>
  <c r="N226" i="1"/>
  <c r="X225" i="1"/>
  <c r="N225" i="1"/>
  <c r="X224" i="1"/>
  <c r="N224" i="1"/>
  <c r="X223" i="1"/>
  <c r="N223" i="1"/>
  <c r="X222" i="1"/>
  <c r="N222" i="1"/>
  <c r="X221" i="1"/>
  <c r="N221" i="1"/>
  <c r="X220" i="1"/>
  <c r="N220" i="1"/>
  <c r="X219" i="1"/>
  <c r="N219" i="1"/>
  <c r="X218" i="1"/>
  <c r="N218" i="1"/>
  <c r="X217" i="1"/>
  <c r="N217" i="1"/>
  <c r="X216" i="1"/>
  <c r="N216" i="1"/>
  <c r="X215" i="1"/>
  <c r="N215" i="1"/>
  <c r="X214" i="1"/>
  <c r="N214" i="1"/>
  <c r="X213" i="1"/>
  <c r="N213" i="1"/>
  <c r="X212" i="1"/>
  <c r="N212" i="1"/>
  <c r="X211" i="1"/>
  <c r="N211" i="1"/>
  <c r="X210" i="1"/>
  <c r="N210" i="1"/>
  <c r="X209" i="1"/>
  <c r="N209" i="1"/>
  <c r="X208" i="1"/>
  <c r="N208" i="1"/>
  <c r="X207" i="1"/>
  <c r="N207" i="1"/>
  <c r="X206" i="1"/>
  <c r="N206" i="1"/>
  <c r="X205" i="1"/>
  <c r="N205" i="1"/>
  <c r="X204" i="1"/>
  <c r="N204" i="1"/>
  <c r="X203" i="1"/>
  <c r="N203" i="1"/>
  <c r="X202" i="1"/>
  <c r="N202" i="1"/>
  <c r="X201" i="1"/>
  <c r="N201" i="1"/>
  <c r="X200" i="1"/>
  <c r="N200" i="1"/>
  <c r="X199" i="1"/>
  <c r="N199" i="1"/>
  <c r="X198" i="1"/>
  <c r="N198" i="1"/>
  <c r="X197" i="1"/>
  <c r="N197" i="1"/>
  <c r="X196" i="1"/>
  <c r="N196" i="1"/>
  <c r="X195" i="1"/>
  <c r="N195" i="1"/>
  <c r="X194" i="1"/>
  <c r="N194" i="1"/>
  <c r="X193" i="1"/>
  <c r="N193" i="1"/>
  <c r="X192" i="1"/>
  <c r="N192" i="1"/>
  <c r="X191" i="1"/>
  <c r="N191" i="1"/>
  <c r="X190" i="1"/>
  <c r="N190" i="1"/>
  <c r="X189" i="1"/>
  <c r="N189" i="1"/>
  <c r="X188" i="1"/>
  <c r="N188" i="1"/>
  <c r="X187" i="1"/>
  <c r="N187" i="1"/>
  <c r="X186" i="1"/>
  <c r="N186" i="1"/>
  <c r="X185" i="1"/>
  <c r="N185" i="1"/>
  <c r="X184" i="1"/>
  <c r="N184" i="1"/>
  <c r="X183" i="1"/>
  <c r="N183" i="1"/>
  <c r="X182" i="1"/>
  <c r="N182" i="1"/>
  <c r="X181" i="1"/>
  <c r="N181" i="1"/>
  <c r="X180" i="1"/>
  <c r="N180" i="1"/>
  <c r="X179" i="1"/>
  <c r="N179" i="1"/>
  <c r="X178" i="1"/>
  <c r="N178" i="1"/>
  <c r="X177" i="1"/>
  <c r="N177" i="1"/>
  <c r="X176" i="1"/>
  <c r="N176" i="1"/>
  <c r="X175" i="1"/>
  <c r="N175" i="1"/>
  <c r="X174" i="1"/>
  <c r="N174" i="1"/>
  <c r="X173" i="1"/>
  <c r="N173" i="1"/>
  <c r="X172" i="1"/>
  <c r="N172" i="1"/>
  <c r="X171" i="1"/>
  <c r="N171" i="1"/>
  <c r="X170" i="1"/>
  <c r="N170" i="1"/>
  <c r="X169" i="1"/>
  <c r="N169" i="1"/>
  <c r="X168" i="1"/>
  <c r="N168" i="1"/>
  <c r="X167" i="1"/>
  <c r="N167" i="1"/>
  <c r="X166" i="1"/>
  <c r="N166" i="1"/>
  <c r="X165" i="1"/>
  <c r="N165" i="1"/>
  <c r="X164" i="1"/>
  <c r="N164" i="1"/>
  <c r="X163" i="1"/>
  <c r="N163" i="1"/>
  <c r="X162" i="1"/>
  <c r="N162" i="1"/>
  <c r="X161" i="1"/>
  <c r="N161" i="1"/>
  <c r="X160" i="1"/>
  <c r="N160" i="1"/>
  <c r="X159" i="1"/>
  <c r="N159" i="1"/>
  <c r="X158" i="1"/>
  <c r="N158" i="1"/>
  <c r="X157" i="1"/>
  <c r="N157" i="1"/>
  <c r="X156" i="1"/>
  <c r="N156" i="1"/>
  <c r="X155" i="1"/>
  <c r="N155" i="1"/>
  <c r="X154" i="1"/>
  <c r="N154" i="1"/>
  <c r="X153" i="1"/>
  <c r="N153" i="1"/>
  <c r="X152" i="1"/>
  <c r="N152" i="1"/>
  <c r="X151" i="1"/>
  <c r="N151" i="1"/>
  <c r="X150" i="1"/>
  <c r="N150" i="1"/>
  <c r="X149" i="1"/>
  <c r="N149" i="1"/>
  <c r="X148" i="1"/>
  <c r="N148" i="1"/>
  <c r="X147" i="1"/>
  <c r="N147" i="1"/>
  <c r="X146" i="1"/>
  <c r="N146" i="1"/>
  <c r="X145" i="1"/>
  <c r="N145" i="1"/>
  <c r="X144" i="1"/>
  <c r="N144" i="1"/>
  <c r="X143" i="1"/>
  <c r="N143" i="1"/>
  <c r="X142" i="1"/>
  <c r="N142" i="1"/>
  <c r="X141" i="1"/>
  <c r="N141" i="1"/>
  <c r="X140" i="1"/>
  <c r="N140" i="1"/>
  <c r="X139" i="1"/>
  <c r="N139" i="1"/>
  <c r="X138" i="1"/>
  <c r="N138" i="1"/>
  <c r="X137" i="1"/>
  <c r="N137" i="1"/>
  <c r="X136" i="1"/>
  <c r="N136" i="1"/>
  <c r="X135" i="1"/>
  <c r="N135" i="1"/>
  <c r="X134" i="1"/>
  <c r="N134" i="1"/>
  <c r="X133" i="1"/>
  <c r="N133" i="1"/>
  <c r="X132" i="1"/>
  <c r="N132" i="1"/>
  <c r="X131" i="1"/>
  <c r="N131" i="1"/>
  <c r="X130" i="1"/>
  <c r="N130" i="1"/>
  <c r="X129" i="1"/>
  <c r="N129" i="1"/>
  <c r="X128" i="1"/>
  <c r="N128" i="1"/>
  <c r="X127" i="1"/>
  <c r="N127" i="1"/>
  <c r="X126" i="1"/>
  <c r="N126" i="1"/>
  <c r="X125" i="1"/>
  <c r="N125" i="1"/>
  <c r="X124" i="1"/>
  <c r="N124" i="1"/>
  <c r="X123" i="1"/>
  <c r="N123" i="1"/>
  <c r="X122" i="1"/>
  <c r="N122" i="1"/>
  <c r="X121" i="1"/>
  <c r="N121" i="1"/>
  <c r="X120" i="1"/>
  <c r="N120" i="1"/>
  <c r="X119" i="1"/>
  <c r="N119" i="1"/>
  <c r="X118" i="1"/>
  <c r="N118" i="1"/>
  <c r="X117" i="1"/>
  <c r="N117" i="1"/>
  <c r="X116" i="1"/>
  <c r="N116" i="1"/>
  <c r="X115" i="1"/>
  <c r="N115" i="1"/>
  <c r="X114" i="1"/>
  <c r="N114" i="1"/>
  <c r="X113" i="1"/>
  <c r="N113" i="1"/>
  <c r="X112" i="1"/>
  <c r="N112" i="1"/>
  <c r="X111" i="1"/>
  <c r="N111" i="1"/>
  <c r="X110" i="1"/>
  <c r="N110" i="1"/>
  <c r="X109" i="1"/>
  <c r="N109" i="1"/>
  <c r="X108" i="1"/>
  <c r="N108" i="1"/>
  <c r="X107" i="1"/>
  <c r="N107" i="1"/>
  <c r="X106" i="1"/>
  <c r="N106" i="1"/>
  <c r="X105" i="1"/>
  <c r="N105" i="1"/>
  <c r="X104" i="1"/>
  <c r="N104" i="1"/>
  <c r="X103" i="1"/>
  <c r="N103" i="1"/>
  <c r="X102" i="1"/>
  <c r="N102" i="1"/>
  <c r="X101" i="1"/>
  <c r="N101" i="1"/>
  <c r="X100" i="1"/>
  <c r="N100" i="1"/>
  <c r="X99" i="1"/>
  <c r="N99" i="1"/>
  <c r="X98" i="1"/>
  <c r="N98" i="1"/>
  <c r="X97" i="1"/>
  <c r="N97" i="1"/>
  <c r="X96" i="1"/>
  <c r="N96" i="1"/>
  <c r="X95" i="1"/>
  <c r="N95" i="1"/>
  <c r="X94" i="1"/>
  <c r="N94" i="1"/>
  <c r="X93" i="1"/>
  <c r="N93" i="1"/>
  <c r="X92" i="1"/>
  <c r="N92" i="1"/>
  <c r="X91" i="1"/>
  <c r="N91" i="1"/>
  <c r="X90" i="1"/>
  <c r="N90" i="1"/>
  <c r="X89" i="1"/>
  <c r="N89" i="1"/>
  <c r="X88" i="1"/>
  <c r="N88" i="1"/>
  <c r="X87" i="1"/>
  <c r="N87" i="1"/>
  <c r="X86" i="1"/>
  <c r="N86" i="1"/>
  <c r="X85" i="1"/>
  <c r="N85" i="1"/>
  <c r="X84" i="1"/>
  <c r="N84" i="1"/>
  <c r="X83" i="1"/>
  <c r="N83" i="1"/>
  <c r="X82" i="1"/>
  <c r="N82" i="1"/>
  <c r="X81" i="1"/>
  <c r="N81" i="1"/>
  <c r="X80" i="1"/>
  <c r="N80" i="1"/>
  <c r="X79" i="1"/>
  <c r="N79" i="1"/>
  <c r="X78" i="1"/>
  <c r="N78" i="1"/>
  <c r="X77" i="1"/>
  <c r="N77" i="1"/>
  <c r="X76" i="1"/>
  <c r="N76" i="1"/>
  <c r="X75" i="1"/>
  <c r="N75" i="1"/>
  <c r="X74" i="1"/>
  <c r="N74" i="1"/>
  <c r="X73" i="1"/>
  <c r="N73" i="1"/>
  <c r="X72" i="1"/>
  <c r="N72" i="1"/>
  <c r="X71" i="1"/>
  <c r="N71" i="1"/>
  <c r="X70" i="1"/>
  <c r="N70" i="1"/>
  <c r="X69" i="1"/>
  <c r="N69" i="1"/>
  <c r="X68" i="1"/>
  <c r="N68" i="1"/>
  <c r="X67" i="1"/>
  <c r="N67" i="1"/>
  <c r="X66" i="1"/>
  <c r="N66" i="1"/>
  <c r="X65" i="1"/>
  <c r="N65" i="1"/>
  <c r="X64" i="1"/>
  <c r="N64" i="1"/>
  <c r="X63" i="1"/>
  <c r="N63" i="1"/>
  <c r="X62" i="1"/>
  <c r="N62" i="1"/>
  <c r="X61" i="1"/>
  <c r="N61" i="1"/>
  <c r="X60" i="1"/>
  <c r="N60" i="1"/>
  <c r="X59" i="1"/>
  <c r="N59" i="1"/>
  <c r="X58" i="1"/>
  <c r="N58" i="1"/>
  <c r="X57" i="1"/>
  <c r="N57" i="1"/>
  <c r="X56" i="1"/>
  <c r="N56" i="1"/>
  <c r="X55" i="1"/>
  <c r="N55" i="1"/>
  <c r="X54" i="1"/>
  <c r="N54" i="1"/>
  <c r="X53" i="1"/>
  <c r="N53" i="1"/>
  <c r="X52" i="1"/>
  <c r="N52" i="1"/>
  <c r="X51" i="1"/>
  <c r="N51" i="1"/>
  <c r="X50" i="1"/>
  <c r="N50" i="1"/>
  <c r="X49" i="1"/>
  <c r="N49" i="1"/>
  <c r="X48" i="1"/>
  <c r="N48" i="1"/>
  <c r="X47" i="1"/>
  <c r="N47" i="1"/>
  <c r="X46" i="1"/>
  <c r="N46" i="1"/>
  <c r="X45" i="1"/>
  <c r="N45" i="1"/>
  <c r="X44" i="1"/>
  <c r="N44" i="1"/>
  <c r="X43" i="1"/>
  <c r="N43" i="1"/>
  <c r="X42" i="1"/>
  <c r="N42" i="1"/>
  <c r="X41" i="1"/>
  <c r="N41" i="1"/>
  <c r="X40" i="1"/>
  <c r="N40" i="1"/>
  <c r="X39" i="1"/>
  <c r="N39" i="1"/>
  <c r="X38" i="1"/>
  <c r="N38" i="1"/>
  <c r="X37" i="1"/>
  <c r="N37" i="1"/>
  <c r="X36" i="1"/>
  <c r="N36" i="1"/>
  <c r="X35" i="1"/>
  <c r="N35" i="1"/>
  <c r="X34" i="1"/>
  <c r="N34" i="1"/>
  <c r="X33" i="1"/>
  <c r="N33" i="1"/>
  <c r="X32" i="1"/>
  <c r="N32" i="1"/>
  <c r="X31" i="1"/>
  <c r="N31" i="1"/>
  <c r="X30" i="1"/>
  <c r="N30" i="1"/>
  <c r="X29" i="1"/>
  <c r="N29" i="1"/>
  <c r="X28" i="1"/>
  <c r="N28" i="1"/>
  <c r="X27" i="1"/>
  <c r="N27" i="1"/>
  <c r="X26" i="1"/>
  <c r="N26" i="1"/>
  <c r="X25" i="1"/>
  <c r="N25" i="1"/>
  <c r="X24" i="1"/>
  <c r="N24" i="1"/>
  <c r="X23" i="1"/>
  <c r="N23" i="1"/>
  <c r="X22" i="1"/>
  <c r="N22" i="1"/>
  <c r="X21" i="1"/>
  <c r="N21" i="1"/>
  <c r="X20" i="1"/>
  <c r="N20" i="1"/>
  <c r="X19" i="1"/>
  <c r="N19" i="1"/>
  <c r="X18" i="1"/>
  <c r="N18" i="1"/>
  <c r="X17" i="1"/>
  <c r="N17" i="1"/>
  <c r="X16" i="1"/>
  <c r="N16" i="1"/>
  <c r="X15" i="1"/>
  <c r="N15" i="1"/>
  <c r="X14" i="1"/>
  <c r="N14" i="1"/>
  <c r="X13" i="1"/>
  <c r="N13" i="1"/>
  <c r="X12" i="1"/>
  <c r="N12" i="1"/>
  <c r="X11" i="1"/>
  <c r="N11" i="1"/>
  <c r="X10" i="1"/>
  <c r="N10" i="1"/>
  <c r="X9" i="1"/>
  <c r="N9" i="1"/>
  <c r="X8" i="1"/>
  <c r="N8" i="1"/>
  <c r="X7" i="1"/>
  <c r="N7" i="1"/>
  <c r="X6" i="1"/>
  <c r="N6" i="1"/>
  <c r="X5" i="1"/>
  <c r="N5" i="1"/>
  <c r="X4" i="1"/>
  <c r="N4" i="1"/>
  <c r="X3" i="1"/>
  <c r="N3" i="1"/>
  <c r="D4" i="12"/>
  <c r="D1027" i="12"/>
  <c r="D1028" i="12"/>
  <c r="D1029" i="12"/>
  <c r="D1030" i="12"/>
  <c r="D1031" i="12"/>
  <c r="D1032" i="12"/>
  <c r="D1033" i="12"/>
  <c r="D1034" i="12"/>
  <c r="D1035" i="12"/>
  <c r="D1036" i="12"/>
  <c r="D1037" i="12"/>
  <c r="D1038" i="12"/>
  <c r="D1039" i="12"/>
  <c r="E4" i="12"/>
  <c r="E1028" i="12"/>
  <c r="E1029" i="12"/>
  <c r="E1030" i="12"/>
  <c r="E1035" i="12"/>
  <c r="E1036" i="12"/>
  <c r="E1037" i="12"/>
  <c r="E1038" i="12"/>
  <c r="E1039" i="12"/>
  <c r="G1027" i="12"/>
  <c r="G1030" i="12"/>
  <c r="B222" i="13"/>
  <c r="C220" i="13"/>
  <c r="C229" i="13"/>
  <c r="B217" i="13"/>
  <c r="C221" i="13"/>
  <c r="C228" i="13"/>
  <c r="C222" i="13"/>
  <c r="C217" i="13"/>
  <c r="C223" i="13"/>
  <c r="C224" i="13"/>
  <c r="B221" i="13"/>
  <c r="C225" i="13"/>
  <c r="B220" i="13"/>
  <c r="C226" i="13"/>
  <c r="B219" i="13"/>
  <c r="C227" i="13"/>
  <c r="B218" i="13"/>
  <c r="C6" i="13"/>
  <c r="C5" i="13"/>
  <c r="C4" i="13"/>
  <c r="C218" i="13"/>
  <c r="C230" i="13"/>
  <c r="C219" i="13"/>
  <c r="C231" i="13"/>
  <c r="D218" i="13" l="1"/>
  <c r="E218" i="13" s="1"/>
  <c r="D219" i="13"/>
  <c r="E219" i="13" s="1"/>
  <c r="D220" i="13"/>
  <c r="E220" i="13" s="1"/>
  <c r="D221" i="13"/>
  <c r="E221" i="13" s="1"/>
  <c r="D222" i="13"/>
  <c r="E222" i="13" s="1"/>
  <c r="D217" i="13"/>
  <c r="E217" i="13" s="1"/>
  <c r="D228" i="13"/>
  <c r="D229" i="13"/>
  <c r="D227" i="13"/>
  <c r="D226" i="13"/>
  <c r="D225" i="13"/>
  <c r="D224" i="13"/>
  <c r="D223" i="13"/>
  <c r="D231" i="13"/>
  <c r="D230" i="13"/>
  <c r="A3" i="11"/>
  <c r="A2" i="11"/>
  <c r="A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81503-8250-4097-BA33-1588C7CBE57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<sst xmlns="http://schemas.openxmlformats.org/spreadsheetml/2006/main" count="34718" uniqueCount="4860">
  <si>
    <t>GENERATED ON: 07-May-2025 08:45 AM
TITLE: [EMPMASTER] EMPLOYEE MASTER
REPORT FILTER: Effective Date From 07/May/2025, To 07/May/2025
ADDITIONAL FILTER: Employment Type in ['C','P'], Hire Date from 01/Jan/2021 to 07/May/2025, Confirm Date from 01/Jan/2021 to 07/May/2025, Status in [Active,Probation,Confirmed]</t>
  </si>
  <si>
    <t>No.</t>
  </si>
  <si>
    <t>Employee No.</t>
  </si>
  <si>
    <t>Salutation</t>
  </si>
  <si>
    <t>Employee Name</t>
  </si>
  <si>
    <t>Employee Position</t>
  </si>
  <si>
    <t>Employee Department Desc.(F)</t>
  </si>
  <si>
    <t>Employee Section Desc.(F)</t>
  </si>
  <si>
    <t>Employee Cost Centre Desc.(F)</t>
  </si>
  <si>
    <t>New NRIC No.</t>
  </si>
  <si>
    <t>Employee Nationality Desc.(F)</t>
  </si>
  <si>
    <t>Gender</t>
  </si>
  <si>
    <t>Race</t>
  </si>
  <si>
    <t>Religion</t>
  </si>
  <si>
    <t>Hire Date</t>
  </si>
  <si>
    <t>Transport</t>
  </si>
  <si>
    <t>Employee Supervisor Desc.(F)</t>
  </si>
  <si>
    <t>Employee Category Desc.(F)</t>
  </si>
  <si>
    <t>Email</t>
  </si>
  <si>
    <t>Employee Superior Desc.(F)</t>
  </si>
  <si>
    <t>Employee Age</t>
  </si>
  <si>
    <t>Employee Position ID Desc.(F)</t>
  </si>
  <si>
    <t>Employee Shift Group Desc.(F)</t>
  </si>
  <si>
    <t>Employee Section</t>
  </si>
  <si>
    <t>Employee Confirm Date</t>
  </si>
  <si>
    <t>OSD25110001</t>
  </si>
  <si>
    <t>MR</t>
  </si>
  <si>
    <t>MUHAMAD HAFIZ BIN ABDULLAH</t>
  </si>
  <si>
    <t>OPERATOR</t>
  </si>
  <si>
    <t>PRODUCTION</t>
  </si>
  <si>
    <t>DF</t>
  </si>
  <si>
    <t>PRODUCTION - SPS</t>
  </si>
  <si>
    <t>040110110195</t>
  </si>
  <si>
    <t>MALAYSIA</t>
  </si>
  <si>
    <t>M</t>
  </si>
  <si>
    <t>MALAY</t>
  </si>
  <si>
    <t>MUS</t>
  </si>
  <si>
    <t>NURUL HIDAYAH FADHILLAH BINTI ZAIDY ISMAIL</t>
  </si>
  <si>
    <t>OPERATION</t>
  </si>
  <si>
    <t>hafizasdol04@gmail.com</t>
  </si>
  <si>
    <t>SHIFT - GROUP E1 (NEW 2025)</t>
  </si>
  <si>
    <t>OSD25110005</t>
  </si>
  <si>
    <t>SYAZWAN BIN MOHD NOR AZMAN</t>
  </si>
  <si>
    <t>AU</t>
  </si>
  <si>
    <t>031113070737</t>
  </si>
  <si>
    <t>wanbestwanbest5@gmail.com</t>
  </si>
  <si>
    <t>OSD25110006</t>
  </si>
  <si>
    <t>MUHAMMAD SYAFIQ BIN MOHAMAD RAHMAT</t>
  </si>
  <si>
    <t>ROUTER</t>
  </si>
  <si>
    <t>990122076077</t>
  </si>
  <si>
    <t>MUHAMMAD AIDIL BIN ZAKARIA</t>
  </si>
  <si>
    <t>syafiqrahmative@gmail.com</t>
  </si>
  <si>
    <t>MOHAMMAD BIN OSMAN</t>
  </si>
  <si>
    <t>SHIFT - GROUP A (NEW 2025)</t>
  </si>
  <si>
    <t>OSD25110013</t>
  </si>
  <si>
    <t>MOHAMAD HAFIZ BIN ABDUL RAHMAN</t>
  </si>
  <si>
    <t>AOI</t>
  </si>
  <si>
    <t>010731080235</t>
  </si>
  <si>
    <t>NURUL HUSNA BINTI SALLEH</t>
  </si>
  <si>
    <t>madhafiz31@gmail.com</t>
  </si>
  <si>
    <t>OSD25110014</t>
  </si>
  <si>
    <t>MUHAMMAD SIRAJ MUNIR BIN MUBARAK</t>
  </si>
  <si>
    <t>CU</t>
  </si>
  <si>
    <t>950403045609</t>
  </si>
  <si>
    <t>MOHD FAHMY BIN HAMID</t>
  </si>
  <si>
    <t>muhammadsirajmunir34@gmail.com</t>
  </si>
  <si>
    <t>OSD25110019</t>
  </si>
  <si>
    <t>SYAHRUL IKHWAN BIN STAFFA</t>
  </si>
  <si>
    <t>971023095025</t>
  </si>
  <si>
    <t>syhrl.ikhwan@gmail,com</t>
  </si>
  <si>
    <t>OSD25110020</t>
  </si>
  <si>
    <t>MUHAMMAD HAZIQ HAKIMI BIN MAHADIR</t>
  </si>
  <si>
    <t>BBT</t>
  </si>
  <si>
    <t>040319020035</t>
  </si>
  <si>
    <t>DURRATUL AZRIN BINTI SAMSUDIN</t>
  </si>
  <si>
    <t>haziq0035@icloud.com</t>
  </si>
  <si>
    <t>SHIFT - GROUP E2 (NEW 2025)</t>
  </si>
  <si>
    <t>OSD25110021</t>
  </si>
  <si>
    <t>MUHAMAD AMIRULNAIM BIN ABU HASSAN</t>
  </si>
  <si>
    <t>SM</t>
  </si>
  <si>
    <t>000227020445</t>
  </si>
  <si>
    <t>GUNASILAN A/L THANGARAJI</t>
  </si>
  <si>
    <t>amiruln360@gmail.com</t>
  </si>
  <si>
    <t>OSD25110022</t>
  </si>
  <si>
    <t>MOHAMMAD REDZUAN BIN MOHAMMAD NOOR</t>
  </si>
  <si>
    <t>DRILL</t>
  </si>
  <si>
    <t>930730025439</t>
  </si>
  <si>
    <t>HASRUL BIN YUSOF</t>
  </si>
  <si>
    <t>redzuan1771@gmail.com</t>
  </si>
  <si>
    <t>SHIFT - GROUP B (NEW 2025)</t>
  </si>
  <si>
    <t>OSD25110023</t>
  </si>
  <si>
    <t>MUHAMMAD DANIAL HAIKAL BIN ISMAIL</t>
  </si>
  <si>
    <t>010913020575</t>
  </si>
  <si>
    <t>marl020575@icloud.com</t>
  </si>
  <si>
    <t>OSD25110025</t>
  </si>
  <si>
    <t>MUHAMMAD ASYRAAF BIN ROMLI</t>
  </si>
  <si>
    <t>020210020973</t>
  </si>
  <si>
    <t>asyraafromli@icloud.com</t>
  </si>
  <si>
    <t>OSD25110026</t>
  </si>
  <si>
    <t>MUHAMMAD TAUFIQ BIN KHALID</t>
  </si>
  <si>
    <t>000501021417</t>
  </si>
  <si>
    <t>taufiqkhalid75@gmail.com</t>
  </si>
  <si>
    <t>OSD25110027</t>
  </si>
  <si>
    <t>MS</t>
  </si>
  <si>
    <t>SYAIDATUL FATEHAH BINTI IBRAHIM</t>
  </si>
  <si>
    <t>001003021814</t>
  </si>
  <si>
    <t>F</t>
  </si>
  <si>
    <t>C</t>
  </si>
  <si>
    <t>syaidatulfatehah20@gmail.com</t>
  </si>
  <si>
    <t>OSD25110028</t>
  </si>
  <si>
    <t>SITI RAHMAH BINTI ZAINAL ABIDIN</t>
  </si>
  <si>
    <t>990130085096</t>
  </si>
  <si>
    <t>rahmahzainal990@gmail.com</t>
  </si>
  <si>
    <t>OSD25110029</t>
  </si>
  <si>
    <t>NUR SHAHFINAS BINTI MOHD AMIN</t>
  </si>
  <si>
    <t>010406080768</t>
  </si>
  <si>
    <t>fieee1290@gmail.com</t>
  </si>
  <si>
    <t>OSD25110030</t>
  </si>
  <si>
    <t>NURUL IZZAH BINTI ZAKARIA</t>
  </si>
  <si>
    <t>011215090036</t>
  </si>
  <si>
    <t>nurulizzahzakaria10@gmail.com</t>
  </si>
  <si>
    <t>OSD25110031</t>
  </si>
  <si>
    <t>NURSYAFIQAH BINTI YUZAIDI</t>
  </si>
  <si>
    <t>PACKING</t>
  </si>
  <si>
    <t>041212080198</t>
  </si>
  <si>
    <t>MUHAMMAD DAMIREL BIN ABDUL HAMID</t>
  </si>
  <si>
    <t>ikaayuzaidii@gmail.com</t>
  </si>
  <si>
    <t>MUHAMAD FAKHRUDDIN BIN MD FUZI</t>
  </si>
  <si>
    <t>PACK</t>
  </si>
  <si>
    <t>OSD25110032</t>
  </si>
  <si>
    <t>ROSNANI BINTI MOHAMAD AJIME</t>
  </si>
  <si>
    <t>990306086552</t>
  </si>
  <si>
    <t>rosnaninani151@gmail.com</t>
  </si>
  <si>
    <t>OSD25110033</t>
  </si>
  <si>
    <t>NURUL AZWA BINTI ABDULLAH</t>
  </si>
  <si>
    <t>010511080102</t>
  </si>
  <si>
    <t>azwa58994@gmail.com</t>
  </si>
  <si>
    <t>OSD25110034</t>
  </si>
  <si>
    <t>NOR FAIZAH BINTI BAHARIJAN</t>
  </si>
  <si>
    <t>000924080814</t>
  </si>
  <si>
    <t>ijah924@gmail.com</t>
  </si>
  <si>
    <t>OSD25110035</t>
  </si>
  <si>
    <t>NUR HAIFA ALISHA BINTI YUSOF</t>
  </si>
  <si>
    <t>030605020678</t>
  </si>
  <si>
    <t>THANUSHA A/P KRISHNANSAMY</t>
  </si>
  <si>
    <t>haifaalisha241@gmail.com</t>
  </si>
  <si>
    <t>SHIFT - GROUP C (NEW 2025)</t>
  </si>
  <si>
    <t>OSD25110036</t>
  </si>
  <si>
    <t>NORAISHA BINTI MOHD YANI</t>
  </si>
  <si>
    <t>960221025112</t>
  </si>
  <si>
    <t>yaisha800@gmail.com</t>
  </si>
  <si>
    <t>OSD25110037</t>
  </si>
  <si>
    <t>MUHAMAD HAIKAL BIN AHMAD FISOL</t>
  </si>
  <si>
    <t>011002070349</t>
  </si>
  <si>
    <t>muhdh6386@gmail.com</t>
  </si>
  <si>
    <t>OSD25120001</t>
  </si>
  <si>
    <t>NORSAFUAN BIN ZULKIFLE</t>
  </si>
  <si>
    <t>971009065073</t>
  </si>
  <si>
    <t>safuaniwan5@gmail.com</t>
  </si>
  <si>
    <t>OSD25120002</t>
  </si>
  <si>
    <t>MUHAMMAD ZUFAYRI BIN RAFIDI</t>
  </si>
  <si>
    <t>001105080225</t>
  </si>
  <si>
    <t>errybotak123@gmail.com</t>
  </si>
  <si>
    <t>OSD25120003</t>
  </si>
  <si>
    <t>MUHAMMAD NUR AIMAN HAIQAL BIN MOHD SAAD</t>
  </si>
  <si>
    <t>011009081323</t>
  </si>
  <si>
    <t>mraimanhaiqal01@icloud.com</t>
  </si>
  <si>
    <t>OSD25120004</t>
  </si>
  <si>
    <t>MUHAMAD AZRUL BIN ZAMBERI</t>
  </si>
  <si>
    <t>010110020061</t>
  </si>
  <si>
    <t>azrulpjx5220@gmail.com</t>
  </si>
  <si>
    <t>OSD25120005</t>
  </si>
  <si>
    <t>ADIL LUQMAN BIN SAIMI</t>
  </si>
  <si>
    <t>030901081053</t>
  </si>
  <si>
    <t>adilluqman1234@gmailcom</t>
  </si>
  <si>
    <t>OSD25120006</t>
  </si>
  <si>
    <t>FAIZAL HAKIM BIN ABD LATIF</t>
  </si>
  <si>
    <t>000531080549</t>
  </si>
  <si>
    <t>faizalhakim255@gmail.com</t>
  </si>
  <si>
    <t>OSD25120008</t>
  </si>
  <si>
    <t>MUHAMAD NUR ARIF BIN NORDIN AHMAD</t>
  </si>
  <si>
    <t>051124070079</t>
  </si>
  <si>
    <t>MUHAMMAD FAZARUL FAIZ BIN SAHARI</t>
  </si>
  <si>
    <t>muhammadnurarif392@gmail.com</t>
  </si>
  <si>
    <t>OSD25120009</t>
  </si>
  <si>
    <t>ABDUL RAHMANUL HAKIM BIN AB RAHIM</t>
  </si>
  <si>
    <t>961002035235</t>
  </si>
  <si>
    <t>hakimjgr@gmail.com</t>
  </si>
  <si>
    <t>OSD25120011</t>
  </si>
  <si>
    <t>JULAINI BIN SHUKRI</t>
  </si>
  <si>
    <t>970827025001</t>
  </si>
  <si>
    <t>julainishukri@gmail.com</t>
  </si>
  <si>
    <t>OSD25120014</t>
  </si>
  <si>
    <t>MUHAMMAD AZRUL BIN ABDUL MUIN</t>
  </si>
  <si>
    <t>020630020451</t>
  </si>
  <si>
    <t>azrul6460@gmail.com</t>
  </si>
  <si>
    <t>OSD25120015</t>
  </si>
  <si>
    <t>MUHAMAD AZIZI BIN RAMLI</t>
  </si>
  <si>
    <t>971026265165</t>
  </si>
  <si>
    <t>muhdazizi780@gmail.com.my</t>
  </si>
  <si>
    <t>OSD25120019</t>
  </si>
  <si>
    <t>NABILA NATASHA BINTI JEMIDIN</t>
  </si>
  <si>
    <t>990301086246</t>
  </si>
  <si>
    <t>AMIRUL EHSAN BIN RODZMAN</t>
  </si>
  <si>
    <t>nabilanatasha403@gmail.com</t>
  </si>
  <si>
    <t>OSD25120020</t>
  </si>
  <si>
    <t>RATNAPIRIYA A/P GANESAN</t>
  </si>
  <si>
    <t>990206085966</t>
  </si>
  <si>
    <t>INDI</t>
  </si>
  <si>
    <t>HIN</t>
  </si>
  <si>
    <t>ratnapriya479@gmail.com</t>
  </si>
  <si>
    <t>OSD25120021</t>
  </si>
  <si>
    <t>SITI AISHAH BINTI SHAMHAR</t>
  </si>
  <si>
    <t>990601026974</t>
  </si>
  <si>
    <t>aishahsyamhar7@gmail.com</t>
  </si>
  <si>
    <t>OSD25120022</t>
  </si>
  <si>
    <t>SITI ZULAIKHA BINTI SHAMHAR</t>
  </si>
  <si>
    <t>040204020190</t>
  </si>
  <si>
    <t>zulaikhasyamhar407@gmail.com</t>
  </si>
  <si>
    <t>OSD25120024</t>
  </si>
  <si>
    <t>SITI NOOR JANNAH BINTI HAMDAN</t>
  </si>
  <si>
    <t>991023025068</t>
  </si>
  <si>
    <t>sitinoorjannahhamdan@gmail.com</t>
  </si>
  <si>
    <t>OSD25120026</t>
  </si>
  <si>
    <t>NURUL FATIN FARZANA BINTI BAHARUDIN</t>
  </si>
  <si>
    <t>000615081602</t>
  </si>
  <si>
    <t>fatinfarzan20@gmail.com</t>
  </si>
  <si>
    <t>OSD25120027</t>
  </si>
  <si>
    <t>NUR IFFAH IZZATI BINTI MOHAMAD</t>
  </si>
  <si>
    <t>051118020438</t>
  </si>
  <si>
    <t>ABDUL SAMAD BIN MOHD MYDIN</t>
  </si>
  <si>
    <t>iffahizzati185@gmail.com</t>
  </si>
  <si>
    <t>OSD25120028</t>
  </si>
  <si>
    <t>NORHIDAYAH BINTI SULAIMAN</t>
  </si>
  <si>
    <t>961115025914</t>
  </si>
  <si>
    <t>hidayahsulaiman64@gmail.com</t>
  </si>
  <si>
    <t>OSD25120030</t>
  </si>
  <si>
    <t>MUHAMMAD DANISH HAIKAL BIN ABDULLAH</t>
  </si>
  <si>
    <t>070105020985</t>
  </si>
  <si>
    <t>muhammaddanishhaikal0501@gmail.com</t>
  </si>
  <si>
    <t>OSD25120032</t>
  </si>
  <si>
    <t>DANISH ISKANDAR BIN ANUAR</t>
  </si>
  <si>
    <t>040219070043</t>
  </si>
  <si>
    <t>danishiskandar7646@gmail.com</t>
  </si>
  <si>
    <t>OSD25120034</t>
  </si>
  <si>
    <t>MUHAMAD ALIF AIMAN BIN MOHD ZABIDI</t>
  </si>
  <si>
    <t>040920070105</t>
  </si>
  <si>
    <t>aimannalif1@gmail.com</t>
  </si>
  <si>
    <t>OSD25120035</t>
  </si>
  <si>
    <t>MUHAMAD HIZAMI BIN YAHAYA</t>
  </si>
  <si>
    <t>980122385209</t>
  </si>
  <si>
    <t>muhamadhizami8@gmail.com</t>
  </si>
  <si>
    <t>OSD25120037</t>
  </si>
  <si>
    <t>MOHAMMAD ARIF HAKIMI BIN AMIR</t>
  </si>
  <si>
    <t>000525070993</t>
  </si>
  <si>
    <t>mohdarifhakimi25@gmail.com</t>
  </si>
  <si>
    <t>OSD25120038</t>
  </si>
  <si>
    <t>REZUANDEY SAIT</t>
  </si>
  <si>
    <t>011009121997</t>
  </si>
  <si>
    <t>srezuandey@gmail.com</t>
  </si>
  <si>
    <t>OSD25120040</t>
  </si>
  <si>
    <t>MUHAMMAD DANEIL IKMAL BIN ABDUL HALIM TAN</t>
  </si>
  <si>
    <t>010413021053</t>
  </si>
  <si>
    <t>MUHAMMAD HAFIZZUDIN NAJMI BIN SHAHRUL</t>
  </si>
  <si>
    <t>danialikmal102@gmail.com</t>
  </si>
  <si>
    <t>OSD25120041</t>
  </si>
  <si>
    <t>MUHAMMAD RIDZUAN BIN MASIRAN</t>
  </si>
  <si>
    <t>041118081303</t>
  </si>
  <si>
    <t>ridzuanmasiran87@gmail.com</t>
  </si>
  <si>
    <t>OSD25120042</t>
  </si>
  <si>
    <t>MUHAMMAD ALIF HAIKAL BIN BASARUDIN</t>
  </si>
  <si>
    <t>031030080235</t>
  </si>
  <si>
    <t>alifhkl2003@gmail.com</t>
  </si>
  <si>
    <t>OSD25120043</t>
  </si>
  <si>
    <t>MUHAMMAD HIDAYAT BIN JAMALUDIN</t>
  </si>
  <si>
    <t>030610020429</t>
  </si>
  <si>
    <t>dekyatt1@gmail.com</t>
  </si>
  <si>
    <t>OSD25120044</t>
  </si>
  <si>
    <t>MUHAMAD ZULHILMI BIN AHMAD RAFI</t>
  </si>
  <si>
    <t>010511070107</t>
  </si>
  <si>
    <t>muhdzulhilmi112001@gmail.com</t>
  </si>
  <si>
    <t>OSD25120045</t>
  </si>
  <si>
    <t>MUHAMMAD NABIL IKHWAN BIN AHMAD TAJUDDIN</t>
  </si>
  <si>
    <t>030624010555</t>
  </si>
  <si>
    <t>muhammadnabilikhwan71@gmail.com</t>
  </si>
  <si>
    <t>OSD25120046</t>
  </si>
  <si>
    <t>MUHAMMAD AIMAN HANIF BIN BADERI</t>
  </si>
  <si>
    <t>000105030207</t>
  </si>
  <si>
    <t>aiman000105@gmail.com</t>
  </si>
  <si>
    <t>OSD25120047</t>
  </si>
  <si>
    <t>MUHAMMAD RIDZUAN HAKIM BIN MOHD ROSLAN</t>
  </si>
  <si>
    <t>000302020999</t>
  </si>
  <si>
    <t>hakim123roslan@gmail.com</t>
  </si>
  <si>
    <t>OSD25120048</t>
  </si>
  <si>
    <t>MOHAMAD ZAIRULL ZAIEDD BIN ROSIDI</t>
  </si>
  <si>
    <t>000702080683</t>
  </si>
  <si>
    <t>zairulzaied@gmail.com</t>
  </si>
  <si>
    <t>OSD25120050</t>
  </si>
  <si>
    <t>HAMZAH BIN ZULKIFLEE</t>
  </si>
  <si>
    <t>960716025683</t>
  </si>
  <si>
    <t>tobey4511@gmail.com</t>
  </si>
  <si>
    <t>OSD25120052</t>
  </si>
  <si>
    <t>FADZLIYA SYOUBHATOULLAH BIN SAMSUDDIN</t>
  </si>
  <si>
    <t>970212075643</t>
  </si>
  <si>
    <t>fadzliya1997@gmail.com</t>
  </si>
  <si>
    <t>OSD25120055</t>
  </si>
  <si>
    <t>MUHAMMAD MU'AMMAR AFZAN BIN MOHD AZHAR</t>
  </si>
  <si>
    <t>990223075305</t>
  </si>
  <si>
    <t>ammarafzan07@gmail.com</t>
  </si>
  <si>
    <t>OSD25120056</t>
  </si>
  <si>
    <t>MOHAMAD ADIF ASYRAF BIN AHMAD SHUKOR</t>
  </si>
  <si>
    <t>060805080891</t>
  </si>
  <si>
    <t>adifasyraf295@gmail.com</t>
  </si>
  <si>
    <t>OSD25120057</t>
  </si>
  <si>
    <t>MUHAMMAD RIDZUWAN BIN ABD KARIM</t>
  </si>
  <si>
    <t>020408070765</t>
  </si>
  <si>
    <t>muhammadridzuwan@gmail.com</t>
  </si>
  <si>
    <t>OSD25120058</t>
  </si>
  <si>
    <t>MOHAMAD IQUAN ALIF BIN SAIDIN</t>
  </si>
  <si>
    <t>011117080045</t>
  </si>
  <si>
    <t>iquanalif64@gmail.com</t>
  </si>
  <si>
    <t>OSD25120059</t>
  </si>
  <si>
    <t>MOHAMAD DANISH HAZIQ BIN BAHARUDDIN</t>
  </si>
  <si>
    <t>041102080883</t>
  </si>
  <si>
    <t>haziqdanish659@gmail.com</t>
  </si>
  <si>
    <t>OSD25120061</t>
  </si>
  <si>
    <t>SAIMIRAH BINTI LUKMAN MAIT</t>
  </si>
  <si>
    <t>011203020030</t>
  </si>
  <si>
    <t>mirahlukman@gmail.com</t>
  </si>
  <si>
    <t>OSD25120062</t>
  </si>
  <si>
    <t>NUR ASYIKIN BINTI MOHD FAUZI</t>
  </si>
  <si>
    <t>040103070244</t>
  </si>
  <si>
    <t>ekinpojiee1@gmail.com</t>
  </si>
  <si>
    <t>OSD25120064</t>
  </si>
  <si>
    <t>NUR SHAFIKAH BINTI MUHAMMAD THOHIMI</t>
  </si>
  <si>
    <t>001126020088</t>
  </si>
  <si>
    <t>amoyanjee@gmail.com</t>
  </si>
  <si>
    <t>OSD25130001</t>
  </si>
  <si>
    <t>ALIF AIMAN BIN RUKININ</t>
  </si>
  <si>
    <t>040805012073</t>
  </si>
  <si>
    <t>boxyzz91@gmail.com</t>
  </si>
  <si>
    <t>OSD25130002</t>
  </si>
  <si>
    <t>AMIRRUDDIN IBRAHIM</t>
  </si>
  <si>
    <t>960430025549</t>
  </si>
  <si>
    <t>amixbrahim916@gmail.com</t>
  </si>
  <si>
    <t>OSD25130003</t>
  </si>
  <si>
    <t>ALIF AKMAL BIN HASBULLAH</t>
  </si>
  <si>
    <t>971205385373</t>
  </si>
  <si>
    <t>alifakmalhasbullah5373@gmail.com</t>
  </si>
  <si>
    <t>OSD25130004</t>
  </si>
  <si>
    <t>IKMAL ISKANDAR BIN HISYAMUDIN</t>
  </si>
  <si>
    <t>011024020027</t>
  </si>
  <si>
    <t>ikmaliskandar55@gmail.com</t>
  </si>
  <si>
    <t>OSD25130005</t>
  </si>
  <si>
    <t>MOHAMMAD SHAFIQ DANISH BIN SHAHARUDIN</t>
  </si>
  <si>
    <t>030925070367</t>
  </si>
  <si>
    <t>danishangah982@gmail.com</t>
  </si>
  <si>
    <t>OSD25130007</t>
  </si>
  <si>
    <t>MOHAMAD AL AMIN BIN MOHAMAD RADZI</t>
  </si>
  <si>
    <t>040511080193</t>
  </si>
  <si>
    <t>alamin.6666.123@gmail.com</t>
  </si>
  <si>
    <t>OSD25130008</t>
  </si>
  <si>
    <t>MUHAMAD IRFAN FAREEZ BIN AZEMI</t>
  </si>
  <si>
    <t>021219070445</t>
  </si>
  <si>
    <t>irfanazemie@gmail.com</t>
  </si>
  <si>
    <t/>
  </si>
  <si>
    <t>OSD25130009</t>
  </si>
  <si>
    <t>MUHAMMAD AZAM AFIF BIN MOHAMAD HALMI</t>
  </si>
  <si>
    <t>030216021087</t>
  </si>
  <si>
    <t>azamafif16@icloud.com</t>
  </si>
  <si>
    <t>OSD25130010</t>
  </si>
  <si>
    <t>MOHAMAD AIMAN SYAFIK BIN HENDRY</t>
  </si>
  <si>
    <t>051109120699</t>
  </si>
  <si>
    <t>aimanhappyselalu@gmail.com</t>
  </si>
  <si>
    <t>OSD25130013</t>
  </si>
  <si>
    <t>MUHAMMAD KHAIRUL AMIR BIN A BAKAR</t>
  </si>
  <si>
    <t>970903085939</t>
  </si>
  <si>
    <t>khairulamir788@gmail.com</t>
  </si>
  <si>
    <t>OSD25130014</t>
  </si>
  <si>
    <t>MOHD AIDIL FARID BIN MOHD NORDIN AZMAIN</t>
  </si>
  <si>
    <t>040813120605</t>
  </si>
  <si>
    <t>muhdaidilfarid133@gmail.com</t>
  </si>
  <si>
    <t>OSD25130015</t>
  </si>
  <si>
    <t>MUHAMAD ZAQWAN BIN SALLEH</t>
  </si>
  <si>
    <t>020306070297</t>
  </si>
  <si>
    <t>zaqwan0203@icloud.com</t>
  </si>
  <si>
    <t>OSD25130016</t>
  </si>
  <si>
    <t>MUHAMMAD ASYRAF BIN AZMI</t>
  </si>
  <si>
    <t>011223090079</t>
  </si>
  <si>
    <t>muhdasyraf01124370syg@gmail.com</t>
  </si>
  <si>
    <t>OSD25130017</t>
  </si>
  <si>
    <t>NUR NAZIFAH BINTI MOHAMAD AZAHARI</t>
  </si>
  <si>
    <t>020410080604</t>
  </si>
  <si>
    <t>nazieffah260@gmail.com</t>
  </si>
  <si>
    <t>OSD25130018</t>
  </si>
  <si>
    <t>PUTRI NORAYUNI BINTI AZMI</t>
  </si>
  <si>
    <t>050414070312</t>
  </si>
  <si>
    <t>ayuniazmi1404@gmail.com</t>
  </si>
  <si>
    <t>OSD25130019</t>
  </si>
  <si>
    <t>UMAR ZUHDI BIN MOHAMAD NASIR</t>
  </si>
  <si>
    <t>040630020871</t>
  </si>
  <si>
    <t>umarrembo1234@gmail.com</t>
  </si>
  <si>
    <t>P20210001</t>
  </si>
  <si>
    <t>LOO LEONG HEE</t>
  </si>
  <si>
    <t>SENIOR MANAGER II</t>
  </si>
  <si>
    <t>RT</t>
  </si>
  <si>
    <t>PRODUCTION - COMMON</t>
  </si>
  <si>
    <t>721117075103</t>
  </si>
  <si>
    <t>CHI</t>
  </si>
  <si>
    <t>BUD</t>
  </si>
  <si>
    <t>OH JI HOON</t>
  </si>
  <si>
    <t>MANAGER</t>
  </si>
  <si>
    <t>leonghee.loo@simmtech.com</t>
  </si>
  <si>
    <t>FLEXI SHIFT (NEW 2025)</t>
  </si>
  <si>
    <t>P20210004</t>
  </si>
  <si>
    <t>BEH SHEN YEOW</t>
  </si>
  <si>
    <t>MANAGER II</t>
  </si>
  <si>
    <t>SUPPLY CHAIN MANAGEMENT</t>
  </si>
  <si>
    <t>PURCHASING</t>
  </si>
  <si>
    <t>SCM</t>
  </si>
  <si>
    <t>821204075425</t>
  </si>
  <si>
    <t>NG LAY CHOO</t>
  </si>
  <si>
    <t>shenyeow.beh@simmtech.com</t>
  </si>
  <si>
    <t>KIM DUKYONG</t>
  </si>
  <si>
    <t>PURCHA</t>
  </si>
  <si>
    <t>P20210006</t>
  </si>
  <si>
    <t>NURWAHIDA BINTI MOHD ZAINI</t>
  </si>
  <si>
    <t>ENGINEER II</t>
  </si>
  <si>
    <t>TECHNOLOGY 1</t>
  </si>
  <si>
    <t>911128055092</t>
  </si>
  <si>
    <t>ROSHILA BINTI YAACOB</t>
  </si>
  <si>
    <t>ENGINEER</t>
  </si>
  <si>
    <t>nurwahida.zaini@simmtech.com</t>
  </si>
  <si>
    <t>SO BYUNGHOON</t>
  </si>
  <si>
    <t>P20210012</t>
  </si>
  <si>
    <t>SENIOR MANAGER I</t>
  </si>
  <si>
    <t>701129075030</t>
  </si>
  <si>
    <t>Laychoo.ng@simmtech.com</t>
  </si>
  <si>
    <t>P20210015</t>
  </si>
  <si>
    <t>SENIOR SUPERVISOR</t>
  </si>
  <si>
    <t>910918025184</t>
  </si>
  <si>
    <t>LAU CHOO CHOON</t>
  </si>
  <si>
    <t>hidayah.ismail@simmtech.com</t>
  </si>
  <si>
    <t>P20210016</t>
  </si>
  <si>
    <t>TAN SHAW MUN</t>
  </si>
  <si>
    <t>ENGINEER I</t>
  </si>
  <si>
    <t>EQUIPMENT</t>
  </si>
  <si>
    <t>P5</t>
  </si>
  <si>
    <t>881101355496</t>
  </si>
  <si>
    <t>IVAN OOI POH KOK</t>
  </si>
  <si>
    <t>shawmun.tan@simmtech.com</t>
  </si>
  <si>
    <t>P20210019</t>
  </si>
  <si>
    <t>NUR EZZAH FARHIN BINTI ABD MANAN</t>
  </si>
  <si>
    <t>ENVIRONMENT</t>
  </si>
  <si>
    <t>WWTP</t>
  </si>
  <si>
    <t>931221025662</t>
  </si>
  <si>
    <t>LOH SAY HOON</t>
  </si>
  <si>
    <t>ezzah.manan@simmtech.com</t>
  </si>
  <si>
    <t>KIM DONGKYU</t>
  </si>
  <si>
    <t>P20210026</t>
  </si>
  <si>
    <t>FONG YEE MAY</t>
  </si>
  <si>
    <t>OFFICER II</t>
  </si>
  <si>
    <t>PUR - CONTRACT&amp;SYSTEM</t>
  </si>
  <si>
    <t>930728025106</t>
  </si>
  <si>
    <t>TAN YEN FEN</t>
  </si>
  <si>
    <t>OFFICER</t>
  </si>
  <si>
    <t>yeemay.fong@simmtech.com</t>
  </si>
  <si>
    <t>PURCON</t>
  </si>
  <si>
    <t>P20210027</t>
  </si>
  <si>
    <t>790814075263</t>
  </si>
  <si>
    <t>pohkok.ooi@simmtech.com</t>
  </si>
  <si>
    <t>EQUIP</t>
  </si>
  <si>
    <t>P20210028</t>
  </si>
  <si>
    <t>SYARAFUDDIN BIN ALI</t>
  </si>
  <si>
    <t>SENIOR ENGINEER I</t>
  </si>
  <si>
    <t>TECHNOLOGY 3</t>
  </si>
  <si>
    <t>DESIGN</t>
  </si>
  <si>
    <t>910601085517</t>
  </si>
  <si>
    <t>ANN JAESUNG</t>
  </si>
  <si>
    <t>syarafuddin.ali@simmtech.com</t>
  </si>
  <si>
    <t>P20210029</t>
  </si>
  <si>
    <t>NUR SYAZWINA ANIQAH BINTI NOR ADZAM</t>
  </si>
  <si>
    <t>940414075388</t>
  </si>
  <si>
    <t>syazwina.adzam@simmtech.com</t>
  </si>
  <si>
    <t>P20210030</t>
  </si>
  <si>
    <t>NUR MUSFIRAH BINTI MOHMED SALIB</t>
  </si>
  <si>
    <t>910924086338</t>
  </si>
  <si>
    <t>musfirah.salib@simmtech.com</t>
  </si>
  <si>
    <t>P20210034</t>
  </si>
  <si>
    <t>NORFARAHIDA BINTI KAMARUDDIN</t>
  </si>
  <si>
    <t>ASSISTANT</t>
  </si>
  <si>
    <t>QUALITY</t>
  </si>
  <si>
    <t>QC</t>
  </si>
  <si>
    <t>931214035168</t>
  </si>
  <si>
    <t>NG KOK AUN</t>
  </si>
  <si>
    <t>Misszaida1412@gmail.com</t>
  </si>
  <si>
    <t>LEE BYEONG HO</t>
  </si>
  <si>
    <t>P20210041</t>
  </si>
  <si>
    <t>KAMALA KANNAN A/L KRISHNA DASS</t>
  </si>
  <si>
    <t>SUPERVISOR I</t>
  </si>
  <si>
    <t>870616085911</t>
  </si>
  <si>
    <t>SUPERVISOR</t>
  </si>
  <si>
    <t>kannan.dass@simmtech.com</t>
  </si>
  <si>
    <t>CHENG KOK KWANG</t>
  </si>
  <si>
    <t>P20210043</t>
  </si>
  <si>
    <t>MOHAMAD HAZIQ BIN MD FADZIL</t>
  </si>
  <si>
    <t>930119085779</t>
  </si>
  <si>
    <t>haziq.fadzil@simmtech.com</t>
  </si>
  <si>
    <t>P20210044</t>
  </si>
  <si>
    <t>920605025182</t>
  </si>
  <si>
    <t>husna.salleh@simmtech.com</t>
  </si>
  <si>
    <t>P20210048</t>
  </si>
  <si>
    <t>880216265277</t>
  </si>
  <si>
    <t>gunasilan.thangaraji@simmtech.com</t>
  </si>
  <si>
    <t>P20210052</t>
  </si>
  <si>
    <t>MOHAMAD ASADULLAH BIN ROZAIMI</t>
  </si>
  <si>
    <t>P1</t>
  </si>
  <si>
    <t>950829035053</t>
  </si>
  <si>
    <t>asadullah.rozaimi@simmtech.com</t>
  </si>
  <si>
    <t>P20210053</t>
  </si>
  <si>
    <t>MUHAMMAD LIWANNASRI BIN ABDUL AZIZ</t>
  </si>
  <si>
    <t>TECHNOLOGY 2</t>
  </si>
  <si>
    <t>920120095107</t>
  </si>
  <si>
    <t>NUR AIN BINTI SAAD</t>
  </si>
  <si>
    <t>liwannasri.aziz@simmtech.com</t>
  </si>
  <si>
    <t>HWANG TAEWON</t>
  </si>
  <si>
    <t>P20210054</t>
  </si>
  <si>
    <t>940321075784</t>
  </si>
  <si>
    <t>ain.saad@simmtech.com</t>
  </si>
  <si>
    <t>P20210057</t>
  </si>
  <si>
    <t>ASSISTANT MANAGER I</t>
  </si>
  <si>
    <t>MATERIAL PLANNING</t>
  </si>
  <si>
    <t>840801075742</t>
  </si>
  <si>
    <t>yenfen.tan@simmtech.com</t>
  </si>
  <si>
    <t>MATPLA</t>
  </si>
  <si>
    <t>P20210058</t>
  </si>
  <si>
    <t>JULIAWATY BINTI JOHARI</t>
  </si>
  <si>
    <t>MLB</t>
  </si>
  <si>
    <t>921003065034</t>
  </si>
  <si>
    <t>juliawaty.johari@simmtech.com</t>
  </si>
  <si>
    <t>P20210061</t>
  </si>
  <si>
    <t>MOHAMMAD SYAMIM IKHWAN BIN IDRIS</t>
  </si>
  <si>
    <t>960210115569</t>
  </si>
  <si>
    <t>syamim.idris@simmtech.com</t>
  </si>
  <si>
    <t>P20210062</t>
  </si>
  <si>
    <t>ASYAARI BIN ABDUL RAZAK</t>
  </si>
  <si>
    <t>950712066059</t>
  </si>
  <si>
    <t>asyaari.razak@simmtech.com</t>
  </si>
  <si>
    <t>P20210063</t>
  </si>
  <si>
    <t>MUHAMMAD SHAFIQ BIN HARRISSUPRIONO</t>
  </si>
  <si>
    <t>951107146629</t>
  </si>
  <si>
    <t>shafiq.harrissupriono@simmtech.com</t>
  </si>
  <si>
    <t>P20210064</t>
  </si>
  <si>
    <t>SALMA BINTI BAHARUM</t>
  </si>
  <si>
    <t>870818025546</t>
  </si>
  <si>
    <t>salma.baharum@simmtech.com</t>
  </si>
  <si>
    <t>P20210065</t>
  </si>
  <si>
    <t>SITI HANIS LIYANA BINTI OMAR</t>
  </si>
  <si>
    <t>Senior Engineer I</t>
  </si>
  <si>
    <t>FVI</t>
  </si>
  <si>
    <t>860806025136</t>
  </si>
  <si>
    <t>hanis.omar@simmtech.com</t>
  </si>
  <si>
    <t>P20210066</t>
  </si>
  <si>
    <t>NUREHANSAFWANAH BINTI KHALID</t>
  </si>
  <si>
    <t>931206015730</t>
  </si>
  <si>
    <t>Nurehansafwanah.Khalid@simmtech.com</t>
  </si>
  <si>
    <t>P20210070</t>
  </si>
  <si>
    <t>LEONG CHONG HAN</t>
  </si>
  <si>
    <t>FINANCE</t>
  </si>
  <si>
    <t>710131075173</t>
  </si>
  <si>
    <t>LEE KWANMOK</t>
  </si>
  <si>
    <t>chonghan.leong@simmtech.com</t>
  </si>
  <si>
    <t>FIN</t>
  </si>
  <si>
    <t>P20220002</t>
  </si>
  <si>
    <t>ERIC LAI YEONG TIAN</t>
  </si>
  <si>
    <t>SENIOR ENGINEER II</t>
  </si>
  <si>
    <t>901127075279</t>
  </si>
  <si>
    <t>yeongtian.lai@simmtech.com</t>
  </si>
  <si>
    <t>P20220007</t>
  </si>
  <si>
    <t>MUHAMMAD FAIZ BIN ISMAIL</t>
  </si>
  <si>
    <t>880927075197</t>
  </si>
  <si>
    <t>faiz.ismail@simmtech.com</t>
  </si>
  <si>
    <t>P20220010</t>
  </si>
  <si>
    <t>SITI MUNA MUNIRAH BINTI AZMI</t>
  </si>
  <si>
    <t>921225025118</t>
  </si>
  <si>
    <t>muna.azmi@simmtech.com</t>
  </si>
  <si>
    <t>P20220011</t>
  </si>
  <si>
    <t>NAJIHAH BINTI AZMI</t>
  </si>
  <si>
    <t>940822025718</t>
  </si>
  <si>
    <t>najihah.azmi@simmtech.com</t>
  </si>
  <si>
    <t>P20220023</t>
  </si>
  <si>
    <t>FAIZ BIN MOHD ZABRI</t>
  </si>
  <si>
    <t>Engineer II</t>
  </si>
  <si>
    <t>860209435145</t>
  </si>
  <si>
    <t>faiz.zabri@simmtech.com</t>
  </si>
  <si>
    <t>P20220025</t>
  </si>
  <si>
    <t>AINAA MARDHIYA BINTI MD ZAIN</t>
  </si>
  <si>
    <t>930227025300</t>
  </si>
  <si>
    <t>mardhiya.zain@simmtech.com</t>
  </si>
  <si>
    <t>P20220027</t>
  </si>
  <si>
    <t>MUHAMMAD NADZIM BIN MD NOOR</t>
  </si>
  <si>
    <t>960430065137</t>
  </si>
  <si>
    <t>nadzim.noor@simmtech.com</t>
  </si>
  <si>
    <t>P20220028</t>
  </si>
  <si>
    <t>850306135188</t>
  </si>
  <si>
    <t>roshila.yaacob@simmtech.com</t>
  </si>
  <si>
    <t>P20220031</t>
  </si>
  <si>
    <t>SITI NURFARHANA BINTI MURSAHZANI</t>
  </si>
  <si>
    <t>TECHNOLOGY 4</t>
  </si>
  <si>
    <t>NPI</t>
  </si>
  <si>
    <t>971203025606</t>
  </si>
  <si>
    <t>LEE SEUNGCHEOL</t>
  </si>
  <si>
    <t>nurfarhana.mursahzani@simmtech.com</t>
  </si>
  <si>
    <t>P20220034</t>
  </si>
  <si>
    <t>D RAZLAN ALI BIN HAMID</t>
  </si>
  <si>
    <t>P2</t>
  </si>
  <si>
    <t>760810075875</t>
  </si>
  <si>
    <t>ali.hamid@simmtech.com</t>
  </si>
  <si>
    <t>P20220036</t>
  </si>
  <si>
    <t>ILISA BINTI IBRAHIM</t>
  </si>
  <si>
    <t>SENIOR OFFICER II</t>
  </si>
  <si>
    <t>PRODUCTION INNOVATION</t>
  </si>
  <si>
    <t>741001075652</t>
  </si>
  <si>
    <t>POH YONG LING</t>
  </si>
  <si>
    <t>ilisa.ibrahim@simmtech.com</t>
  </si>
  <si>
    <t>PRODIN</t>
  </si>
  <si>
    <t>P20220041</t>
  </si>
  <si>
    <t>MUHAMMAD HAZMAN BIN YUSOF</t>
  </si>
  <si>
    <t>900831025713</t>
  </si>
  <si>
    <t>hazman.yusof@simmtech.com</t>
  </si>
  <si>
    <t>P20220044</t>
  </si>
  <si>
    <t>KEOW ENG CHENG</t>
  </si>
  <si>
    <t>Senior Engineer II</t>
  </si>
  <si>
    <t>720115075041</t>
  </si>
  <si>
    <t>engcheng.keow@simmtech.com</t>
  </si>
  <si>
    <t>P20220051</t>
  </si>
  <si>
    <t>CHA SU LUAN</t>
  </si>
  <si>
    <t>ASSISTANT MANAGER II</t>
  </si>
  <si>
    <t>721230075156</t>
  </si>
  <si>
    <t>suluan.cha@simmtech.com</t>
  </si>
  <si>
    <t>P20220052</t>
  </si>
  <si>
    <t>SIVANESAN A/L SUNDARA RAJOO</t>
  </si>
  <si>
    <t>670709075353</t>
  </si>
  <si>
    <t>sivanesan.sundararajoo@simmtech.com</t>
  </si>
  <si>
    <t>P20220055</t>
  </si>
  <si>
    <t>NUR WAHIDA BINTI OMAR</t>
  </si>
  <si>
    <t>IL/OL</t>
  </si>
  <si>
    <t>880413355538</t>
  </si>
  <si>
    <t>wahida.omar@simmtech.com</t>
  </si>
  <si>
    <t>ILOL</t>
  </si>
  <si>
    <t>P20220056</t>
  </si>
  <si>
    <t>MOHAMMAD RIDZUAN BIN RAMLI</t>
  </si>
  <si>
    <t>890512075119</t>
  </si>
  <si>
    <t>ridzuan.ramli@simmtech.com</t>
  </si>
  <si>
    <t>P20220068</t>
  </si>
  <si>
    <t>SALLEHUDDIN BIN ABDUL AZIZ</t>
  </si>
  <si>
    <t>940404086323</t>
  </si>
  <si>
    <t>sallehuddin.aziz@simmtech.com</t>
  </si>
  <si>
    <t>P20220069</t>
  </si>
  <si>
    <t>MOHAMAD FAIZAL HAFIS BIN AZEMI</t>
  </si>
  <si>
    <t>Engineer I</t>
  </si>
  <si>
    <t>950112075787</t>
  </si>
  <si>
    <t>faizal.azemi@simmtech.com</t>
  </si>
  <si>
    <t>P20220072</t>
  </si>
  <si>
    <t>931019095237</t>
  </si>
  <si>
    <t>fahmy.hamid@simmtech.com</t>
  </si>
  <si>
    <t>P20220076</t>
  </si>
  <si>
    <t>MOHD FIRDAUS BIN AHMAD</t>
  </si>
  <si>
    <t>SENIOR TECHNICIAN</t>
  </si>
  <si>
    <t>880527025043</t>
  </si>
  <si>
    <t>TECHNICIAN</t>
  </si>
  <si>
    <t>firdaus.ahmad@simmtech.com</t>
  </si>
  <si>
    <t>P20220077</t>
  </si>
  <si>
    <t>MOHAMAD HELMI BIN ABDUL JALIL</t>
  </si>
  <si>
    <t>PRODUCT WAREHOUSE</t>
  </si>
  <si>
    <t>941225025933</t>
  </si>
  <si>
    <t>KANG JEE CHOON</t>
  </si>
  <si>
    <t>helmi.jalil@simmtech.com</t>
  </si>
  <si>
    <t>PROW</t>
  </si>
  <si>
    <t>P20220078</t>
  </si>
  <si>
    <t>CHAMFER</t>
  </si>
  <si>
    <t>860725386749</t>
  </si>
  <si>
    <t>mohammad.osman@simmtech.com</t>
  </si>
  <si>
    <t>CHAMFE</t>
  </si>
  <si>
    <t>P20220087</t>
  </si>
  <si>
    <t>NOR AKMANIRA BINTI KASMI</t>
  </si>
  <si>
    <t>Officer II</t>
  </si>
  <si>
    <t>PRODUCTION CONTROL</t>
  </si>
  <si>
    <t>871228115124</t>
  </si>
  <si>
    <t>GEORGIA JET KAOUNIS</t>
  </si>
  <si>
    <t>akmanira.kasmi@simmtech.com</t>
  </si>
  <si>
    <t>PROCON</t>
  </si>
  <si>
    <t>P20220088</t>
  </si>
  <si>
    <t>YAZNI BINTI ISMAIL</t>
  </si>
  <si>
    <t>OFFICER I</t>
  </si>
  <si>
    <t>WAREHOUSE (MATERIAL-RECEIVING)</t>
  </si>
  <si>
    <t>820310075440</t>
  </si>
  <si>
    <t>KUNG GUAT AI</t>
  </si>
  <si>
    <t>yazni.ismail@simmtech.com</t>
  </si>
  <si>
    <t>WHMR</t>
  </si>
  <si>
    <t>P20220090</t>
  </si>
  <si>
    <t>MUHAMAD FIRDAUS BIN MUHAMAD FUDZI</t>
  </si>
  <si>
    <t>961028265135</t>
  </si>
  <si>
    <t>firdaus.fudzi@simmtech.com</t>
  </si>
  <si>
    <t>P20220091</t>
  </si>
  <si>
    <t>CHANDRASEGARAN A/L MUNIANDY</t>
  </si>
  <si>
    <t>FACILITIES</t>
  </si>
  <si>
    <t>MECHANICAL</t>
  </si>
  <si>
    <t>740211075111</t>
  </si>
  <si>
    <t>PUNITHAN A/L M SALUANADAN</t>
  </si>
  <si>
    <t>chandrasegaran.muniandy@simmtech.com</t>
  </si>
  <si>
    <t>MECHAN</t>
  </si>
  <si>
    <t>P20220097</t>
  </si>
  <si>
    <t>MUHAMMAD FARIS HAFIZ BIN MOHD ROHAIZAD</t>
  </si>
  <si>
    <t>911002065287</t>
  </si>
  <si>
    <t>faris.rohaizad@simmtech.com</t>
  </si>
  <si>
    <t>P20220102</t>
  </si>
  <si>
    <t>NURHIDAYAH BINTI ABDUL MALIK</t>
  </si>
  <si>
    <t>961014075576</t>
  </si>
  <si>
    <t>nurhidayah.malik@simmtech.com</t>
  </si>
  <si>
    <t>P20220106</t>
  </si>
  <si>
    <t>OOI LI LI</t>
  </si>
  <si>
    <t>BUSINESS STRATEGY</t>
  </si>
  <si>
    <t>PLANNING</t>
  </si>
  <si>
    <t>740612075104</t>
  </si>
  <si>
    <t>lili.ooi@simmtech.com</t>
  </si>
  <si>
    <t>BUSS</t>
  </si>
  <si>
    <t>P20220109</t>
  </si>
  <si>
    <t>FADHILAH BT HAJI IBRAHIM</t>
  </si>
  <si>
    <t>860412355482</t>
  </si>
  <si>
    <t>fadhilah.ibrahim@simmtech.com</t>
  </si>
  <si>
    <t>P20220111</t>
  </si>
  <si>
    <t>MOHAMAD HANIFF BIN ATAN</t>
  </si>
  <si>
    <t>TECHNICIAN II</t>
  </si>
  <si>
    <t>971217025623</t>
  </si>
  <si>
    <t>haniffatan97@gmail.com</t>
  </si>
  <si>
    <t>P20220114</t>
  </si>
  <si>
    <t>REZUWAN BIN MOHAMAD YUSOF</t>
  </si>
  <si>
    <t>Technician II</t>
  </si>
  <si>
    <t>RODI</t>
  </si>
  <si>
    <t>911218055387</t>
  </si>
  <si>
    <t>rezuwan.yusof@simmtech.com</t>
  </si>
  <si>
    <t>P20220117</t>
  </si>
  <si>
    <t>MIMI AYUNI BINTI MAZLAN</t>
  </si>
  <si>
    <t>HS</t>
  </si>
  <si>
    <t>PSM</t>
  </si>
  <si>
    <t>960331035178</t>
  </si>
  <si>
    <t>mimiayunimazlann@gmail.com</t>
  </si>
  <si>
    <t>P20220118</t>
  </si>
  <si>
    <t>MOHD NOR SHAHRIL BIN JEKERI</t>
  </si>
  <si>
    <t>911127026265</t>
  </si>
  <si>
    <t>shahril_padi91@yahoo.com</t>
  </si>
  <si>
    <t>SHIFT - GROUP O (NEW 2025)</t>
  </si>
  <si>
    <t>P20220119</t>
  </si>
  <si>
    <t>AHMAD SYUKRIE BIN ABDUL RAMAN</t>
  </si>
  <si>
    <t>MATERIAL HANDLER</t>
  </si>
  <si>
    <t>WAREHOUSE (MATERIAL - ISSUING)</t>
  </si>
  <si>
    <t>970714075563</t>
  </si>
  <si>
    <t>syukrie.raman@simmtech.com</t>
  </si>
  <si>
    <t>WHMTIS</t>
  </si>
  <si>
    <t>P20220121</t>
  </si>
  <si>
    <t>MUHAMMAD NOOR AMIRRUL BIN HASSAN</t>
  </si>
  <si>
    <t>Technician I</t>
  </si>
  <si>
    <t>930223075941</t>
  </si>
  <si>
    <t>mnooramirrul93@gmail.com</t>
  </si>
  <si>
    <t>TECHNICIAN I</t>
  </si>
  <si>
    <t>P20220122</t>
  </si>
  <si>
    <t>MUHAMMAD AKMAL BIN AZIZAN</t>
  </si>
  <si>
    <t>951224075161</t>
  </si>
  <si>
    <t>akmal_azizan95@yahoo.com</t>
  </si>
  <si>
    <t>P20220124</t>
  </si>
  <si>
    <t>MUHAMMAD ZULHELMY BIN HARDI</t>
  </si>
  <si>
    <t>970514145985</t>
  </si>
  <si>
    <t>zulhelmyhardi@gmail.com</t>
  </si>
  <si>
    <t>P20220126</t>
  </si>
  <si>
    <t>AMIR HASSANI BIN MOHAMAD ROSLI</t>
  </si>
  <si>
    <t>970710025681</t>
  </si>
  <si>
    <t>hassaniamir17@gmail.com</t>
  </si>
  <si>
    <t>OPRT</t>
  </si>
  <si>
    <t>P20220129</t>
  </si>
  <si>
    <t>MOHAMED BILAAL BIN ZAKIR HUSSAIN</t>
  </si>
  <si>
    <t>900525075915</t>
  </si>
  <si>
    <t>bilaal.hussain@simmtech.com</t>
  </si>
  <si>
    <t>P20220130</t>
  </si>
  <si>
    <t>MUHAMMAD HAFIZ BIN IBRAHIM</t>
  </si>
  <si>
    <t>901214075533</t>
  </si>
  <si>
    <t>muhammadhafiz_90@ymail.com</t>
  </si>
  <si>
    <t>P20220132</t>
  </si>
  <si>
    <t>MOHD SYAHMI BIN SUID</t>
  </si>
  <si>
    <t>980118025673</t>
  </si>
  <si>
    <t>msyahmisuid98@gmail.com</t>
  </si>
  <si>
    <t>P20220134</t>
  </si>
  <si>
    <t>NAZRIN BIN AHMAD POWAB</t>
  </si>
  <si>
    <t>951118086211</t>
  </si>
  <si>
    <t>nazrin807@gmail.com</t>
  </si>
  <si>
    <t>P20220135</t>
  </si>
  <si>
    <t>FAIZHAN BIN HASSAN</t>
  </si>
  <si>
    <t>930619025019</t>
  </si>
  <si>
    <t>faizhanpaih@gmail.com</t>
  </si>
  <si>
    <t>NON-SHIFT - 0800 TO 1700 (NEW 2025)</t>
  </si>
  <si>
    <t>P20220136</t>
  </si>
  <si>
    <t>NURUL AISYA BINTI MOHAMAD SAKANA</t>
  </si>
  <si>
    <t>980921035758</t>
  </si>
  <si>
    <t>aisyasya1998@gmail.com</t>
  </si>
  <si>
    <t>P20220137</t>
  </si>
  <si>
    <t>LUQMAN HANIF BIN MHD ASLAN</t>
  </si>
  <si>
    <t>960709085215</t>
  </si>
  <si>
    <t>luqmanhanifaslan96@gmail.com</t>
  </si>
  <si>
    <t>P20220140</t>
  </si>
  <si>
    <t>UGESWARAN A/L ARUMUGAM</t>
  </si>
  <si>
    <t>STAFF ENGINEER I</t>
  </si>
  <si>
    <t>870126145993</t>
  </si>
  <si>
    <t>ugeswaran.arumugam@simmtech.com</t>
  </si>
  <si>
    <t>P20220142</t>
  </si>
  <si>
    <t>FAEZAH BINTI HASSAN</t>
  </si>
  <si>
    <t>Senior Officer I</t>
  </si>
  <si>
    <t>HUMAN RESOURCE</t>
  </si>
  <si>
    <t>HR</t>
  </si>
  <si>
    <t>840904075390</t>
  </si>
  <si>
    <t>KUMUTA A/P SAPTHARISI</t>
  </si>
  <si>
    <t>faezah.hassan@simmtech.com</t>
  </si>
  <si>
    <t>YOUN SEUNG MIN</t>
  </si>
  <si>
    <t>SENIOR OFFICER I</t>
  </si>
  <si>
    <t>P20220143</t>
  </si>
  <si>
    <t>KHALIJAH BINTI IBRAHIM</t>
  </si>
  <si>
    <t>840406086644</t>
  </si>
  <si>
    <t>khalijah.ibrahim@simmtech.com</t>
  </si>
  <si>
    <t>NON-SHIFT - 0830 TO 1730</t>
  </si>
  <si>
    <t>P20220144</t>
  </si>
  <si>
    <t>NOR AMIRA BINTI ABIDIN</t>
  </si>
  <si>
    <t>CHEMICAL</t>
  </si>
  <si>
    <t>950222085724</t>
  </si>
  <si>
    <t>noramira2202@gmail.com</t>
  </si>
  <si>
    <t>QC-CHE</t>
  </si>
  <si>
    <t>P20220145</t>
  </si>
  <si>
    <t>PARVIENRAJ A/L SELVATHURAI</t>
  </si>
  <si>
    <t>P4</t>
  </si>
  <si>
    <t>980410355119</t>
  </si>
  <si>
    <t>parvienraj2731@gmail.com</t>
  </si>
  <si>
    <t>P20220146</t>
  </si>
  <si>
    <t>KAVILAN A/L ANNAMALAI</t>
  </si>
  <si>
    <t>920303075707</t>
  </si>
  <si>
    <t>kavilanannamalai@gmail.com</t>
  </si>
  <si>
    <t>P20220148</t>
  </si>
  <si>
    <t>MUHAMMAD SHAMIER BIN AMEERDEEN</t>
  </si>
  <si>
    <t>921119075533</t>
  </si>
  <si>
    <t>shamier.ameerdeen@gmail.com</t>
  </si>
  <si>
    <t>P20220151</t>
  </si>
  <si>
    <t>MOHD AFFENDY BIN MANAP</t>
  </si>
  <si>
    <t>800604025627</t>
  </si>
  <si>
    <t>P20220153</t>
  </si>
  <si>
    <t>SHANGKAR A/L GUNASEELAN</t>
  </si>
  <si>
    <t>941016026059</t>
  </si>
  <si>
    <t>shangkar16.g@gmail.com</t>
  </si>
  <si>
    <t>P20220156</t>
  </si>
  <si>
    <t>MURUGES A/L THIAGARAJAN</t>
  </si>
  <si>
    <t>730522105649</t>
  </si>
  <si>
    <t>murumuruges9@gmail.com</t>
  </si>
  <si>
    <t>P20220165</t>
  </si>
  <si>
    <t>MOHAMAD AMZAR BIN JAFRI</t>
  </si>
  <si>
    <t>P3</t>
  </si>
  <si>
    <t>971214385121</t>
  </si>
  <si>
    <t>MOHD IZHAM BIN ABDULLAH</t>
  </si>
  <si>
    <t>amzarjafri@gmail.com</t>
  </si>
  <si>
    <t>P20220167</t>
  </si>
  <si>
    <t>MOHAMAD AIMAN NADZMIE BIN YAHAYA</t>
  </si>
  <si>
    <t>990803075395</t>
  </si>
  <si>
    <t>mannadzmie8679@gmail.com</t>
  </si>
  <si>
    <t>P20220169</t>
  </si>
  <si>
    <t>MOHD FAIZAL BIN ABD RAHIM</t>
  </si>
  <si>
    <t>ELECTRICITY</t>
  </si>
  <si>
    <t>891202025313</t>
  </si>
  <si>
    <t>Mohdfaizal_rahim5313@yahoo.com</t>
  </si>
  <si>
    <t>ELECTR</t>
  </si>
  <si>
    <t>P20220170</t>
  </si>
  <si>
    <t>MUHAMMAD ADHHA BIN AYOB</t>
  </si>
  <si>
    <t>940520025077</t>
  </si>
  <si>
    <t>muhammadadhhaayob@gmail.com</t>
  </si>
  <si>
    <t>P20220171</t>
  </si>
  <si>
    <t>N.SATKUNANATHAN A/L R.NAGANATHAN</t>
  </si>
  <si>
    <t>SENIOR MATERIAL HANDLER</t>
  </si>
  <si>
    <t>840921086243</t>
  </si>
  <si>
    <t>satkunanathannaganathan@gmail.com</t>
  </si>
  <si>
    <t>P20220174</t>
  </si>
  <si>
    <t>MOHAMMAD NAJHAN BIN RUSLAN</t>
  </si>
  <si>
    <t>910404075723</t>
  </si>
  <si>
    <t>ichimokutrader@yahoo.com</t>
  </si>
  <si>
    <t>P20220184</t>
  </si>
  <si>
    <t>ANIS FADZWIN BINTI MOHD KAMAL</t>
  </si>
  <si>
    <t>930624075440</t>
  </si>
  <si>
    <t>fadzwin.kamal@simmtech.com</t>
  </si>
  <si>
    <t>P20220187</t>
  </si>
  <si>
    <t>JASMIERA BINTI JAMRI</t>
  </si>
  <si>
    <t>WAREHOUSE - FINISH GOODS (SPS)</t>
  </si>
  <si>
    <t>910222025768</t>
  </si>
  <si>
    <t>jasmiera.jamri@simmtech.com</t>
  </si>
  <si>
    <t>WHSPS</t>
  </si>
  <si>
    <t>P20220188</t>
  </si>
  <si>
    <t>LIM CHIEK NEE</t>
  </si>
  <si>
    <t>QP</t>
  </si>
  <si>
    <t>760908075320</t>
  </si>
  <si>
    <t>chieknee.lim@simmtech.com</t>
  </si>
  <si>
    <t>P20220195</t>
  </si>
  <si>
    <t>AHMAD BADRUL AMIR BIN MOKHTAR</t>
  </si>
  <si>
    <t>961213385091</t>
  </si>
  <si>
    <t>badrulamir92@gmail.com</t>
  </si>
  <si>
    <t>P20220199</t>
  </si>
  <si>
    <t>961212025529</t>
  </si>
  <si>
    <t>fakhruddinfuzi@gmail.com</t>
  </si>
  <si>
    <t>P20220200</t>
  </si>
  <si>
    <t>CHARRIN A/L AI SENG</t>
  </si>
  <si>
    <t>980709025851</t>
  </si>
  <si>
    <t>SIA</t>
  </si>
  <si>
    <t>Charrinaiseng@gmail.com</t>
  </si>
  <si>
    <t>P20220201</t>
  </si>
  <si>
    <t>PHUVANIT PHROMBANDID</t>
  </si>
  <si>
    <t>981122026147</t>
  </si>
  <si>
    <t>phuvanit98@gmail.com</t>
  </si>
  <si>
    <t>P20220203</t>
  </si>
  <si>
    <t>MUHAMMAD SHAHRIL NASRIN BIN BAKARI</t>
  </si>
  <si>
    <t>000627070783</t>
  </si>
  <si>
    <t>akawasan3@gmail.com</t>
  </si>
  <si>
    <t>P20220208</t>
  </si>
  <si>
    <t>ZULKARNAIN BIN MOHAMAD</t>
  </si>
  <si>
    <t>WAREHOUSE - MATERIAL (CHEMICAL&amp;SPARE PART)</t>
  </si>
  <si>
    <t>760519075423</t>
  </si>
  <si>
    <t>iskandarzulkarnain666@gmail.com</t>
  </si>
  <si>
    <t>WHCSP</t>
  </si>
  <si>
    <t>P20220213</t>
  </si>
  <si>
    <t>AIN NADHRAH BINTI ZAINUL</t>
  </si>
  <si>
    <t>970629085548</t>
  </si>
  <si>
    <t>nadhrah.zainul@simmtech.com</t>
  </si>
  <si>
    <t>P20220217</t>
  </si>
  <si>
    <t>MUHAMMAD ALI BIN MOHD NAZRI</t>
  </si>
  <si>
    <t>000225080639</t>
  </si>
  <si>
    <t>mohdaliali35@gmail.com</t>
  </si>
  <si>
    <t>P20220218</t>
  </si>
  <si>
    <t>MUHAMMAD AIZAT BIN MD NOOR</t>
  </si>
  <si>
    <t>961018145199</t>
  </si>
  <si>
    <t>aizat.noor@simmtech.com</t>
  </si>
  <si>
    <t>P20220219</t>
  </si>
  <si>
    <t>SITI NASHARIENIE NOERHANIE BINTI ABDUL AZIZ</t>
  </si>
  <si>
    <t>960704025440</t>
  </si>
  <si>
    <t>ctsnnaz@gmail.com</t>
  </si>
  <si>
    <t>P20220220</t>
  </si>
  <si>
    <t>AHMAD FIRDAUS BIN MOHD SABRI</t>
  </si>
  <si>
    <t>860912405001</t>
  </si>
  <si>
    <t>firdaus.sabri@simmtech.com</t>
  </si>
  <si>
    <t>P20220224</t>
  </si>
  <si>
    <t>NOR AINA MIZA BINTI MOHAMAD AZAHARI</t>
  </si>
  <si>
    <t>RELIABILITY</t>
  </si>
  <si>
    <t>960526086020</t>
  </si>
  <si>
    <t>MOHD NIZAR BIN NABIL</t>
  </si>
  <si>
    <t>irainamiza@gmail.com</t>
  </si>
  <si>
    <t>QC-REA</t>
  </si>
  <si>
    <t>P20220225</t>
  </si>
  <si>
    <t>MUHAMAD ASYRAF BIN ISMAIL</t>
  </si>
  <si>
    <t>970307385505</t>
  </si>
  <si>
    <t>muhamadasyraf557410@gmail.com</t>
  </si>
  <si>
    <t>P20220226</t>
  </si>
  <si>
    <t>NORSAZRIN BIN CHE CHAN</t>
  </si>
  <si>
    <t>881206095205</t>
  </si>
  <si>
    <t>gua_sepet@yahoo.com</t>
  </si>
  <si>
    <t>P20220227</t>
  </si>
  <si>
    <t>HAZRUL HIQMAN BIN ABDUL WAHAB</t>
  </si>
  <si>
    <t>930226065087</t>
  </si>
  <si>
    <t>RAVI KUMAR A/L GUNASEKARAN</t>
  </si>
  <si>
    <t>hazrul_hiqman@yahoo.com</t>
  </si>
  <si>
    <t>P20220229</t>
  </si>
  <si>
    <t>ASSISTANT ENGINEER</t>
  </si>
  <si>
    <t>850702086509</t>
  </si>
  <si>
    <t>mohdizham4042@gmail.com</t>
  </si>
  <si>
    <t>P20220230</t>
  </si>
  <si>
    <t>THINESH A/L MANIMARAN</t>
  </si>
  <si>
    <t>990722025687</t>
  </si>
  <si>
    <t>jjhob3395@gmail.com</t>
  </si>
  <si>
    <t>P20220232</t>
  </si>
  <si>
    <t>NOR AZLIFAH BINTI HASHIM</t>
  </si>
  <si>
    <t>QC MONITORING</t>
  </si>
  <si>
    <t>950105025458</t>
  </si>
  <si>
    <t>norazlifahhashim@gmail.com</t>
  </si>
  <si>
    <t>QCMON</t>
  </si>
  <si>
    <t>P20220233</t>
  </si>
  <si>
    <t>NUR SHALIYANA BINTI ILIAS</t>
  </si>
  <si>
    <t>950628075294</t>
  </si>
  <si>
    <t>shaliyana.ilias@simmtech.com</t>
  </si>
  <si>
    <t>P20220234</t>
  </si>
  <si>
    <t>FARHAN BIN ROMMALI</t>
  </si>
  <si>
    <t>870305385255</t>
  </si>
  <si>
    <t>farhanrommali5255@gmail.com</t>
  </si>
  <si>
    <t>P20220237</t>
  </si>
  <si>
    <t>MOHD ANIQ HAMZAH BIN MOKHTAR</t>
  </si>
  <si>
    <t>961112025927</t>
  </si>
  <si>
    <t>nickaniq857@gmail.com</t>
  </si>
  <si>
    <t>P20220241</t>
  </si>
  <si>
    <t>SUTHARSAN A/L BHUARASEN</t>
  </si>
  <si>
    <t>FACILITIES MANAGEMENT</t>
  </si>
  <si>
    <t>970116075547</t>
  </si>
  <si>
    <t>sutharsan_97@yahoo.com</t>
  </si>
  <si>
    <t>FACM</t>
  </si>
  <si>
    <t>P20220243</t>
  </si>
  <si>
    <t>NUR ZAHIRA BINTI MOHAMAD ZAKER</t>
  </si>
  <si>
    <t>960403075700</t>
  </si>
  <si>
    <t>zahira.zaker@simmtech.com</t>
  </si>
  <si>
    <t>P20220246</t>
  </si>
  <si>
    <t>MOHD RAHMAT BIN MAT AKHIR</t>
  </si>
  <si>
    <t>821204025495</t>
  </si>
  <si>
    <t>rahmatmatakhir@gmail.com</t>
  </si>
  <si>
    <t>P20220248</t>
  </si>
  <si>
    <t>RUJHAN BIN MUHD NOOR</t>
  </si>
  <si>
    <t>850316025193</t>
  </si>
  <si>
    <t>rujhan85@gmail.com</t>
  </si>
  <si>
    <t>P20220249</t>
  </si>
  <si>
    <t>MOHAMED SHAZLAN BIN SAFRI</t>
  </si>
  <si>
    <t>770211075979</t>
  </si>
  <si>
    <t>shazlan003@gmail.com</t>
  </si>
  <si>
    <t>P20220253</t>
  </si>
  <si>
    <t>MOHAMAD KHAIRUDDIN BIN OTHMAN</t>
  </si>
  <si>
    <t>980823025011</t>
  </si>
  <si>
    <t>khairuddinothman9898@gmail.com</t>
  </si>
  <si>
    <t>P20220254</t>
  </si>
  <si>
    <t>THAM WAI YEE</t>
  </si>
  <si>
    <t>CQE</t>
  </si>
  <si>
    <t>720504085366</t>
  </si>
  <si>
    <t>waiyee.tham@simmtech.com</t>
  </si>
  <si>
    <t>P20220257</t>
  </si>
  <si>
    <t>TAN SEOK KHIM</t>
  </si>
  <si>
    <t>871231075346</t>
  </si>
  <si>
    <t>seokkhim.tan@simmtech.com</t>
  </si>
  <si>
    <t>P20220260</t>
  </si>
  <si>
    <t>NORADILA BINTI MOHD JAMNAI</t>
  </si>
  <si>
    <t>PRODUCTION - HDI</t>
  </si>
  <si>
    <t>951021086338</t>
  </si>
  <si>
    <t>AHMAD SYAIFUL IZZHAR BIN AHMAD RADHI</t>
  </si>
  <si>
    <t>noradila1095@gmail.com</t>
  </si>
  <si>
    <t>P20220261</t>
  </si>
  <si>
    <t>MUHAMMAD RIDUAN BIN ADNAN</t>
  </si>
  <si>
    <t>990725086901</t>
  </si>
  <si>
    <t>Mhd.riduan002@gmail.com</t>
  </si>
  <si>
    <t>P20220264</t>
  </si>
  <si>
    <t>MUHAMMAD ZHAFIR BIN IBRAHIM</t>
  </si>
  <si>
    <t>SUPERVISOR II</t>
  </si>
  <si>
    <t>OQA</t>
  </si>
  <si>
    <t>950528075481</t>
  </si>
  <si>
    <t>mzhafirz@gmail.com</t>
  </si>
  <si>
    <t>P20220267</t>
  </si>
  <si>
    <t>KAMAL ARIF BIN KAMARUDIN</t>
  </si>
  <si>
    <t>970122075463</t>
  </si>
  <si>
    <t>kamalkmrdn7@gmail.com</t>
  </si>
  <si>
    <t>P20220268</t>
  </si>
  <si>
    <t>SACITHARAN A/L THANGAMANI</t>
  </si>
  <si>
    <t>930417075683</t>
  </si>
  <si>
    <t>P20220271</t>
  </si>
  <si>
    <t>ZAID OTHMAN BIN MISDAN</t>
  </si>
  <si>
    <t>LINE LEADER</t>
  </si>
  <si>
    <t>840810105173</t>
  </si>
  <si>
    <t>P20220273</t>
  </si>
  <si>
    <t>ISHAM BIN ISHAK</t>
  </si>
  <si>
    <t>LASER</t>
  </si>
  <si>
    <t>970519385021</t>
  </si>
  <si>
    <t>MUHAMMAD ZAKWAN BIN HAMID</t>
  </si>
  <si>
    <t>ishamishak7@gmail.com</t>
  </si>
  <si>
    <t>P20220275</t>
  </si>
  <si>
    <t>ABDUL HAKIM BIN ABDULLAH</t>
  </si>
  <si>
    <t>Operator</t>
  </si>
  <si>
    <t>000813020093</t>
  </si>
  <si>
    <t>abdakim56@gmail.com</t>
  </si>
  <si>
    <t>P20220280</t>
  </si>
  <si>
    <t>NORLY ZULAIKHA BINTI ABU</t>
  </si>
  <si>
    <t>990831085216</t>
  </si>
  <si>
    <t>norlyzulaikha99@gmail.com</t>
  </si>
  <si>
    <t>P20220281</t>
  </si>
  <si>
    <t>NUR FATIN NABILAH BINTI DINO</t>
  </si>
  <si>
    <t>980117075396</t>
  </si>
  <si>
    <t>fatindino98@gmail.com</t>
  </si>
  <si>
    <t>P20220283</t>
  </si>
  <si>
    <t>SITI ZURINAPUTRI BINTI OSMAN</t>
  </si>
  <si>
    <t>001129070144</t>
  </si>
  <si>
    <t>zuinna2911@gmail.com</t>
  </si>
  <si>
    <t>P20220284</t>
  </si>
  <si>
    <t>SITI NURUL HAWA BINTI MOHD RADZI</t>
  </si>
  <si>
    <t>Supervisor II</t>
  </si>
  <si>
    <t>911102085808</t>
  </si>
  <si>
    <t>missnurulhawa91@gmail.com</t>
  </si>
  <si>
    <t>P20220285</t>
  </si>
  <si>
    <t>MUHAMAD AMIN BIN SHUKRI</t>
  </si>
  <si>
    <t>900429026179</t>
  </si>
  <si>
    <t>muhamadamin6179@gmail.com</t>
  </si>
  <si>
    <t>P20220287</t>
  </si>
  <si>
    <t>AZLAN BIN MAHMOOD</t>
  </si>
  <si>
    <t>920102035645</t>
  </si>
  <si>
    <t>azlanmehe92@gmail.com</t>
  </si>
  <si>
    <t>P20220288</t>
  </si>
  <si>
    <t>MUHAMMAD SYAZWAN BIN ISMAIL</t>
  </si>
  <si>
    <t>951220025845</t>
  </si>
  <si>
    <t>MUHAMMAD IZZAT BIN JAMHARI</t>
  </si>
  <si>
    <t>syazwanismail5444@gmail.com</t>
  </si>
  <si>
    <t>P20220291</t>
  </si>
  <si>
    <t>MOHD NOOR AZLI BIN OTHMAN</t>
  </si>
  <si>
    <t>861012085107</t>
  </si>
  <si>
    <t>NUR SYAZWANNIZA BINTI RAZALI</t>
  </si>
  <si>
    <t>nurdyafiaauliya@gmail.com</t>
  </si>
  <si>
    <t>P20220294</t>
  </si>
  <si>
    <t>SITI AISHA BINTI TAJUDDIN</t>
  </si>
  <si>
    <t>920804085452</t>
  </si>
  <si>
    <t>aishaziz4892@gmail.com</t>
  </si>
  <si>
    <t>P20220295</t>
  </si>
  <si>
    <t>SITI SARAH BINTI RAHIM</t>
  </si>
  <si>
    <t>010404070662</t>
  </si>
  <si>
    <t>sitisarahrahim542@gmail.com</t>
  </si>
  <si>
    <t>P20220296</t>
  </si>
  <si>
    <t>MUHAMMAD HAFIZUL FAIZ BIN HASHIM</t>
  </si>
  <si>
    <t>930202086449</t>
  </si>
  <si>
    <t>hafizulhshmphotography@gmail.com</t>
  </si>
  <si>
    <t>P20220297</t>
  </si>
  <si>
    <t>NURUL HASANAH BINTI A'SHARUDDIN</t>
  </si>
  <si>
    <t>990207086610</t>
  </si>
  <si>
    <t>P20220298</t>
  </si>
  <si>
    <t>NUR SHAHIRAH BINTI MOHD ARIFF NOR FADZLI</t>
  </si>
  <si>
    <t>980625025248</t>
  </si>
  <si>
    <t>dekkshaaaa98@gmail.com</t>
  </si>
  <si>
    <t>P20220301</t>
  </si>
  <si>
    <t>MUHAMMAD AMIRUL SHAHIR BIN SHAHARUDIN</t>
  </si>
  <si>
    <t>931207085925</t>
  </si>
  <si>
    <t>shahir.charx@gmail.com</t>
  </si>
  <si>
    <t>P20220306</t>
  </si>
  <si>
    <t>Supervisor I</t>
  </si>
  <si>
    <t>960610075228</t>
  </si>
  <si>
    <t>thanusha.kris@gmail.com</t>
  </si>
  <si>
    <t>P20220307</t>
  </si>
  <si>
    <t>YUSOFF KHUZAIRI BIN CHE HARUN</t>
  </si>
  <si>
    <t>940504035275</t>
  </si>
  <si>
    <t>yusoffkh94@gmail.com</t>
  </si>
  <si>
    <t>P20220309</t>
  </si>
  <si>
    <t>HASSAN IZZUDDIN SALAM BIN KHALID HASSAN</t>
  </si>
  <si>
    <t>971213355035</t>
  </si>
  <si>
    <t>hassanizzudinsalam987@gmail.com</t>
  </si>
  <si>
    <t>P20220310</t>
  </si>
  <si>
    <t>MUHAMMAD AZRA ASHRAF BIN ABDUL RASHID</t>
  </si>
  <si>
    <t>980416025751</t>
  </si>
  <si>
    <t>azra980416@gmail.com</t>
  </si>
  <si>
    <t>P20220311</t>
  </si>
  <si>
    <t>MUHAMMAD AFIQ AIZUDDIN BIN MOHD JALIL</t>
  </si>
  <si>
    <t>990213026817</t>
  </si>
  <si>
    <t>ROKIAH BINTI ISMAIL</t>
  </si>
  <si>
    <t>afiqaizuddin70@gmail.com</t>
  </si>
  <si>
    <t>P20220312</t>
  </si>
  <si>
    <t>MUHAMAD FARET BIN ALIAS</t>
  </si>
  <si>
    <t>011112021169</t>
  </si>
  <si>
    <t>NUR SHAHIRA BINTI HASHIM</t>
  </si>
  <si>
    <t>faretalias98@gmail.com</t>
  </si>
  <si>
    <t>P20220316</t>
  </si>
  <si>
    <t>AHMAD ZAKI BIN SAUAT</t>
  </si>
  <si>
    <t>980628085991</t>
  </si>
  <si>
    <t>NUR HAFIZAH BINTI ISMAIL</t>
  </si>
  <si>
    <t>zakistylo028@gmail.com</t>
  </si>
  <si>
    <t>P20220318</t>
  </si>
  <si>
    <t>MOHAMMAD HAKIMIN BIN AMRAN</t>
  </si>
  <si>
    <t>960416075427</t>
  </si>
  <si>
    <t>asuperstar17@gmail.com</t>
  </si>
  <si>
    <t>P20220319</t>
  </si>
  <si>
    <t>MUHAMAD FITRI BIN MOHD ZAINI</t>
  </si>
  <si>
    <t>000105070751</t>
  </si>
  <si>
    <t>Fitrizaini86@gmail.com</t>
  </si>
  <si>
    <t>P20220321</t>
  </si>
  <si>
    <t>011006080165</t>
  </si>
  <si>
    <t>izzatmuhammad7994@gmail.com</t>
  </si>
  <si>
    <t>P20220322</t>
  </si>
  <si>
    <t>NADIA HAZREEN BINTI MORAD</t>
  </si>
  <si>
    <t>980530025202</t>
  </si>
  <si>
    <t>nadianadiyaa3101@gmail.com</t>
  </si>
  <si>
    <t>P20220324</t>
  </si>
  <si>
    <t>NUR IRADATUL FARIHA BINTI AZIZAN</t>
  </si>
  <si>
    <t>980807025820</t>
  </si>
  <si>
    <t>Iradatulazizan@gmail.com</t>
  </si>
  <si>
    <t>P20220325</t>
  </si>
  <si>
    <t>MUHAMMAD AIDIL AZRI BIN ZAMBERI</t>
  </si>
  <si>
    <t>990613025653</t>
  </si>
  <si>
    <t>aidil061399@gmail.com</t>
  </si>
  <si>
    <t>P20220326</t>
  </si>
  <si>
    <t>ZHARIF LUQMAN BIN MOHD ZAIHAM</t>
  </si>
  <si>
    <t>021112070795</t>
  </si>
  <si>
    <t>zharifluqman02@gmail.com</t>
  </si>
  <si>
    <t>P20220329</t>
  </si>
  <si>
    <t>MOHD REDHWAN BASRI BIN ROMLI</t>
  </si>
  <si>
    <t>920204025173</t>
  </si>
  <si>
    <t>andreypjy@gmail.com</t>
  </si>
  <si>
    <t>P20220330</t>
  </si>
  <si>
    <t>MUHAMAD YUSMAN BIN OMAR</t>
  </si>
  <si>
    <t>970507025547</t>
  </si>
  <si>
    <t>0705yusman@gmail.com</t>
  </si>
  <si>
    <t>P20220331</t>
  </si>
  <si>
    <t>MOHD NURUL HAFIS BIN MOHD NOR</t>
  </si>
  <si>
    <t>850508095073</t>
  </si>
  <si>
    <t>qhuhafey85@gmail.com</t>
  </si>
  <si>
    <t>P20220332</t>
  </si>
  <si>
    <t>NURUL NAJWA BINTI JOHARI</t>
  </si>
  <si>
    <t>950212026042</t>
  </si>
  <si>
    <t>V</t>
  </si>
  <si>
    <t>MOHD HELMI BIN SAARONI</t>
  </si>
  <si>
    <t>nurulnajwa950212@gmail.com</t>
  </si>
  <si>
    <t>P20220334</t>
  </si>
  <si>
    <t>MUHAMMAD AMAL ZIKRY BIN RAZALI</t>
  </si>
  <si>
    <t>031126081195</t>
  </si>
  <si>
    <t>amalzikry963@gmail.com</t>
  </si>
  <si>
    <t>P20220335</t>
  </si>
  <si>
    <t>MOHAMAD AZRUL AMIR BIN KHAIRUL</t>
  </si>
  <si>
    <t>030710080701</t>
  </si>
  <si>
    <t>azrulamir0307@gmail.com</t>
  </si>
  <si>
    <t>P20220339</t>
  </si>
  <si>
    <t>NUR IZATUL RAIHANA BINTI MOHMAD YUSRI</t>
  </si>
  <si>
    <t>ASSISTANT OFFICER</t>
  </si>
  <si>
    <t>980709085600</t>
  </si>
  <si>
    <t>izatulraihana98@gmail.com</t>
  </si>
  <si>
    <t>P20220340</t>
  </si>
  <si>
    <t>SIDDARTHAN A/L MAUNG THAN SEIN @ RASH</t>
  </si>
  <si>
    <t>FVI (HDI)</t>
  </si>
  <si>
    <t>930702146401</t>
  </si>
  <si>
    <t>siddarthanjaya8888@gmail.com</t>
  </si>
  <si>
    <t>FVIH</t>
  </si>
  <si>
    <t>P20220343</t>
  </si>
  <si>
    <t>FAIRUZ BINTI MUHAMAD KHALIL</t>
  </si>
  <si>
    <t>001213021038</t>
  </si>
  <si>
    <t>Fairuzkhalil00@gmail.com</t>
  </si>
  <si>
    <t>P20220344</t>
  </si>
  <si>
    <t>MOHAMAD FITRY BIN MOHD HALIB</t>
  </si>
  <si>
    <t>991221085651</t>
  </si>
  <si>
    <t>mohamadFitry2065@gmail.com</t>
  </si>
  <si>
    <t>P20220345</t>
  </si>
  <si>
    <t>MOHAMAD NOOR AKBAR BIN MOHAMAD ZAINI</t>
  </si>
  <si>
    <t>970713075545</t>
  </si>
  <si>
    <t>NURUL AINUR AFIFAH BINTI ZAIDY ISMAIL</t>
  </si>
  <si>
    <t>P20220348</t>
  </si>
  <si>
    <t>MOHAMAD SHUKOR BIN IDRIS</t>
  </si>
  <si>
    <t>980412025041</t>
  </si>
  <si>
    <t>P20220349</t>
  </si>
  <si>
    <t>NURSAFIANATUL HUDA BINTI AZMAN</t>
  </si>
  <si>
    <t>980921085018</t>
  </si>
  <si>
    <t>feeyaazman98@gmail.com</t>
  </si>
  <si>
    <t>P20220352</t>
  </si>
  <si>
    <t>HAFIZ AKMAL BIN BAKAR</t>
  </si>
  <si>
    <t>840912085097</t>
  </si>
  <si>
    <t>hafizakmal3@gmail.com</t>
  </si>
  <si>
    <t>P20220354</t>
  </si>
  <si>
    <t>MUHAMMAD FAEEZ BIN IBRAHIM</t>
  </si>
  <si>
    <t>920705115097</t>
  </si>
  <si>
    <t>faeez.ibrahim@simmtech.com</t>
  </si>
  <si>
    <t>P20220358</t>
  </si>
  <si>
    <t>NURUL BASHIRDA RAHMA BINTI BACIK</t>
  </si>
  <si>
    <t>960624125150</t>
  </si>
  <si>
    <t>nurulbashirdarahma@gmail.com</t>
  </si>
  <si>
    <t>P20220360</t>
  </si>
  <si>
    <t>MARNI LIYANA BINTI MANSOR</t>
  </si>
  <si>
    <t>941202025324</t>
  </si>
  <si>
    <t>liyana.mansor@simmtech.com</t>
  </si>
  <si>
    <t>P20220361</t>
  </si>
  <si>
    <t>MUHAMMAD FIRDAUS BIN AHMAD</t>
  </si>
  <si>
    <t>880716086021</t>
  </si>
  <si>
    <t>ifantri2@yahoo.com</t>
  </si>
  <si>
    <t>P20220363</t>
  </si>
  <si>
    <t>NUR SYAKAINI BINTI MOHD AKHIR</t>
  </si>
  <si>
    <t>990316075072</t>
  </si>
  <si>
    <t>nursyakaini@gmail.com</t>
  </si>
  <si>
    <t>P20220367</t>
  </si>
  <si>
    <t>990414135462</t>
  </si>
  <si>
    <t>nniezasyaaz99@gmail.com</t>
  </si>
  <si>
    <t>P20220369</t>
  </si>
  <si>
    <t>A'AINAA SYAZANA BINTI SAFRI</t>
  </si>
  <si>
    <t>971128075426</t>
  </si>
  <si>
    <t>syazana.safri@simmtech.com</t>
  </si>
  <si>
    <t>P20220370</t>
  </si>
  <si>
    <t>VIMALA DEVI A/P VARTHARAJU</t>
  </si>
  <si>
    <t>LOGISTICS - EXPORT</t>
  </si>
  <si>
    <t>820814075006</t>
  </si>
  <si>
    <t>vimala.vartharaju@simmtech.com</t>
  </si>
  <si>
    <t>LOGEXP</t>
  </si>
  <si>
    <t>P20220372</t>
  </si>
  <si>
    <t>NOOR AZIRA BINTI NANYAN</t>
  </si>
  <si>
    <t>880513025608</t>
  </si>
  <si>
    <t>aziranan@gmail.com</t>
  </si>
  <si>
    <t>P20220373</t>
  </si>
  <si>
    <t>NUR IZZATI BINTI MOHAMAD SANUSI</t>
  </si>
  <si>
    <t>981116075436</t>
  </si>
  <si>
    <t>izzatisanusi98@gmail.com</t>
  </si>
  <si>
    <t>P20220374</t>
  </si>
  <si>
    <t>MUHAMMAD AIZUDDIN BIN IBRAHIM</t>
  </si>
  <si>
    <t>031116080527</t>
  </si>
  <si>
    <t>n7@gmail.com</t>
  </si>
  <si>
    <t>P20220382</t>
  </si>
  <si>
    <t>RAPHELLA SACHARISSA ANAK SALIM</t>
  </si>
  <si>
    <t>890110135262</t>
  </si>
  <si>
    <t>OTHER</t>
  </si>
  <si>
    <t>anakmamydady89@gmail.com</t>
  </si>
  <si>
    <t>P20220385</t>
  </si>
  <si>
    <t>NUR FATIN LIYANA BINTI MANAF</t>
  </si>
  <si>
    <t>971015065256</t>
  </si>
  <si>
    <t>fatin.manaf@simmtech.com</t>
  </si>
  <si>
    <t>P20220386</t>
  </si>
  <si>
    <t>AHMAD MU'IZZ LUQMAN BIN ZAINOL ABIDIN</t>
  </si>
  <si>
    <t>970927095031</t>
  </si>
  <si>
    <t>n90@gmail.com</t>
  </si>
  <si>
    <t>P20220389</t>
  </si>
  <si>
    <t>MOHAMMAD UZAIR BIN AHMAD</t>
  </si>
  <si>
    <t>951114025577</t>
  </si>
  <si>
    <t>uzairahmad185@gmail.com</t>
  </si>
  <si>
    <t>P20220395</t>
  </si>
  <si>
    <t>MUHAMAD ADHAM BIN SHARIFF</t>
  </si>
  <si>
    <t>980307355081</t>
  </si>
  <si>
    <t>adhamamm1@gmail.com</t>
  </si>
  <si>
    <t>P20220396</t>
  </si>
  <si>
    <t>MUHAMMAD MASLAN BIN MAHSUN</t>
  </si>
  <si>
    <t>950711075869</t>
  </si>
  <si>
    <t>lanbede95@gmail.com</t>
  </si>
  <si>
    <t>P20220397</t>
  </si>
  <si>
    <t>NAZIRAH BINTI ABDUL NIZAM</t>
  </si>
  <si>
    <t>030312080044</t>
  </si>
  <si>
    <t>nazirahabdnizam@gmail.com</t>
  </si>
  <si>
    <t>P20220401</t>
  </si>
  <si>
    <t>MUHAMMAD HAKIM BIN AZMI</t>
  </si>
  <si>
    <t>010705020415</t>
  </si>
  <si>
    <t>hakimlaluck01@gmail.com</t>
  </si>
  <si>
    <t>P20220403</t>
  </si>
  <si>
    <t>NURUL NAJIHA BINTI MD ISA</t>
  </si>
  <si>
    <t>960521025528</t>
  </si>
  <si>
    <t>jieehaa96@gmail.com</t>
  </si>
  <si>
    <t>P20220407</t>
  </si>
  <si>
    <t>RAIDAH BINTI OMAR</t>
  </si>
  <si>
    <t>900331075394</t>
  </si>
  <si>
    <t>raidah3103@gmail.com</t>
  </si>
  <si>
    <t>P20220409</t>
  </si>
  <si>
    <t>NUR SUFINA BINTI NIZAN</t>
  </si>
  <si>
    <t>981124026052</t>
  </si>
  <si>
    <t>nursufina24@gmail.com</t>
  </si>
  <si>
    <t>P20220410</t>
  </si>
  <si>
    <t>NUR ANIS NAJWA BINTI AHMAD NOOR</t>
  </si>
  <si>
    <t>990705075180</t>
  </si>
  <si>
    <t>anisnajwa99@icloud.com</t>
  </si>
  <si>
    <t>P20220414</t>
  </si>
  <si>
    <t>MOHAMAD AIZAD BIN MAT ABU</t>
  </si>
  <si>
    <t>020702081393</t>
  </si>
  <si>
    <t>aizad0230@gmail.com</t>
  </si>
  <si>
    <t>P20220415</t>
  </si>
  <si>
    <t>MUHAMMAD RIDZUAN BIN ABDUL HAMID</t>
  </si>
  <si>
    <t>950524085957</t>
  </si>
  <si>
    <t>muhd.ridzuan1146@gmail.com</t>
  </si>
  <si>
    <t>P20220416</t>
  </si>
  <si>
    <t>MUHAMMAD ARIF MUQRI BIN IDRUS</t>
  </si>
  <si>
    <t>000804020681</t>
  </si>
  <si>
    <t>ehehariff110@gmail.com</t>
  </si>
  <si>
    <t>P20220417</t>
  </si>
  <si>
    <t>MUHAMMAD BIN MOHAMAD FADZIL</t>
  </si>
  <si>
    <t>950821016931</t>
  </si>
  <si>
    <t>muhammadmdfadzil@gmail.com</t>
  </si>
  <si>
    <t>P20220418</t>
  </si>
  <si>
    <t>MUHAMMAD NOR IRFAN BIN AZHAR</t>
  </si>
  <si>
    <t>991128045057</t>
  </si>
  <si>
    <t>irfanazhar090@gmail.com</t>
  </si>
  <si>
    <t>P20220425</t>
  </si>
  <si>
    <t>950513085687</t>
  </si>
  <si>
    <t>hafiz.izz95@gmail.com</t>
  </si>
  <si>
    <t>P20220427</t>
  </si>
  <si>
    <t>ATIKAH SYAZWANI BINTI ALIAS</t>
  </si>
  <si>
    <t>960804085002</t>
  </si>
  <si>
    <t>pandaucuk96@gmail.com</t>
  </si>
  <si>
    <t>P20220428</t>
  </si>
  <si>
    <t>SITI AMINAH BINTI SHARIFF</t>
  </si>
  <si>
    <t>930623086244</t>
  </si>
  <si>
    <t>sitiaminahshariff93@gmail.com</t>
  </si>
  <si>
    <t>P20220430</t>
  </si>
  <si>
    <t>SITI NUR HAYATI BINTI BAHAROM</t>
  </si>
  <si>
    <t>971205025458</t>
  </si>
  <si>
    <t>nurhayatibaharom97@gmail.com</t>
  </si>
  <si>
    <t>P20220431</t>
  </si>
  <si>
    <t>MOHAMAD RAZIF BIN JELANI</t>
  </si>
  <si>
    <t>020628081335</t>
  </si>
  <si>
    <t>Razifkun2806@gmail.com</t>
  </si>
  <si>
    <t>P20220432</t>
  </si>
  <si>
    <t>MUHAMMAD SAFARIN BIN SHAMSOL ALBAR</t>
  </si>
  <si>
    <t>990209085945</t>
  </si>
  <si>
    <t>paenggwp12@gmail.com</t>
  </si>
  <si>
    <t>P20220434</t>
  </si>
  <si>
    <t>MOHAMAD IDRIS BIN AHMAD FADZIL</t>
  </si>
  <si>
    <t>980526025357</t>
  </si>
  <si>
    <t>idrisfadzil5357@gmail.com</t>
  </si>
  <si>
    <t>P20220436</t>
  </si>
  <si>
    <t>MOHAMAD FAIZ BIN AZHAR</t>
  </si>
  <si>
    <t>951025085359</t>
  </si>
  <si>
    <t>MOHAMAD ASRAF BIN ABU HASAN</t>
  </si>
  <si>
    <t>paehkechik95@gmail.com</t>
  </si>
  <si>
    <t>P20220437</t>
  </si>
  <si>
    <t>MUHAMMAD DINIE BIN HASHIMI</t>
  </si>
  <si>
    <t>941124025379</t>
  </si>
  <si>
    <t>muhammaddiniebinhashimi@gmail.com</t>
  </si>
  <si>
    <t>P20220438</t>
  </si>
  <si>
    <t>ADAM FITRI BIN JEFFREY</t>
  </si>
  <si>
    <t>MAKE UP</t>
  </si>
  <si>
    <t>980130036279</t>
  </si>
  <si>
    <t>Fadam7753@gmail.com</t>
  </si>
  <si>
    <t>MKUP</t>
  </si>
  <si>
    <t>P20220442</t>
  </si>
  <si>
    <t>NORSYAFIRAH BINTI SHAFFIE</t>
  </si>
  <si>
    <t>980302355082</t>
  </si>
  <si>
    <t>norsyafirah52@gmail.com</t>
  </si>
  <si>
    <t>P20220445</t>
  </si>
  <si>
    <t>AMIRUL ASHRAF BIN ROPIE</t>
  </si>
  <si>
    <t>940723086371</t>
  </si>
  <si>
    <t>Ashrafropie9440@gmail.com</t>
  </si>
  <si>
    <t>P20220447</t>
  </si>
  <si>
    <t>MUHAMMAD RIDZUAN BIN MAT ISA</t>
  </si>
  <si>
    <t>970302086223</t>
  </si>
  <si>
    <t>onlywan46@gmail.com</t>
  </si>
  <si>
    <t>P20220449</t>
  </si>
  <si>
    <t>931112075767</t>
  </si>
  <si>
    <t>ravikumar.raghu@yahoo.com</t>
  </si>
  <si>
    <t>P20220450</t>
  </si>
  <si>
    <t>SITI FATIMAH BINTI MOHD HANAFIAH</t>
  </si>
  <si>
    <t>941215025040</t>
  </si>
  <si>
    <t>fatimah.hanafiah@simmtech.com</t>
  </si>
  <si>
    <t>P20220451</t>
  </si>
  <si>
    <t>CHE MUHAMMAD SYAZWAN BIN CHE ZOLLKEFLI</t>
  </si>
  <si>
    <t>941106065481</t>
  </si>
  <si>
    <t>chesyazwan94@gmail.com</t>
  </si>
  <si>
    <t>P20220452</t>
  </si>
  <si>
    <t>MOHAMAD IKMAL HAKIM BIN ZAINOL ABIDIN</t>
  </si>
  <si>
    <t>020318080919</t>
  </si>
  <si>
    <t>mohamadikmal2002@gmail.com</t>
  </si>
  <si>
    <t>P20220456</t>
  </si>
  <si>
    <t>MOHD HAFIZ BIN SULAIMAN</t>
  </si>
  <si>
    <t>840213086285</t>
  </si>
  <si>
    <t>mradiz84@gmail.com</t>
  </si>
  <si>
    <t>P20220457</t>
  </si>
  <si>
    <t>MUHAMMAD ANIS RAHIMI BIN MOHD SOBRI</t>
  </si>
  <si>
    <t>000322020283</t>
  </si>
  <si>
    <t>anisrahimi00@gmail.com</t>
  </si>
  <si>
    <t>P20220459</t>
  </si>
  <si>
    <t>AFIQ FARHAN BIN MOHD RAZALI</t>
  </si>
  <si>
    <t>960410086467</t>
  </si>
  <si>
    <t>afiqfarhan0410@gmail.com</t>
  </si>
  <si>
    <t>P20220461</t>
  </si>
  <si>
    <t>720504085999</t>
  </si>
  <si>
    <t>punithan.saluanadan@simmtech.com</t>
  </si>
  <si>
    <t>P20220462</t>
  </si>
  <si>
    <t>MUHAMMAD AMIRUL BIN NAGOR GANI</t>
  </si>
  <si>
    <t>Senior Material Handler</t>
  </si>
  <si>
    <t>970807075669</t>
  </si>
  <si>
    <t>aremirulkechik00@gmail.com</t>
  </si>
  <si>
    <t>P20220463</t>
  </si>
  <si>
    <t>ANIS FARHANA BINTI ZAINUDIN</t>
  </si>
  <si>
    <t>891203085836</t>
  </si>
  <si>
    <t>farhana.zainudin@simmtech.com</t>
  </si>
  <si>
    <t>P20220466</t>
  </si>
  <si>
    <t>NURUL ATIKAH BINTI ZAKARIA</t>
  </si>
  <si>
    <t>010331070214</t>
  </si>
  <si>
    <t>atikahzakaria31@gmail.com</t>
  </si>
  <si>
    <t>P20220468</t>
  </si>
  <si>
    <t>NURUL NADIA BINTI AZIZ</t>
  </si>
  <si>
    <t>920125075666</t>
  </si>
  <si>
    <t>dr_nadia92@yahoo.com</t>
  </si>
  <si>
    <t>P20220470</t>
  </si>
  <si>
    <t>AMIS AISYA NURWANNA BINTI ROZAIDI</t>
  </si>
  <si>
    <t>011209020496</t>
  </si>
  <si>
    <t>aaisya13@gmail.com</t>
  </si>
  <si>
    <t>P20220471</t>
  </si>
  <si>
    <t>MOHD HASBI BIN BADROL SHAM</t>
  </si>
  <si>
    <t>960907026419</t>
  </si>
  <si>
    <t>mohdhasbi05@gmail.com</t>
  </si>
  <si>
    <t>P20220472</t>
  </si>
  <si>
    <t>SIVANESWARI A/P UTHADAYA KUMARAN</t>
  </si>
  <si>
    <t>950525086564</t>
  </si>
  <si>
    <t>sivaneswari.uthadaya@simmtech.com</t>
  </si>
  <si>
    <t>P20220473</t>
  </si>
  <si>
    <t>NUR ATIKAH FARHANA BINTI SUHARDI</t>
  </si>
  <si>
    <t>IQC</t>
  </si>
  <si>
    <t>960117075574</t>
  </si>
  <si>
    <t>ikaf644@gmail.com</t>
  </si>
  <si>
    <t>P20220474</t>
  </si>
  <si>
    <t>HAFIZAL FITRI BIN RAZALI</t>
  </si>
  <si>
    <t>930320086087</t>
  </si>
  <si>
    <t>hafizalfitri93@gmail.com</t>
  </si>
  <si>
    <t>P20220475</t>
  </si>
  <si>
    <t>ZHAFRI BIN MOHD NASAIR</t>
  </si>
  <si>
    <t>000426090147</t>
  </si>
  <si>
    <t>zhafrinassair@gmail.com</t>
  </si>
  <si>
    <t>P20220476</t>
  </si>
  <si>
    <t>971010355377</t>
  </si>
  <si>
    <t>zakwanhamid14@gmail.com</t>
  </si>
  <si>
    <t>P20220477</t>
  </si>
  <si>
    <t>AHMAD AQIL AKMAL BIN AHMAD ZUKI</t>
  </si>
  <si>
    <t>010617080119</t>
  </si>
  <si>
    <t>aqilakmal0147@gmail.com</t>
  </si>
  <si>
    <t>P20220478</t>
  </si>
  <si>
    <t>MUHAMMAD FAIZ HAIKAL BIN AHMAD RADZI</t>
  </si>
  <si>
    <t>011125080029</t>
  </si>
  <si>
    <t>faizhaikal1917@icloud.com</t>
  </si>
  <si>
    <t>P20220480</t>
  </si>
  <si>
    <t>NUR MUHAMMAD ASYRAF BIN JAHAYA</t>
  </si>
  <si>
    <t>010111080509</t>
  </si>
  <si>
    <t>asyrafjahaya11@gmail.com</t>
  </si>
  <si>
    <t>P20220481</t>
  </si>
  <si>
    <t>MOHAMMAD TASNIM BIN ARBAIN</t>
  </si>
  <si>
    <t>991223085065</t>
  </si>
  <si>
    <t>tasnimarbain12@gmail.com</t>
  </si>
  <si>
    <t>P20220482</t>
  </si>
  <si>
    <t>MUHAMMAD HANIF BIN AZNI</t>
  </si>
  <si>
    <t>941005086179</t>
  </si>
  <si>
    <t>hanifazni@gmail.com</t>
  </si>
  <si>
    <t>P20220483</t>
  </si>
  <si>
    <t>ABDULLAH BIN SAID</t>
  </si>
  <si>
    <t>001225080051</t>
  </si>
  <si>
    <t>xabdullahsaidx95@gmail.com</t>
  </si>
  <si>
    <t>P20220485</t>
  </si>
  <si>
    <t>KHAIRUNNISA BINTI MOHD SABELI</t>
  </si>
  <si>
    <t>971026085842</t>
  </si>
  <si>
    <t>angahnisa64@gmail.com</t>
  </si>
  <si>
    <t>P20220487</t>
  </si>
  <si>
    <t>SHANGARI A/P SIVAKUMAR</t>
  </si>
  <si>
    <t>980207075146</t>
  </si>
  <si>
    <t>shangarisivakumar@gmail.com</t>
  </si>
  <si>
    <t>P20220488</t>
  </si>
  <si>
    <t>MOHAMMAD FIRDAUS BIN SHAHROM</t>
  </si>
  <si>
    <t>880216095175</t>
  </si>
  <si>
    <t>firdaus.shahrom@simmtech.com</t>
  </si>
  <si>
    <t>P20220490</t>
  </si>
  <si>
    <t>MOHAMAD AIMAN HANIS BIN ABDUL RAZAK</t>
  </si>
  <si>
    <t>931023025477</t>
  </si>
  <si>
    <t>aiman.razak@simmtech.com</t>
  </si>
  <si>
    <t>P20220491</t>
  </si>
  <si>
    <t>MUHAMMAD EKHWAN ASHWAD BIN MOHD ZAHIR</t>
  </si>
  <si>
    <t>980903085823</t>
  </si>
  <si>
    <t>ekhwanashwad98@gmail.com</t>
  </si>
  <si>
    <t>P20220493</t>
  </si>
  <si>
    <t>MUHAMMAD ADAM VIJAYA BIN NADARAJAH</t>
  </si>
  <si>
    <t>871206355063</t>
  </si>
  <si>
    <t>ajaykecik1987@gmail.com</t>
  </si>
  <si>
    <t>P20220495</t>
  </si>
  <si>
    <t>MUHAMMAD DANIAL HANIS BIN AZMAN</t>
  </si>
  <si>
    <t>020917140717</t>
  </si>
  <si>
    <t>danial0717@icloud.com</t>
  </si>
  <si>
    <t>P20220499</t>
  </si>
  <si>
    <t>MUHAMMAD MUSTAQIM BIN MAZLAN</t>
  </si>
  <si>
    <t>000415030165</t>
  </si>
  <si>
    <t>shaqim1106@gmail.com</t>
  </si>
  <si>
    <t>P20220501</t>
  </si>
  <si>
    <t>NURUL BALQIS BINTI ARSHAD</t>
  </si>
  <si>
    <t>000707010422</t>
  </si>
  <si>
    <t>balqisn811@gmail.com</t>
  </si>
  <si>
    <t>P20220504</t>
  </si>
  <si>
    <t>MOHAMAD AZMIR BIN MOHD SHAARI</t>
  </si>
  <si>
    <t>010115080063</t>
  </si>
  <si>
    <t>azmirshaari8@gmail.com</t>
  </si>
  <si>
    <t>P20220506</t>
  </si>
  <si>
    <t>SITI ZUNIKAPUTRI BINTI OSMAN</t>
  </si>
  <si>
    <t>001129070152</t>
  </si>
  <si>
    <t>zuikka2900@gmail.com</t>
  </si>
  <si>
    <t>P20220507</t>
  </si>
  <si>
    <t>NOR SYAZWANI BINTI RAMLI</t>
  </si>
  <si>
    <t>991119085284</t>
  </si>
  <si>
    <t>waniramli19@gmail.com</t>
  </si>
  <si>
    <t>P20220508</t>
  </si>
  <si>
    <t>AZRIZUL BIN MAT DIAH</t>
  </si>
  <si>
    <t>MANUFACTURING SPECIALIST</t>
  </si>
  <si>
    <t>950502085577</t>
  </si>
  <si>
    <t>azrizulacu@gmail.com</t>
  </si>
  <si>
    <t>P20220509</t>
  </si>
  <si>
    <t>MUHAMMAD SYAFIQ BIN SAHAK</t>
  </si>
  <si>
    <t>960203025709</t>
  </si>
  <si>
    <t>syafiqsahak96@gmail.com</t>
  </si>
  <si>
    <t>P20220510</t>
  </si>
  <si>
    <t>ONG HONG GIN</t>
  </si>
  <si>
    <t>841229085863</t>
  </si>
  <si>
    <t>honggin.ong@simmtech.com</t>
  </si>
  <si>
    <t>P20220512</t>
  </si>
  <si>
    <t>MUHAMMAD AIZAT BIN ARIS</t>
  </si>
  <si>
    <t>970604085883</t>
  </si>
  <si>
    <t>aizat.aris@simmtech.com</t>
  </si>
  <si>
    <t>P20220514</t>
  </si>
  <si>
    <t>CHE WAN MUHAMMAD HAZFADHIL BIN CHE WAN AZLAN</t>
  </si>
  <si>
    <t>961223115319</t>
  </si>
  <si>
    <t>hazfadhilazlan19@gmail.com</t>
  </si>
  <si>
    <t>P20220516</t>
  </si>
  <si>
    <t>NURUL SYAZWANI BINTI SAHARI</t>
  </si>
  <si>
    <t>990617025036</t>
  </si>
  <si>
    <t>syazwani.sahari@simmtech.com</t>
  </si>
  <si>
    <t>P20220519</t>
  </si>
  <si>
    <t>KARTHIK A/L BALAKRISHNAN</t>
  </si>
  <si>
    <t>900224025973</t>
  </si>
  <si>
    <t>karthik90024@gmail.com</t>
  </si>
  <si>
    <t>P20220520</t>
  </si>
  <si>
    <t>KHAIRUNNISA AMANI BINTI SUMARDI</t>
  </si>
  <si>
    <t>010523070024</t>
  </si>
  <si>
    <t>amanikeun60@gmail.com</t>
  </si>
  <si>
    <t>P20220522</t>
  </si>
  <si>
    <t>SITI NURUL TASNIN BINTI MOHD NORDIN</t>
  </si>
  <si>
    <t>991228035868</t>
  </si>
  <si>
    <t>nurultasnin99@icloud.com</t>
  </si>
  <si>
    <t>P20220523</t>
  </si>
  <si>
    <t>MOHAMAD HAFIZUDIN BIN RAZALI</t>
  </si>
  <si>
    <t>950909085325</t>
  </si>
  <si>
    <t>hafizudinrazali0@gmail.com</t>
  </si>
  <si>
    <t>P20220524</t>
  </si>
  <si>
    <t>MUHAMMAD AMIRUL SYAZWAN BIN ROZINO</t>
  </si>
  <si>
    <t>000709080707</t>
  </si>
  <si>
    <t>amirulsyazz@gmail.com</t>
  </si>
  <si>
    <t>P20220526</t>
  </si>
  <si>
    <t>MOHAMAD AMIRUL IZZAT BIN JAMALUDIN</t>
  </si>
  <si>
    <t>960906075067</t>
  </si>
  <si>
    <t>MUHAMMAD NAZIRUL MUBIN BIN MOHD RAMZI</t>
  </si>
  <si>
    <t>izzata383@gmail.com</t>
  </si>
  <si>
    <t>P20220527</t>
  </si>
  <si>
    <t>MUAZ IZZUDDIN BIN MOHD KHAIRI</t>
  </si>
  <si>
    <t>010416070889</t>
  </si>
  <si>
    <t>muazizzuddin76@gmail.com</t>
  </si>
  <si>
    <t>P20220528</t>
  </si>
  <si>
    <t>MUHAMMAD SYAKIR BIN JAAFAR</t>
  </si>
  <si>
    <t>881117565789</t>
  </si>
  <si>
    <t>kef8794123123@gmail.com</t>
  </si>
  <si>
    <t>P20220530</t>
  </si>
  <si>
    <t>MUHAMAD SOBRI BIN CHEE YEOP</t>
  </si>
  <si>
    <t>880115355193</t>
  </si>
  <si>
    <t>cheeyeop123@gmail.com</t>
  </si>
  <si>
    <t>P20220536</t>
  </si>
  <si>
    <t>SHAMSUL AKMAL BIN MUSTAFA KAMAL</t>
  </si>
  <si>
    <t>000725080993</t>
  </si>
  <si>
    <t>shamsulakmal19@gmail.com</t>
  </si>
  <si>
    <t>P20220539</t>
  </si>
  <si>
    <t>840526075368</t>
  </si>
  <si>
    <t>ikarokiahismail84@gmail.com</t>
  </si>
  <si>
    <t>P20220540</t>
  </si>
  <si>
    <t>MUHAMAD AMIRUDDIN BIN MOHD FAUZI</t>
  </si>
  <si>
    <t>010115070543</t>
  </si>
  <si>
    <t>amiiruddinz@gmail.com</t>
  </si>
  <si>
    <t>P20220542</t>
  </si>
  <si>
    <t>NUR ASFARAHIN BINTI MUHAMAD RAMLI</t>
  </si>
  <si>
    <t>940523016248</t>
  </si>
  <si>
    <t>asfarahinmeys@gmail.com</t>
  </si>
  <si>
    <t>P20220543</t>
  </si>
  <si>
    <t>MOHAMAD RASHID BIN SAAIDIN</t>
  </si>
  <si>
    <t>771101025609</t>
  </si>
  <si>
    <t>lohanstella12345@gmail.com</t>
  </si>
  <si>
    <t>P20220544</t>
  </si>
  <si>
    <t>AMIR HAKIMI BIN MOHD NOOR</t>
  </si>
  <si>
    <t>970624025001</t>
  </si>
  <si>
    <t>amirhakimimohdnoo@gmail.com</t>
  </si>
  <si>
    <t>P20220545</t>
  </si>
  <si>
    <t>NAQIB BIN ROSLAN</t>
  </si>
  <si>
    <t>931022115091</t>
  </si>
  <si>
    <t>abuyanaqib@gmail.com</t>
  </si>
  <si>
    <t>P20220546</t>
  </si>
  <si>
    <t>MOHAMAD ANWAR FARHAN BIN ZAINUDIN</t>
  </si>
  <si>
    <t>970803385061</t>
  </si>
  <si>
    <t>anwarfarhan97@gmail.com</t>
  </si>
  <si>
    <t>P20220547</t>
  </si>
  <si>
    <t>NURAZMINA BINTI ZUBER</t>
  </si>
  <si>
    <t>000530080096</t>
  </si>
  <si>
    <t>nurazmina.zuber@simmtech.com</t>
  </si>
  <si>
    <t>P20220548</t>
  </si>
  <si>
    <t>860702025764</t>
  </si>
  <si>
    <t>yongling.poh@simmtech.com</t>
  </si>
  <si>
    <t>P20220551</t>
  </si>
  <si>
    <t>LEONG SIEW YIN</t>
  </si>
  <si>
    <t>881114086096</t>
  </si>
  <si>
    <t>siewyin.leong@simmtech.com</t>
  </si>
  <si>
    <t>P20220552</t>
  </si>
  <si>
    <t>MOHAMMAD AMIRRUL BIN AZIZ</t>
  </si>
  <si>
    <t>970708075145</t>
  </si>
  <si>
    <t>kudabelang8797@gmail.com</t>
  </si>
  <si>
    <t>P20220553</t>
  </si>
  <si>
    <t>MUHAMMAD RADUAN BIN LATIB</t>
  </si>
  <si>
    <t>921005086437</t>
  </si>
  <si>
    <t>wansahaja46@gmail.com</t>
  </si>
  <si>
    <t>P20220556</t>
  </si>
  <si>
    <t>MUHAMMAD FAIZ BIN ZAINOL</t>
  </si>
  <si>
    <t>950203085243</t>
  </si>
  <si>
    <t>booyah560@gmail.com</t>
  </si>
  <si>
    <t>P20220558</t>
  </si>
  <si>
    <t>NURUL FARISSHA IRWAYU BINTI MUHAMMAD</t>
  </si>
  <si>
    <t>980816026876</t>
  </si>
  <si>
    <t>farissha012337@gmail.com</t>
  </si>
  <si>
    <t>P20220561</t>
  </si>
  <si>
    <t>JESSICA JUBILIN</t>
  </si>
  <si>
    <t>000301121974</t>
  </si>
  <si>
    <t>CHR</t>
  </si>
  <si>
    <t>JessicaJubilin@gmail.com</t>
  </si>
  <si>
    <t>P20220562</t>
  </si>
  <si>
    <t>MUHAMMAD SYAMIM ASYRAF BIN MAT SALIM</t>
  </si>
  <si>
    <t>980513355269</t>
  </si>
  <si>
    <t>akatsuki.us@gmail.com</t>
  </si>
  <si>
    <t>P20220563</t>
  </si>
  <si>
    <t>MOHAMAD ZUL FIKRI BIN AZMAN</t>
  </si>
  <si>
    <t>990215086223</t>
  </si>
  <si>
    <t>zfikri525@gmail.co</t>
  </si>
  <si>
    <t>P20220564</t>
  </si>
  <si>
    <t>MOHAMAD AIMAN HAKIM BIN SHAFIE</t>
  </si>
  <si>
    <t>SENIOR LINE LEADER</t>
  </si>
  <si>
    <t>020826070485</t>
  </si>
  <si>
    <t>aimanhakimshafie@gmail.com</t>
  </si>
  <si>
    <t>P20220565</t>
  </si>
  <si>
    <t>MUHAMMAD BADRUN AMIN BIN ROSHIDI</t>
  </si>
  <si>
    <t>980427075295</t>
  </si>
  <si>
    <t>adun9802@gmail.com</t>
  </si>
  <si>
    <t>P20220566</t>
  </si>
  <si>
    <t>INTAN NURJANNAH BINTI AZMAN</t>
  </si>
  <si>
    <t>001205020350</t>
  </si>
  <si>
    <t>intannurjannah50@gmail.com</t>
  </si>
  <si>
    <t>P20220568</t>
  </si>
  <si>
    <t>NURSYAZWANI BINTI HANIZAM</t>
  </si>
  <si>
    <t>020213020186</t>
  </si>
  <si>
    <t>nursyazwanihanizam02@gmail.com</t>
  </si>
  <si>
    <t>P20220569</t>
  </si>
  <si>
    <t>MUHAMMAD FAZLI BIN MOHD SAIMI</t>
  </si>
  <si>
    <t>930923086393</t>
  </si>
  <si>
    <t>muhammadFAZLI2309@gmail.com</t>
  </si>
  <si>
    <t>P20220573</t>
  </si>
  <si>
    <t>NOOR AINA BINTI AMIR</t>
  </si>
  <si>
    <t>LOGISTICS - TRADE COMPLIANCE</t>
  </si>
  <si>
    <t>900510025448</t>
  </si>
  <si>
    <t>aina.amir@simmtech.com</t>
  </si>
  <si>
    <t>LOGTRA</t>
  </si>
  <si>
    <t>P20220574</t>
  </si>
  <si>
    <t>NUR IR IMANI BINTI ISHAK</t>
  </si>
  <si>
    <t>960213125594</t>
  </si>
  <si>
    <t>nuririmani@gmail.com</t>
  </si>
  <si>
    <t>P20220575</t>
  </si>
  <si>
    <t>MOHD KHAIRUL BIN ABDUL KHAIR</t>
  </si>
  <si>
    <t>780419025515</t>
  </si>
  <si>
    <t>apexperd@gmail.com</t>
  </si>
  <si>
    <t>P20220580</t>
  </si>
  <si>
    <t>HASNIZAM BIN MD DESA</t>
  </si>
  <si>
    <t>770715075817</t>
  </si>
  <si>
    <t>hasnizamorga@yahoo.com</t>
  </si>
  <si>
    <t>P20220581</t>
  </si>
  <si>
    <t>AHMAD SAFIROL BIN RAMLI</t>
  </si>
  <si>
    <t>800531085249</t>
  </si>
  <si>
    <t>safirolramli@gmail.com</t>
  </si>
  <si>
    <t>P20220582</t>
  </si>
  <si>
    <t>871024025223</t>
  </si>
  <si>
    <t>mohdhelmie.2410@gmail.com</t>
  </si>
  <si>
    <t>P20220583</t>
  </si>
  <si>
    <t>MOHD FAUZI BIN CHE AP</t>
  </si>
  <si>
    <t>800208085521</t>
  </si>
  <si>
    <t>fauzi80sharina@gmail.com</t>
  </si>
  <si>
    <t>P20230002</t>
  </si>
  <si>
    <t>NOR NASUHA BINTI ZAID</t>
  </si>
  <si>
    <t>970702085000</t>
  </si>
  <si>
    <t>nornasuha20@gmail.com</t>
  </si>
  <si>
    <t>P20230003</t>
  </si>
  <si>
    <t>NUR SHUHADA BINTI SAHARI</t>
  </si>
  <si>
    <t>870913355244</t>
  </si>
  <si>
    <t>shuhada.sahari@simmtech.com</t>
  </si>
  <si>
    <t>P20230004</t>
  </si>
  <si>
    <t>MUHAMAD ADI HAKIMI BIN MOHD RASHID</t>
  </si>
  <si>
    <t>961129075293</t>
  </si>
  <si>
    <t>adieadie12370@gmail.com</t>
  </si>
  <si>
    <t>P20230007</t>
  </si>
  <si>
    <t>FATIN FATIHAH BINTI MAHAMAD YUSUF</t>
  </si>
  <si>
    <t>Officer I</t>
  </si>
  <si>
    <t>GENERAL AFFAIRS</t>
  </si>
  <si>
    <t>GA</t>
  </si>
  <si>
    <t>950316075420</t>
  </si>
  <si>
    <t>LEE ISAAC BYUNGDO</t>
  </si>
  <si>
    <t>fatihah.yusuf@simmtech.com</t>
  </si>
  <si>
    <t>P20230008</t>
  </si>
  <si>
    <t>AHMAD IDIL HAIKAL BIN AHMAD ISHAK</t>
  </si>
  <si>
    <t>970926075477</t>
  </si>
  <si>
    <t>idilhaikal97@gmail.com</t>
  </si>
  <si>
    <t>P20230009</t>
  </si>
  <si>
    <t>MUHAMMAD ALIFF FARHAN BIN ANUAR</t>
  </si>
  <si>
    <t>960113075331</t>
  </si>
  <si>
    <t>alepsam3939@gmail.com</t>
  </si>
  <si>
    <t>P20230010</t>
  </si>
  <si>
    <t>900207095064</t>
  </si>
  <si>
    <t>durasamsudin90@gmail.com</t>
  </si>
  <si>
    <t>P20230011</t>
  </si>
  <si>
    <t>AMIT KUMAR JHA</t>
  </si>
  <si>
    <t>NEPAL</t>
  </si>
  <si>
    <t>OTH</t>
  </si>
  <si>
    <t>B</t>
  </si>
  <si>
    <t>P20230012</t>
  </si>
  <si>
    <t>ARJUN B K</t>
  </si>
  <si>
    <t>P20230013</t>
  </si>
  <si>
    <t>ARJUN LOPCHAN</t>
  </si>
  <si>
    <t>MOHAMAD RIDHWAN BIN AYUB</t>
  </si>
  <si>
    <t>P20230014</t>
  </si>
  <si>
    <t>BASANTARAJ PARAJULI</t>
  </si>
  <si>
    <t>P20230015</t>
  </si>
  <si>
    <t>BHESRAJ DANGAL</t>
  </si>
  <si>
    <t>P20230016</t>
  </si>
  <si>
    <t>BIJAY KUMAR MANDAL</t>
  </si>
  <si>
    <t>P20230017</t>
  </si>
  <si>
    <t>BIJAY KUMAR SAH</t>
  </si>
  <si>
    <t>P20230018</t>
  </si>
  <si>
    <t>BIRAJ PRASAD CHAUDHARY</t>
  </si>
  <si>
    <t>P20230020</t>
  </si>
  <si>
    <t>DEEWASH THAPA</t>
  </si>
  <si>
    <t>HELMY QAIYUUM BIN RAMLEE</t>
  </si>
  <si>
    <t>P20230021</t>
  </si>
  <si>
    <t>DEV SING THAPA</t>
  </si>
  <si>
    <t>P20230022</t>
  </si>
  <si>
    <t>DEVENDRA PRASAD SAH</t>
  </si>
  <si>
    <t>P20230023</t>
  </si>
  <si>
    <t>DHANASHYAM YADAV</t>
  </si>
  <si>
    <t>P20230024</t>
  </si>
  <si>
    <t>DHIRAJ BISHWOKARMA</t>
  </si>
  <si>
    <t>P20230025</t>
  </si>
  <si>
    <t>DILESWAR PRASAD SAH</t>
  </si>
  <si>
    <t>P20230026</t>
  </si>
  <si>
    <t>DIPAK BHOLAN</t>
  </si>
  <si>
    <t>P20230027</t>
  </si>
  <si>
    <t>GANESH BAHADUR LIMBU</t>
  </si>
  <si>
    <t>MOHD FAKHRULLAH BIN ASMAN</t>
  </si>
  <si>
    <t>P20230028</t>
  </si>
  <si>
    <t>GANESH KUMAR GADAL</t>
  </si>
  <si>
    <t>P20230029</t>
  </si>
  <si>
    <t>GOPAL PRASAD SAH</t>
  </si>
  <si>
    <t>P20230030</t>
  </si>
  <si>
    <t>HARI BAHADUR SHRESTHA</t>
  </si>
  <si>
    <t>THANABALAN A/L RATHINAM</t>
  </si>
  <si>
    <t>P20230031</t>
  </si>
  <si>
    <t>HEM BAHADUR TAMANG</t>
  </si>
  <si>
    <t>P20230032</t>
  </si>
  <si>
    <t>JAYAPRAKASH RAM</t>
  </si>
  <si>
    <t>P20230033</t>
  </si>
  <si>
    <t>JEEVAN GURUNG</t>
  </si>
  <si>
    <t>P20230034</t>
  </si>
  <si>
    <t>KAMAL GURUNG</t>
  </si>
  <si>
    <t>P20230035</t>
  </si>
  <si>
    <t>KAMAL SUNAR</t>
  </si>
  <si>
    <t>P20230036</t>
  </si>
  <si>
    <t>KHADANANDA GHIMIRE</t>
  </si>
  <si>
    <t>P20230037</t>
  </si>
  <si>
    <t>LILA BAHADUR SARU</t>
  </si>
  <si>
    <t>P20230038</t>
  </si>
  <si>
    <t>MAHESH KUMAR SAH</t>
  </si>
  <si>
    <t>P20230040</t>
  </si>
  <si>
    <t>NABIN BAHADUR AIR</t>
  </si>
  <si>
    <t>P20230041</t>
  </si>
  <si>
    <t>NAND KISHOR MUKHIYA</t>
  </si>
  <si>
    <t>P20230043</t>
  </si>
  <si>
    <t>PRABHU MAHATO</t>
  </si>
  <si>
    <t>P20230044</t>
  </si>
  <si>
    <t>PRAKASH PARAJULI</t>
  </si>
  <si>
    <t>P20230047</t>
  </si>
  <si>
    <t>PRAMOD KUMAR MANDAL</t>
  </si>
  <si>
    <t>P20230048</t>
  </si>
  <si>
    <t>PURAN BAHADUR KHASU THAPA</t>
  </si>
  <si>
    <t>P20230049</t>
  </si>
  <si>
    <t>RAM SHARAN NEUPANE</t>
  </si>
  <si>
    <t>P20230050</t>
  </si>
  <si>
    <t>RAMKALASH PRASAD KUSHWAHA</t>
  </si>
  <si>
    <t>P20230053</t>
  </si>
  <si>
    <t>ROHAN NEPALI</t>
  </si>
  <si>
    <t>P20230055</t>
  </si>
  <si>
    <t>SANJIVE RAI</t>
  </si>
  <si>
    <t>P20230056</t>
  </si>
  <si>
    <t>SHAMSER RAI</t>
  </si>
  <si>
    <t>P20230057</t>
  </si>
  <si>
    <t>SHANKAR MAN SHRESTHA</t>
  </si>
  <si>
    <t>P20230058</t>
  </si>
  <si>
    <t>SHAYAD BK</t>
  </si>
  <si>
    <t>P20230059</t>
  </si>
  <si>
    <t>SHYAM KUMAR KAUCHA</t>
  </si>
  <si>
    <t>P20230061</t>
  </si>
  <si>
    <t>SUNIL KUMAR YADAV</t>
  </si>
  <si>
    <t>P20230063</t>
  </si>
  <si>
    <t>SURAT B K</t>
  </si>
  <si>
    <t>P20230066</t>
  </si>
  <si>
    <t>TEK NARAYAN SHRESTHA</t>
  </si>
  <si>
    <t>P20230067</t>
  </si>
  <si>
    <t>UMESH KUMAR MAHATO</t>
  </si>
  <si>
    <t>P20230068</t>
  </si>
  <si>
    <t>YAM BAHADUR DHENGA</t>
  </si>
  <si>
    <t>P20230070</t>
  </si>
  <si>
    <t>P20230071</t>
  </si>
  <si>
    <t>AS-ABUNNIZAM BIN ABDULLAH</t>
  </si>
  <si>
    <t>751013025395</t>
  </si>
  <si>
    <t>arebuey@gmail.com</t>
  </si>
  <si>
    <t>P20230072</t>
  </si>
  <si>
    <t>MOHAMAD AZMIR BIN JAMAL</t>
  </si>
  <si>
    <t>960830025513</t>
  </si>
  <si>
    <t>azmirbktteh@gmail.com</t>
  </si>
  <si>
    <t>P20230073</t>
  </si>
  <si>
    <t>NUR SYAFINAZ BINTI ABDULLAHTIP</t>
  </si>
  <si>
    <t>SYSTEM INFRASTRUCTURE</t>
  </si>
  <si>
    <t>IT</t>
  </si>
  <si>
    <t>940206025706</t>
  </si>
  <si>
    <t>CHEW CHUN ENG</t>
  </si>
  <si>
    <t>syafinaz.abdullahtip@simmtech.com</t>
  </si>
  <si>
    <t>INFRA</t>
  </si>
  <si>
    <t>P20230074</t>
  </si>
  <si>
    <t>NOR MURTAZAH BINTI JAAFAR</t>
  </si>
  <si>
    <t>931014085910</t>
  </si>
  <si>
    <t>murtazah.jaafar@simmtech.com</t>
  </si>
  <si>
    <t>P20230076</t>
  </si>
  <si>
    <t>TEOH BOON THENG</t>
  </si>
  <si>
    <t>811123075512</t>
  </si>
  <si>
    <t>boontheng.teoh@simmtech.com</t>
  </si>
  <si>
    <t>P20230077</t>
  </si>
  <si>
    <t>ANNA ARITONANG</t>
  </si>
  <si>
    <t>INDONESIA</t>
  </si>
  <si>
    <t>INDON</t>
  </si>
  <si>
    <t>P20230078</t>
  </si>
  <si>
    <t>AURIA AMELIA HUTAGAOL</t>
  </si>
  <si>
    <t>P20230079</t>
  </si>
  <si>
    <t>CHANTIKA MANJORANG</t>
  </si>
  <si>
    <t>P20230080</t>
  </si>
  <si>
    <t>DEPI MARIA SIMANUNGKALIT</t>
  </si>
  <si>
    <t>P20230081</t>
  </si>
  <si>
    <t>ELISA SESARIAN SIANTURI</t>
  </si>
  <si>
    <t>P20230083</t>
  </si>
  <si>
    <t>EPI SEPTIANA PARAPAT</t>
  </si>
  <si>
    <t>P20230084</t>
  </si>
  <si>
    <t>FITRI HANDAYANI NASUTION</t>
  </si>
  <si>
    <t>P20230086</t>
  </si>
  <si>
    <t>FRETI ANASTASIA TAMPUBOLON</t>
  </si>
  <si>
    <t>P20230088</t>
  </si>
  <si>
    <t>HENNI PRISKA SIHOMBING</t>
  </si>
  <si>
    <t>P20230089</t>
  </si>
  <si>
    <t>HENNITA SIMANGUNSONG</t>
  </si>
  <si>
    <t>P20230090</t>
  </si>
  <si>
    <t>HENNY TITI SUSARNI MANURUNG</t>
  </si>
  <si>
    <t>P20230091</t>
  </si>
  <si>
    <t>INDRI APRILIA PARINDURI</t>
  </si>
  <si>
    <t>P20230092</t>
  </si>
  <si>
    <t>INTAN MORANA HALOHO</t>
  </si>
  <si>
    <t>P20230093</t>
  </si>
  <si>
    <t>JENNYFER PARHUSIP</t>
  </si>
  <si>
    <t>P20230094</t>
  </si>
  <si>
    <t>JESICA ANASTHASYA SARAGIH</t>
  </si>
  <si>
    <t>P20230095</t>
  </si>
  <si>
    <t>JESIKA SURYANTI SIREGAR</t>
  </si>
  <si>
    <t>P20230097</t>
  </si>
  <si>
    <t>LASMARCAHAYA SIBORO</t>
  </si>
  <si>
    <t>P20230099</t>
  </si>
  <si>
    <t>LORENTINA SRI GANDA TAMBUNAN</t>
  </si>
  <si>
    <t>P20230100</t>
  </si>
  <si>
    <t>MARHADILLA SAMOSIR</t>
  </si>
  <si>
    <t>dillasamosir@icloud.com</t>
  </si>
  <si>
    <t>P20230102</t>
  </si>
  <si>
    <t>MENRI VERONIKA SITOHANG</t>
  </si>
  <si>
    <t>P20230103</t>
  </si>
  <si>
    <t>NOVITA TANGGANG</t>
  </si>
  <si>
    <t>P20230105</t>
  </si>
  <si>
    <t>RAMADHANA SARAGIH</t>
  </si>
  <si>
    <t>P20230107</t>
  </si>
  <si>
    <t>RIVKA MARBUN</t>
  </si>
  <si>
    <t>P20230108</t>
  </si>
  <si>
    <t>SANTI RAJAGUKGUK</t>
  </si>
  <si>
    <t>P20230109</t>
  </si>
  <si>
    <t>SARMAULI SIAHAAN</t>
  </si>
  <si>
    <t>P20230110</t>
  </si>
  <si>
    <t>SELVI MELANITA SIAHAAN</t>
  </si>
  <si>
    <t>P20230112</t>
  </si>
  <si>
    <t>SUCI RAMADANI LINGGA</t>
  </si>
  <si>
    <t>P20230114</t>
  </si>
  <si>
    <t>TRI ENJELITA SIANTURI</t>
  </si>
  <si>
    <t>P20230115</t>
  </si>
  <si>
    <t>TRISYA WATY</t>
  </si>
  <si>
    <t>trisyawaty705@gmail.com</t>
  </si>
  <si>
    <t>P20230116</t>
  </si>
  <si>
    <t>YOLANDA WIJAYA</t>
  </si>
  <si>
    <t>P20230117</t>
  </si>
  <si>
    <t>MANAGER I</t>
  </si>
  <si>
    <t>810814075138</t>
  </si>
  <si>
    <t>kumuta.saptharisi@simmtech.com</t>
  </si>
  <si>
    <t>P20230119</t>
  </si>
  <si>
    <t>AIDA NURUL AIN BINTI AHMAD SABRI</t>
  </si>
  <si>
    <t>980915026978</t>
  </si>
  <si>
    <t>nurul.ahmad@simmtech.com</t>
  </si>
  <si>
    <t>P20230120</t>
  </si>
  <si>
    <t>691126085229</t>
  </si>
  <si>
    <t>kokaun.ng@simmtech.com</t>
  </si>
  <si>
    <t>P20230122</t>
  </si>
  <si>
    <t>MUHAMAD NAIM BIN NASSER GAN</t>
  </si>
  <si>
    <t>990621075175</t>
  </si>
  <si>
    <t>naimgan73343155@gmail.com</t>
  </si>
  <si>
    <t>P20230124</t>
  </si>
  <si>
    <t>NUR ALYA FARZANA BINTI MUHAMAD SIHAM</t>
  </si>
  <si>
    <t>970526075398</t>
  </si>
  <si>
    <t>alyafarzana.msiham@gmail.com</t>
  </si>
  <si>
    <t>P20230125</t>
  </si>
  <si>
    <t>MUHAMMAD ZAFRAN HAKIM BIN ADNAN</t>
  </si>
  <si>
    <t>991019086175</t>
  </si>
  <si>
    <t>m.zafranadnan@gmail.com</t>
  </si>
  <si>
    <t>P20230126</t>
  </si>
  <si>
    <t>ASYRAF NAIM BIN SHAHRUL ZAMAN</t>
  </si>
  <si>
    <t>940921075681</t>
  </si>
  <si>
    <t>naimbella9999@gmail.com</t>
  </si>
  <si>
    <t>P20230130</t>
  </si>
  <si>
    <t>MUHAMMAD AQMAL HAQEEM BIN ABDULL AZIZ</t>
  </si>
  <si>
    <t>020528070145</t>
  </si>
  <si>
    <t>mmhdarqml@gmail.com</t>
  </si>
  <si>
    <t>P20230131</t>
  </si>
  <si>
    <t>FAIRUZ AFIQAH BINTI A RAZAK</t>
  </si>
  <si>
    <t>920301086162</t>
  </si>
  <si>
    <t>afiqah.razak@simmtech.com</t>
  </si>
  <si>
    <t>P20230132</t>
  </si>
  <si>
    <t>KHAIRUL IQBAL BIN ROSLAN</t>
  </si>
  <si>
    <t>941011075791</t>
  </si>
  <si>
    <t>khaiiqbal3049@gmail.com</t>
  </si>
  <si>
    <t>P20230133</t>
  </si>
  <si>
    <t>SHAHRIL BIN YAACOB</t>
  </si>
  <si>
    <t>840718025007</t>
  </si>
  <si>
    <t>shahril5007@icloud.com</t>
  </si>
  <si>
    <t>P20230134</t>
  </si>
  <si>
    <t>MUHAMMAD SABRI BIN AWANG</t>
  </si>
  <si>
    <t>941206085287</t>
  </si>
  <si>
    <t>sabriawang03@gmail.com</t>
  </si>
  <si>
    <t>P20230135</t>
  </si>
  <si>
    <t>MUHAMMAD UWAIS ZUHAIR BIN SHARIMAN</t>
  </si>
  <si>
    <t>970819075375</t>
  </si>
  <si>
    <t>uwaiszuhairshriman@gmail.com</t>
  </si>
  <si>
    <t>P20230136</t>
  </si>
  <si>
    <t>MUHAMMAD AZIM BIN AZMAN</t>
  </si>
  <si>
    <t>930624075053</t>
  </si>
  <si>
    <t>azim.azman246@gmail.com</t>
  </si>
  <si>
    <t>P20230139</t>
  </si>
  <si>
    <t>PHOON WAI YEEN</t>
  </si>
  <si>
    <t>940917085510</t>
  </si>
  <si>
    <t>waiyeen.phoon@simmtech.com</t>
  </si>
  <si>
    <t>P20230140</t>
  </si>
  <si>
    <t>NAZRIN BIN SARJAN</t>
  </si>
  <si>
    <t>971205385381</t>
  </si>
  <si>
    <t>ayen971205@gmail.com</t>
  </si>
  <si>
    <t>P20230141</t>
  </si>
  <si>
    <t>MUHAMAD AKMAL BIN MOHD FARID</t>
  </si>
  <si>
    <t>000823070035</t>
  </si>
  <si>
    <t>akmalfarid986@gmail.com</t>
  </si>
  <si>
    <t>P20230143</t>
  </si>
  <si>
    <t>MOHAMMAD AZAM BIN MOHD ZAMRI</t>
  </si>
  <si>
    <t>950908025021</t>
  </si>
  <si>
    <t>azamzamrii@yahoo.com</t>
  </si>
  <si>
    <t>P20230144</t>
  </si>
  <si>
    <t>ASIROHANA SITOMPUL</t>
  </si>
  <si>
    <t>P20230147</t>
  </si>
  <si>
    <t>CHRISTIN TIARA PANJAITAN</t>
  </si>
  <si>
    <t>P20230148</t>
  </si>
  <si>
    <t>DAMAYANTI SILABAN</t>
  </si>
  <si>
    <t>P20230150</t>
  </si>
  <si>
    <t>DEMA ANJANI GINTING</t>
  </si>
  <si>
    <t>P20230152</t>
  </si>
  <si>
    <t>DEWI OVIANA SIMANGUNSONG</t>
  </si>
  <si>
    <t>P20230153</t>
  </si>
  <si>
    <t>ELISABET NOVITA SARI SITANGGANG</t>
  </si>
  <si>
    <t>P20230154</t>
  </si>
  <si>
    <t>FANNY SEPTRIANA</t>
  </si>
  <si>
    <t>P20230155</t>
  </si>
  <si>
    <t>HADZIZAH SIMANGUNSONG</t>
  </si>
  <si>
    <t>P20230156</t>
  </si>
  <si>
    <t>HEPPY MAGDA SITUMORANG</t>
  </si>
  <si>
    <t>P20230157</t>
  </si>
  <si>
    <t>HERMAYANA</t>
  </si>
  <si>
    <t>P20230158</t>
  </si>
  <si>
    <t>HERTIKA SILALAHI</t>
  </si>
  <si>
    <t>P20230159</t>
  </si>
  <si>
    <t>HOTNITA LUMBANGAOL</t>
  </si>
  <si>
    <t>P20230160</t>
  </si>
  <si>
    <t>IRMAWATI</t>
  </si>
  <si>
    <t>INDO</t>
  </si>
  <si>
    <t>P20230162</t>
  </si>
  <si>
    <t>KRISTINA NABABAN</t>
  </si>
  <si>
    <t>P20230163</t>
  </si>
  <si>
    <t>LISDAWATI PARAPAT</t>
  </si>
  <si>
    <t>P20230164</t>
  </si>
  <si>
    <t>MARIA FITRI RAJAGUKGUK</t>
  </si>
  <si>
    <t>P20230165</t>
  </si>
  <si>
    <t>NOVRITA SIANTURI</t>
  </si>
  <si>
    <t>P20230166</t>
  </si>
  <si>
    <t>RATNA SARI TOGATOROP</t>
  </si>
  <si>
    <t>P20230171</t>
  </si>
  <si>
    <t>VENTI WINDA SINAGA</t>
  </si>
  <si>
    <t>P20230172</t>
  </si>
  <si>
    <t>YESIKA LAVINA ZALUKKHU</t>
  </si>
  <si>
    <t>P20230174</t>
  </si>
  <si>
    <t>JALALUDDIN BIN JOHARI</t>
  </si>
  <si>
    <t>971017355441</t>
  </si>
  <si>
    <t>jalalminato@gmail.com</t>
  </si>
  <si>
    <t>P20230177</t>
  </si>
  <si>
    <t>MUHAMAD SYAHMI BIN CHE YUSOFF</t>
  </si>
  <si>
    <t>951230036329</t>
  </si>
  <si>
    <t>y.syahmi@yahoo.com</t>
  </si>
  <si>
    <t>P20230178</t>
  </si>
  <si>
    <t>UMMUL NOORSOLEHAH BINTI ABDUL AZIZ</t>
  </si>
  <si>
    <t>010817081036</t>
  </si>
  <si>
    <t>norsolehah6700@icloud.com</t>
  </si>
  <si>
    <t>P20230179</t>
  </si>
  <si>
    <t>AMAN RAJ</t>
  </si>
  <si>
    <t>P20230180</t>
  </si>
  <si>
    <t>ANAND MEHATA</t>
  </si>
  <si>
    <t>P20230181</t>
  </si>
  <si>
    <t>ANJAN YONGHANG</t>
  </si>
  <si>
    <t>P20230182</t>
  </si>
  <si>
    <t>ASHOK KUMAR GODHI</t>
  </si>
  <si>
    <t>P20230183</t>
  </si>
  <si>
    <t>BAIJNATH SINGH</t>
  </si>
  <si>
    <t>P20230184</t>
  </si>
  <si>
    <t>BET BAHADUR THAPA MAGAR</t>
  </si>
  <si>
    <t>P20230185</t>
  </si>
  <si>
    <t>BHOGENDRA MANDAL</t>
  </si>
  <si>
    <t>P20230186</t>
  </si>
  <si>
    <t>BIDYANAND SAH</t>
  </si>
  <si>
    <t>P20230188</t>
  </si>
  <si>
    <t>BISHAL KUMAR BHAGAT</t>
  </si>
  <si>
    <t>P20230189</t>
  </si>
  <si>
    <t>BISHNU BHATTARAI</t>
  </si>
  <si>
    <t>P20230190</t>
  </si>
  <si>
    <t>BISNU PAL</t>
  </si>
  <si>
    <t>P20230191</t>
  </si>
  <si>
    <t>CHANDRA BAHADUR BISHOWKARMA</t>
  </si>
  <si>
    <t>P20230192</t>
  </si>
  <si>
    <t>DAN BAHADUR BASNET</t>
  </si>
  <si>
    <t>P20230193</t>
  </si>
  <si>
    <t>DATEMBA SHERPA</t>
  </si>
  <si>
    <t>P20230194</t>
  </si>
  <si>
    <t>DIPAK BHATTA</t>
  </si>
  <si>
    <t>P20230195</t>
  </si>
  <si>
    <t>GAJENDRA KARKI</t>
  </si>
  <si>
    <t>gajeng49@gmail.com</t>
  </si>
  <si>
    <t>P20230196</t>
  </si>
  <si>
    <t>HEM NARAYAN YADAV</t>
  </si>
  <si>
    <t>P20230197</t>
  </si>
  <si>
    <t>JAY KISHOR MAHATO</t>
  </si>
  <si>
    <t>P20230198</t>
  </si>
  <si>
    <t>JIWAN KHADKA</t>
  </si>
  <si>
    <t>P20230199</t>
  </si>
  <si>
    <t>KARAN BAHADUR SUNAR</t>
  </si>
  <si>
    <t>P20230201</t>
  </si>
  <si>
    <t>KIRAN SHRESTHA</t>
  </si>
  <si>
    <t>P20230202</t>
  </si>
  <si>
    <t>KRISHNA BAHADUR GURUNG</t>
  </si>
  <si>
    <t>P20230203</t>
  </si>
  <si>
    <t>LOKENDRA BAHADUR BIST</t>
  </si>
  <si>
    <t>P20230204</t>
  </si>
  <si>
    <t>MAHATMA BARUWAL</t>
  </si>
  <si>
    <t>P20230205</t>
  </si>
  <si>
    <t>MANGARU KEWAT</t>
  </si>
  <si>
    <t>P20230206</t>
  </si>
  <si>
    <t>MANISH THAKUR</t>
  </si>
  <si>
    <t>P20230207</t>
  </si>
  <si>
    <t>MANOJ SOMAI</t>
  </si>
  <si>
    <t>P20230208</t>
  </si>
  <si>
    <t>MEGH RAJ RIJAL</t>
  </si>
  <si>
    <t>P20230210</t>
  </si>
  <si>
    <t>NITESH KUMAR SAH</t>
  </si>
  <si>
    <t>P20230211</t>
  </si>
  <si>
    <t>PRADIP KHADKA</t>
  </si>
  <si>
    <t>P20230212</t>
  </si>
  <si>
    <t>PREM KUMAR KATWAL</t>
  </si>
  <si>
    <t>P20230213</t>
  </si>
  <si>
    <t>PURAN DHIMAL</t>
  </si>
  <si>
    <t>P20230216</t>
  </si>
  <si>
    <t>RAM KUMAR JABEGU</t>
  </si>
  <si>
    <t>P20230217</t>
  </si>
  <si>
    <t>RAM PRASAD CHAUDHARY</t>
  </si>
  <si>
    <t>P20230218</t>
  </si>
  <si>
    <t>RAMDAS MOKTAN</t>
  </si>
  <si>
    <t>P20230219</t>
  </si>
  <si>
    <t>RAMKISHAN BAITHA DHOBI</t>
  </si>
  <si>
    <t>P20230221</t>
  </si>
  <si>
    <t>SANJAY KUMAR YADAV</t>
  </si>
  <si>
    <t>P20230222</t>
  </si>
  <si>
    <t>SANJIB KUMAR YADAV</t>
  </si>
  <si>
    <t>P20230223</t>
  </si>
  <si>
    <t>SANTOSH TAMANG</t>
  </si>
  <si>
    <t>P20230225</t>
  </si>
  <si>
    <t>SREE KANTA TRIPATHEE</t>
  </si>
  <si>
    <t>P20230226</t>
  </si>
  <si>
    <t>SUMAN ALE MAGAR</t>
  </si>
  <si>
    <t>P20230227</t>
  </si>
  <si>
    <t>SUMBHO HANG LIMBU</t>
  </si>
  <si>
    <t>P20230228</t>
  </si>
  <si>
    <t>SUNIL KUMAR ARGARIYA  YADAV</t>
  </si>
  <si>
    <t>P20230229</t>
  </si>
  <si>
    <t>SURENDRA KUMAR KUSHWAHA</t>
  </si>
  <si>
    <t>P20230230</t>
  </si>
  <si>
    <t>SUSHIL PRASAD MEHTA</t>
  </si>
  <si>
    <t>P20230231</t>
  </si>
  <si>
    <t>TOP BAHADUR B C</t>
  </si>
  <si>
    <t>P20230232</t>
  </si>
  <si>
    <t>UJJWAL ACHARYA</t>
  </si>
  <si>
    <t>P20230233</t>
  </si>
  <si>
    <t>UMESH BISTA</t>
  </si>
  <si>
    <t>P20230234</t>
  </si>
  <si>
    <t>UPENDRA MAHATO</t>
  </si>
  <si>
    <t>P20230236</t>
  </si>
  <si>
    <t>YUBRAJ CHALAUNE</t>
  </si>
  <si>
    <t>P20230237</t>
  </si>
  <si>
    <t>LOGISTICS - INCOMING</t>
  </si>
  <si>
    <t>821221075216</t>
  </si>
  <si>
    <t>guatai.kung@simmtech.com</t>
  </si>
  <si>
    <t>LOGINC</t>
  </si>
  <si>
    <t>P20230238</t>
  </si>
  <si>
    <t>ANIS AYUNI BINTI ISMAIL</t>
  </si>
  <si>
    <t>931125015368</t>
  </si>
  <si>
    <t>ayuni.ismail@simmtech.com</t>
  </si>
  <si>
    <t>P20230242</t>
  </si>
  <si>
    <t>MOHAMAD IKMAL SOFI BIN ISHAK</t>
  </si>
  <si>
    <t>960501026101</t>
  </si>
  <si>
    <t>ikmalsofie@gmail.com</t>
  </si>
  <si>
    <t>P20230244</t>
  </si>
  <si>
    <t>FARAH BALQIS BINTI FAUZI</t>
  </si>
  <si>
    <t>901231075164</t>
  </si>
  <si>
    <t>balqis.fauzi@simmtech.com</t>
  </si>
  <si>
    <t>P20230245</t>
  </si>
  <si>
    <t>NUR HAFIZAH BINTI ISMAIL ZOAWE</t>
  </si>
  <si>
    <t>920927025070</t>
  </si>
  <si>
    <t>hafizahzoawe@gmail.com</t>
  </si>
  <si>
    <t>P20230247</t>
  </si>
  <si>
    <t>981228075158</t>
  </si>
  <si>
    <t>ainurafifah1998@gmail.com</t>
  </si>
  <si>
    <t>P20230248</t>
  </si>
  <si>
    <t>MUHAMMAD SADDAM BIN TAHIR</t>
  </si>
  <si>
    <t>000225080997</t>
  </si>
  <si>
    <t>jandaus34@gmail.com</t>
  </si>
  <si>
    <t>P20230249</t>
  </si>
  <si>
    <t>MUHAMMAD SHAHRUL DANIAL BIN RAZALI</t>
  </si>
  <si>
    <t>990713085055</t>
  </si>
  <si>
    <t>shahruldanial07@gmail.com</t>
  </si>
  <si>
    <t>P20230250</t>
  </si>
  <si>
    <t>CASTRI SINAGA</t>
  </si>
  <si>
    <t>P20230251</t>
  </si>
  <si>
    <t>DESTRI ROMARITO HUTASOIT</t>
  </si>
  <si>
    <t>P20230252</t>
  </si>
  <si>
    <t>DEVI ELISYA NAINGGOLAN</t>
  </si>
  <si>
    <t>P20230254</t>
  </si>
  <si>
    <t>GETA SITORUS</t>
  </si>
  <si>
    <t>P20230256</t>
  </si>
  <si>
    <t>ILDA WINITA HASIBUAN</t>
  </si>
  <si>
    <t>P20230257</t>
  </si>
  <si>
    <t>INGGRIK HANDAYANI SIRAIT</t>
  </si>
  <si>
    <t>P20230260</t>
  </si>
  <si>
    <t>MIRA PURNAMA SARI SIPAYUNG</t>
  </si>
  <si>
    <t>P20230261</t>
  </si>
  <si>
    <t>MONALISA TAMBUNAN</t>
  </si>
  <si>
    <t>P20230264</t>
  </si>
  <si>
    <t>NURMALA KURNIAWATI</t>
  </si>
  <si>
    <t>P20230265</t>
  </si>
  <si>
    <t>PUTRI MONIKA SIANTURI</t>
  </si>
  <si>
    <t>P20230266</t>
  </si>
  <si>
    <t>SITI AISYAH</t>
  </si>
  <si>
    <t>P20230267</t>
  </si>
  <si>
    <t>SRI HARTATI LUSIANA SIHOMBING</t>
  </si>
  <si>
    <t>P20230268</t>
  </si>
  <si>
    <t>TRESIANA SIREGAR</t>
  </si>
  <si>
    <t>P20230270</t>
  </si>
  <si>
    <t>MOHD NORSAIFUL AKMAR BIN CHE CHAN</t>
  </si>
  <si>
    <t>930331095157</t>
  </si>
  <si>
    <t>norsaiful.chan@simmtech.com</t>
  </si>
  <si>
    <t>P20230271</t>
  </si>
  <si>
    <t>MUHAMAD HASROL BIN SUBDIN</t>
  </si>
  <si>
    <t>890901075833</t>
  </si>
  <si>
    <t>Hasrolown89@gmail.com</t>
  </si>
  <si>
    <t>P20230272</t>
  </si>
  <si>
    <t>MOHD FAKHRI BIN ABDULLAH</t>
  </si>
  <si>
    <t>850901025215</t>
  </si>
  <si>
    <t>mohdfakhri85@gmail.com</t>
  </si>
  <si>
    <t>P20230274</t>
  </si>
  <si>
    <t>RABINDRANATH TAGORE A/L ARLODASY</t>
  </si>
  <si>
    <t>890217065903</t>
  </si>
  <si>
    <t>rabindranath_0217@yahoo.com</t>
  </si>
  <si>
    <t>P20230276</t>
  </si>
  <si>
    <t>AIMAN SYAUQI BIN HUSSAIN</t>
  </si>
  <si>
    <t>010617080223</t>
  </si>
  <si>
    <t>aimansyauqihussain01@gmail.com</t>
  </si>
  <si>
    <t>P20230277</t>
  </si>
  <si>
    <t>011106070845</t>
  </si>
  <si>
    <t>ftxexan@gmail.com</t>
  </si>
  <si>
    <t>P20230278</t>
  </si>
  <si>
    <t>MOHAMAD FIDAIY BIN MOHAMAD SALLEH</t>
  </si>
  <si>
    <t>010805070161</t>
  </si>
  <si>
    <t>mohdfidaiy19@gmail.com</t>
  </si>
  <si>
    <t>P20230279</t>
  </si>
  <si>
    <t>941020126343</t>
  </si>
  <si>
    <t>mohdakramul94@gmail.com</t>
  </si>
  <si>
    <t>P20230280</t>
  </si>
  <si>
    <t>MUHAMMAD FAZIROL BIN ROSLAN</t>
  </si>
  <si>
    <t>970706085163</t>
  </si>
  <si>
    <t>muhammadfazirol@gmail.com</t>
  </si>
  <si>
    <t>P20230281</t>
  </si>
  <si>
    <t>MUHAMAD RIFDI BIN ABDUL RAHIM</t>
  </si>
  <si>
    <t>961229075055</t>
  </si>
  <si>
    <t>rifai49175@gmail.com</t>
  </si>
  <si>
    <t>P20230282</t>
  </si>
  <si>
    <t>MOHD ATHIF ISHWANDY BIN MOHD NORDIN AZMAIN</t>
  </si>
  <si>
    <t>000614121393</t>
  </si>
  <si>
    <t>latipah1406@gmail.com</t>
  </si>
  <si>
    <t>P20230283</t>
  </si>
  <si>
    <t>MOHD AMIRUL ZAMANI BIN HENDRY</t>
  </si>
  <si>
    <t>011227120351</t>
  </si>
  <si>
    <t>waiwinwin36@gmail.com</t>
  </si>
  <si>
    <t>P20230284</t>
  </si>
  <si>
    <t>NURUL NAZZIA BINTI ROZALI</t>
  </si>
  <si>
    <t>030920080048</t>
  </si>
  <si>
    <t>nurulnazzia23@gmail.com</t>
  </si>
  <si>
    <t>P20230286</t>
  </si>
  <si>
    <t>NURUL AINA BINTI ADNAN</t>
  </si>
  <si>
    <t>960829115482</t>
  </si>
  <si>
    <t>aina290896@gmail.com</t>
  </si>
  <si>
    <t>P20230287</t>
  </si>
  <si>
    <t>ROHAYA BINTI BAHAROM</t>
  </si>
  <si>
    <t>830530025460</t>
  </si>
  <si>
    <t>rohayavaq5829@gmail.com</t>
  </si>
  <si>
    <t>P20230288</t>
  </si>
  <si>
    <t>MOHAMAD HARIS BIN SULAIMAN</t>
  </si>
  <si>
    <t>031228080847</t>
  </si>
  <si>
    <t>harissulaiman162@gmail.com</t>
  </si>
  <si>
    <t>P20230289</t>
  </si>
  <si>
    <t>MUHAMMAD ABDUL HAKIM BIN ABD HAMID</t>
  </si>
  <si>
    <t>040229081029</t>
  </si>
  <si>
    <t>lyricbyakm@gmail.com</t>
  </si>
  <si>
    <t>P20230291</t>
  </si>
  <si>
    <t>SAPAREN BIN ISMAIL</t>
  </si>
  <si>
    <t>820706025917</t>
  </si>
  <si>
    <t>safarien36@gmail.com</t>
  </si>
  <si>
    <t>P20230292</t>
  </si>
  <si>
    <t>AHMAD ASYRAAF BIN AHMAD FAZILIA</t>
  </si>
  <si>
    <t>970307385425</t>
  </si>
  <si>
    <t>ahmadasyraaf683@gmail.com</t>
  </si>
  <si>
    <t>P20230294</t>
  </si>
  <si>
    <t>NURUL HUSNINA BINTI HAMDAN</t>
  </si>
  <si>
    <t>020129080530</t>
  </si>
  <si>
    <t>nrlhusnina0530@gmail.com</t>
  </si>
  <si>
    <t>P20230295</t>
  </si>
  <si>
    <t>MUHAMMAD AMIR MUSLIM BIN AZAHAR</t>
  </si>
  <si>
    <t>980826095103</t>
  </si>
  <si>
    <t>amirmuslim0998@gmail.com</t>
  </si>
  <si>
    <t>P20230296</t>
  </si>
  <si>
    <t>MUHAMMAD AIMAN ARIF BIN AHMAD ZAIDI</t>
  </si>
  <si>
    <t>030118020873</t>
  </si>
  <si>
    <t>aiman20030118@gmail.com</t>
  </si>
  <si>
    <t>P20230297</t>
  </si>
  <si>
    <t>MOHAMMAD IZZAT BIN MOHD SOFIAN</t>
  </si>
  <si>
    <t>980211026371</t>
  </si>
  <si>
    <t>izzatm724@gmail.com</t>
  </si>
  <si>
    <t>P20230298</t>
  </si>
  <si>
    <t>MOHAMAD ZEFFY BIN HALAKE</t>
  </si>
  <si>
    <t>931114145001</t>
  </si>
  <si>
    <t>crunchminions@gmail.com</t>
  </si>
  <si>
    <t>P20230299</t>
  </si>
  <si>
    <t>KISIN ANAK KIROH</t>
  </si>
  <si>
    <t>930226136017</t>
  </si>
  <si>
    <t>IBAN</t>
  </si>
  <si>
    <t>kisinkubung@gmail.com</t>
  </si>
  <si>
    <t>P20230300</t>
  </si>
  <si>
    <t>MUHAMMAD RAZALI ADAM BIN SHUHERI</t>
  </si>
  <si>
    <t>990221086027</t>
  </si>
  <si>
    <t>adamr7643@gmail.com</t>
  </si>
  <si>
    <t>P20230303</t>
  </si>
  <si>
    <t>KARTHIRAJ A/L SEGAR</t>
  </si>
  <si>
    <t>001018070205</t>
  </si>
  <si>
    <t>karthirajsegar18@gmail.com</t>
  </si>
  <si>
    <t>P20230304</t>
  </si>
  <si>
    <t>MUHAMMAD FIRDAUS BIN AZHAR</t>
  </si>
  <si>
    <t>990917095255</t>
  </si>
  <si>
    <t>firdaus.azhar@simmtech.com</t>
  </si>
  <si>
    <t>P20230306</t>
  </si>
  <si>
    <t>920309075847</t>
  </si>
  <si>
    <t>fazarul_faiz@yahoo.com</t>
  </si>
  <si>
    <t>P20230308</t>
  </si>
  <si>
    <t>NORLIYANA BINTI ZULKAFLE</t>
  </si>
  <si>
    <t>890106065644</t>
  </si>
  <si>
    <t>norliyana.zulkafle@simmtech.com</t>
  </si>
  <si>
    <t>P20230309</t>
  </si>
  <si>
    <t>FATIN ATIKAH BINTI HASHIM</t>
  </si>
  <si>
    <t>941125095192</t>
  </si>
  <si>
    <t>atikah.hashim@simmtech.com</t>
  </si>
  <si>
    <t>P20230310</t>
  </si>
  <si>
    <t>MUHAMMAD HAZIM AMZAR BIN BADRI</t>
  </si>
  <si>
    <t>981231075757</t>
  </si>
  <si>
    <t>hazim.badri@simmtech.com</t>
  </si>
  <si>
    <t>P20230311</t>
  </si>
  <si>
    <t>APRILIA RITONGA</t>
  </si>
  <si>
    <t>P20230312</t>
  </si>
  <si>
    <t>AYU RIYANTI</t>
  </si>
  <si>
    <t>P20230313</t>
  </si>
  <si>
    <t>AYU YUSNITA TARIHORAN</t>
  </si>
  <si>
    <t>P20230314</t>
  </si>
  <si>
    <t>CLARA DEBORA SIHITE</t>
  </si>
  <si>
    <t>P20230315</t>
  </si>
  <si>
    <t>DELLA ARISTIYA TITRA TARIGAN</t>
  </si>
  <si>
    <t>P20230316</t>
  </si>
  <si>
    <t>DESSY CHRISTINA PURBA</t>
  </si>
  <si>
    <t>P20230317</t>
  </si>
  <si>
    <t>DEVIANA VERONIKA RAJAGUKGUK</t>
  </si>
  <si>
    <t>P20230318</t>
  </si>
  <si>
    <t>ELMA SIMANJUNTAK</t>
  </si>
  <si>
    <t>P20230322</t>
  </si>
  <si>
    <t>FEBY AGRIANA MEILISA YESICA</t>
  </si>
  <si>
    <t>P20230324</t>
  </si>
  <si>
    <t>INDAH SARI</t>
  </si>
  <si>
    <t>P20230325</t>
  </si>
  <si>
    <t>ISCHA WENNY SITUMEANG</t>
  </si>
  <si>
    <t>P20230326</t>
  </si>
  <si>
    <t>JULYANI ALFINA NAINGGOLAN</t>
  </si>
  <si>
    <t>P20230327</t>
  </si>
  <si>
    <t>KARMILASARI SIHOTANG</t>
  </si>
  <si>
    <t>P20230329</t>
  </si>
  <si>
    <t>LESTARI JULIANA MUNTE</t>
  </si>
  <si>
    <t>P20230330</t>
  </si>
  <si>
    <t>MASTIUR PANGGABEAN</t>
  </si>
  <si>
    <t>P20230331</t>
  </si>
  <si>
    <t>NIKE ASTRIA SIMARMATA</t>
  </si>
  <si>
    <t>P20230334</t>
  </si>
  <si>
    <t>ODOR SIMAREMARE</t>
  </si>
  <si>
    <t>P20230335</t>
  </si>
  <si>
    <t>PINNI JOJOR DELIMA SIREGAR</t>
  </si>
  <si>
    <t>P20230336</t>
  </si>
  <si>
    <t>RESMINDO HUTAGALUNG</t>
  </si>
  <si>
    <t>P20230337</t>
  </si>
  <si>
    <t>RIZKY SYAHFITRI MARPAUNG</t>
  </si>
  <si>
    <t>P20230338</t>
  </si>
  <si>
    <t>ROSITA SARI HALOHO</t>
  </si>
  <si>
    <t>P20230339</t>
  </si>
  <si>
    <t>SABARIA PASARIBU</t>
  </si>
  <si>
    <t>P20230340</t>
  </si>
  <si>
    <t>SITI KHODIJAH</t>
  </si>
  <si>
    <t>P20230341</t>
  </si>
  <si>
    <t>SOFIA MELANI SITOMPUL</t>
  </si>
  <si>
    <t>P20230343</t>
  </si>
  <si>
    <t>SRI MULYANI</t>
  </si>
  <si>
    <t>P20230345</t>
  </si>
  <si>
    <t>TETTI SURIATI PANGGABEAN</t>
  </si>
  <si>
    <t>P20230347</t>
  </si>
  <si>
    <t>TUPA P MANALU</t>
  </si>
  <si>
    <t>P20230348</t>
  </si>
  <si>
    <t>URSULA ELISABET</t>
  </si>
  <si>
    <t>P20230349</t>
  </si>
  <si>
    <t>WULAN ROHAYATI</t>
  </si>
  <si>
    <t>P20230350</t>
  </si>
  <si>
    <t>ZAITUN</t>
  </si>
  <si>
    <t>P20230351</t>
  </si>
  <si>
    <t>MOHAMMAD FEISOL BIN FADZIL</t>
  </si>
  <si>
    <t>991116026465</t>
  </si>
  <si>
    <t>feisolf@gmail.com</t>
  </si>
  <si>
    <t>P20230352</t>
  </si>
  <si>
    <t>811001095195</t>
  </si>
  <si>
    <t>kjclhf@yahoo.com.my</t>
  </si>
  <si>
    <t>P20230353</t>
  </si>
  <si>
    <t>MOHD ASRULFITRI BIN ABDULLAH</t>
  </si>
  <si>
    <t>960219025623</t>
  </si>
  <si>
    <t>fasrulfitri96@gmail.com</t>
  </si>
  <si>
    <t>P20230354</t>
  </si>
  <si>
    <t>KHAIRUL AZMAN BIN MOHD BASLAH</t>
  </si>
  <si>
    <t>860508386347</t>
  </si>
  <si>
    <t>KhairulAzman8581@gmail.com</t>
  </si>
  <si>
    <t>P20230356</t>
  </si>
  <si>
    <t>000606020437</t>
  </si>
  <si>
    <t>damirel1149@gmail.com</t>
  </si>
  <si>
    <t>P20230357</t>
  </si>
  <si>
    <t>890930025245</t>
  </si>
  <si>
    <t>nizar.nabil@simmtech.com</t>
  </si>
  <si>
    <t>P20230359</t>
  </si>
  <si>
    <t>980416075150</t>
  </si>
  <si>
    <t>nshahiraa16@gmail.com</t>
  </si>
  <si>
    <t>P20230360</t>
  </si>
  <si>
    <t>PUTERA BISZMIE BIN ANUAR</t>
  </si>
  <si>
    <t>950601035559</t>
  </si>
  <si>
    <t>putrabiszmie@gmail.com</t>
  </si>
  <si>
    <t>P20230362</t>
  </si>
  <si>
    <t>MUHAMMAD NURHAQIM BIN JOHARI</t>
  </si>
  <si>
    <t>920805045313</t>
  </si>
  <si>
    <t>johaqeem@gmail.com</t>
  </si>
  <si>
    <t>P20230363</t>
  </si>
  <si>
    <t>AZMAN BIN ASIM</t>
  </si>
  <si>
    <t>990707125647</t>
  </si>
  <si>
    <t>azmanmek@gmail.com</t>
  </si>
  <si>
    <t>P20230366</t>
  </si>
  <si>
    <t>ABINASH KUMAR SAHANI</t>
  </si>
  <si>
    <t>P20230367</t>
  </si>
  <si>
    <t>AMIT KUMAR THAKUR</t>
  </si>
  <si>
    <t>P20230368</t>
  </si>
  <si>
    <t>ANIL KUMAR YADAV</t>
  </si>
  <si>
    <t>P20230369</t>
  </si>
  <si>
    <t>ANIL KUNWAR</t>
  </si>
  <si>
    <t>P20230370</t>
  </si>
  <si>
    <t>ANURAG KUMAL</t>
  </si>
  <si>
    <t>P20230371</t>
  </si>
  <si>
    <t>ASHOK KUMAR SAH</t>
  </si>
  <si>
    <t>P20230372</t>
  </si>
  <si>
    <t>BHOLA PRASAD SAH</t>
  </si>
  <si>
    <t>P20230373</t>
  </si>
  <si>
    <t>BIJAY KAFLE</t>
  </si>
  <si>
    <t>P20230374</t>
  </si>
  <si>
    <t>BIMAL KHADKA</t>
  </si>
  <si>
    <t>P20230375</t>
  </si>
  <si>
    <t>BISHAL KUMAR SAH</t>
  </si>
  <si>
    <t>P20230377</t>
  </si>
  <si>
    <t>CHANDRA LAL CHAUDHARY</t>
  </si>
  <si>
    <t>P20230380</t>
  </si>
  <si>
    <t>DIPAK KUMAR SAH</t>
  </si>
  <si>
    <t>P20230381</t>
  </si>
  <si>
    <t>DIPAK OJHA</t>
  </si>
  <si>
    <t>P20230382</t>
  </si>
  <si>
    <t>DIPENDRA MAHATO</t>
  </si>
  <si>
    <t>shinghdipen@gmail.com</t>
  </si>
  <si>
    <t>P20230383</t>
  </si>
  <si>
    <t>DIPENDRA PARAJULI</t>
  </si>
  <si>
    <t>P20230384</t>
  </si>
  <si>
    <t>DIPENDRA SUNAR</t>
  </si>
  <si>
    <t>P20230385</t>
  </si>
  <si>
    <t>GUNJAN POUDEL</t>
  </si>
  <si>
    <t>P20230387</t>
  </si>
  <si>
    <t>JAYA BAHADUR KUNWAR</t>
  </si>
  <si>
    <t>P20230388</t>
  </si>
  <si>
    <t>JITENDRA CHAUDHARY</t>
  </si>
  <si>
    <t>P20230389</t>
  </si>
  <si>
    <t>KHADAK BAHADUR SHRESTHA</t>
  </si>
  <si>
    <t>P20230390</t>
  </si>
  <si>
    <t>LAXMAN KUMAR RAUT</t>
  </si>
  <si>
    <t>P20230391</t>
  </si>
  <si>
    <t>MAN BAHADUR B C</t>
  </si>
  <si>
    <t>P20230392</t>
  </si>
  <si>
    <t>MAN BAHADUR KHADKA</t>
  </si>
  <si>
    <t>P20230393</t>
  </si>
  <si>
    <t>MANSINGH WOD</t>
  </si>
  <si>
    <t>P20230395</t>
  </si>
  <si>
    <t>MILAN SHRESTHA</t>
  </si>
  <si>
    <t>P20230396</t>
  </si>
  <si>
    <t>NABARAJ SHRESTHA</t>
  </si>
  <si>
    <t>P20230397</t>
  </si>
  <si>
    <t>NABIN KATUWAL</t>
  </si>
  <si>
    <t>P20230398</t>
  </si>
  <si>
    <t>NABIN KUMAR LAMA</t>
  </si>
  <si>
    <t>P20230400</t>
  </si>
  <si>
    <t>NUR MAHAMAD ANSARI</t>
  </si>
  <si>
    <t>P20230403</t>
  </si>
  <si>
    <t>RAJESH MAHATO</t>
  </si>
  <si>
    <t>P20230404</t>
  </si>
  <si>
    <t>RAM KISHAN MAURY</t>
  </si>
  <si>
    <t>P20230405</t>
  </si>
  <si>
    <t>RAM SHANKAR CHAUDHARY</t>
  </si>
  <si>
    <t>P20230406</t>
  </si>
  <si>
    <t>RAMBABU GUPTA</t>
  </si>
  <si>
    <t>P20230407</t>
  </si>
  <si>
    <t>RAMBINAYA MAHARA</t>
  </si>
  <si>
    <t>P20230408</t>
  </si>
  <si>
    <t>ROSHAN KUMAR MISHRA</t>
  </si>
  <si>
    <t>P20230409</t>
  </si>
  <si>
    <t>RUBINDRA SHARMA</t>
  </si>
  <si>
    <t>P20230410</t>
  </si>
  <si>
    <t>SAILENDRA KUMAR ROY AMAT</t>
  </si>
  <si>
    <t>P20230411</t>
  </si>
  <si>
    <t>SANDIP MAINALI</t>
  </si>
  <si>
    <t>P20230412</t>
  </si>
  <si>
    <t>P20230416</t>
  </si>
  <si>
    <t>SARJAN RAI</t>
  </si>
  <si>
    <t>P20230417</t>
  </si>
  <si>
    <t>SAURAV BASNET</t>
  </si>
  <si>
    <t>P20230418</t>
  </si>
  <si>
    <t>SHER BAHADUR DHUNGAL</t>
  </si>
  <si>
    <t>P20230419</t>
  </si>
  <si>
    <t>SHIV NARAYAN SAH</t>
  </si>
  <si>
    <t>P20230420</t>
  </si>
  <si>
    <t>SUDIP MAGAR</t>
  </si>
  <si>
    <t>P20230422</t>
  </si>
  <si>
    <t>SURENDRA SINGH NAYAK</t>
  </si>
  <si>
    <t>P20230423</t>
  </si>
  <si>
    <t>TAISH MUHAMMAD PATHAN</t>
  </si>
  <si>
    <t>P20230424</t>
  </si>
  <si>
    <t>UPENDRA SAH BANIYA</t>
  </si>
  <si>
    <t>P20230425</t>
  </si>
  <si>
    <t>MUHAMMAD AMIR BIN ZAINUDDIN</t>
  </si>
  <si>
    <t>970603075579</t>
  </si>
  <si>
    <t>muhdamirzainuddin8@gmail.com</t>
  </si>
  <si>
    <t>P20230427</t>
  </si>
  <si>
    <t>NUR SYAFIQAH BINTI MAT RAPIE</t>
  </si>
  <si>
    <t>941016025988</t>
  </si>
  <si>
    <t>syafiqahmatrapie@gmail.com</t>
  </si>
  <si>
    <t>P20230428</t>
  </si>
  <si>
    <t>NURUL NADHIRA BINTI ZAHALAN</t>
  </si>
  <si>
    <t>950612025866</t>
  </si>
  <si>
    <t>nadhira496@gmail.com</t>
  </si>
  <si>
    <t>P20230429</t>
  </si>
  <si>
    <t>NIROSHA A/P LOGANATHAN</t>
  </si>
  <si>
    <t>950126075606</t>
  </si>
  <si>
    <t>nirosha.loganathan@simmtech.com</t>
  </si>
  <si>
    <t>P20230430</t>
  </si>
  <si>
    <t>MUHAMAD ZAHID BIN ISMAIL</t>
  </si>
  <si>
    <t>911219025243</t>
  </si>
  <si>
    <t>zahideat91@gmail.com</t>
  </si>
  <si>
    <t>P20230431</t>
  </si>
  <si>
    <t>INTAN DEWI MELINA BINTI SARMAN SIREGAR</t>
  </si>
  <si>
    <t>980602035582</t>
  </si>
  <si>
    <t>Dewimelina98@icloud.com</t>
  </si>
  <si>
    <t>P20230432</t>
  </si>
  <si>
    <t>NAJATUL NAJWA BINTI HASHIM</t>
  </si>
  <si>
    <t>010920070116</t>
  </si>
  <si>
    <t>najwahashim001@gmail.com</t>
  </si>
  <si>
    <t>P20230433</t>
  </si>
  <si>
    <t>MUHAMAD SHAIFUL AZRUL BIN SAMSURI</t>
  </si>
  <si>
    <t>920327075795</t>
  </si>
  <si>
    <t>muhamadshaiful27@gmail.com</t>
  </si>
  <si>
    <t>P20230434</t>
  </si>
  <si>
    <t>NUR HAFIZAH FARHANA BINTI BAHMAN</t>
  </si>
  <si>
    <t>930114085980</t>
  </si>
  <si>
    <t>bahman.nurhafizahfarhana@gmail.com</t>
  </si>
  <si>
    <t>P20230435</t>
  </si>
  <si>
    <t>AZZATUL ALIANA BINTI AHMAD SHUKRI</t>
  </si>
  <si>
    <t>000626071178</t>
  </si>
  <si>
    <t>azzatul26@gmail.com</t>
  </si>
  <si>
    <t>P20230436</t>
  </si>
  <si>
    <t>MUHAMMAD RAQIB BIN OTHMAN</t>
  </si>
  <si>
    <t>990509087651</t>
  </si>
  <si>
    <t>raqibothman99@gmail.com</t>
  </si>
  <si>
    <t>P20230437</t>
  </si>
  <si>
    <t>MUHAMMAD NUR AFIF HAZIM BIN NOOR APANDI</t>
  </si>
  <si>
    <t>030916070613</t>
  </si>
  <si>
    <t>afifhazim11@gmail.com</t>
  </si>
  <si>
    <t>P20230438</t>
  </si>
  <si>
    <t>NURUL ANIS BINTI MOHD ROZI</t>
  </si>
  <si>
    <t>030422070808</t>
  </si>
  <si>
    <t>nnurulaniis@gmail.com</t>
  </si>
  <si>
    <t>P20230439</t>
  </si>
  <si>
    <t>ZARUL ASWAD BIN JAMALUDDIN</t>
  </si>
  <si>
    <t>010422080039</t>
  </si>
  <si>
    <t>aswadzarul8@gmail.com</t>
  </si>
  <si>
    <t>P20230440</t>
  </si>
  <si>
    <t>MUHAMAD SHAHRUL IMAN BIN MAT ISA</t>
  </si>
  <si>
    <t>000521080553</t>
  </si>
  <si>
    <t>shahiman707@gmail.com</t>
  </si>
  <si>
    <t>P20230441</t>
  </si>
  <si>
    <t>MUHAMMAD NUR IKHMAN BIN AZMAN</t>
  </si>
  <si>
    <t>030819070531</t>
  </si>
  <si>
    <t>ikhman2829@icloud.com</t>
  </si>
  <si>
    <t>P20230442</t>
  </si>
  <si>
    <t>AFIQ ADLI BIN ZAMZURI</t>
  </si>
  <si>
    <t>011002140423</t>
  </si>
  <si>
    <t>afiqanis39@gmail.com</t>
  </si>
  <si>
    <t>P20230443</t>
  </si>
  <si>
    <t>MOHAMAD ZULKHAIRI BIN SULAIMAN</t>
  </si>
  <si>
    <t>950729085045</t>
  </si>
  <si>
    <t>zulkhairisulaiman95@gmail.com</t>
  </si>
  <si>
    <t>P20230445</t>
  </si>
  <si>
    <t>MOHAMED RIDZUAN BIN HUSSAIN</t>
  </si>
  <si>
    <t>830920085303</t>
  </si>
  <si>
    <t>ridzuanbacok1983@gmail.com</t>
  </si>
  <si>
    <t>P20230446</t>
  </si>
  <si>
    <t>MUHAMMAD ZAINUL ASYRAF BIN AZLAN</t>
  </si>
  <si>
    <t>991107085025</t>
  </si>
  <si>
    <t>Zainulazlan07@gmail.com</t>
  </si>
  <si>
    <t>P20230449</t>
  </si>
  <si>
    <t>MUHAMMAD SAFIQ BIN RAMLI</t>
  </si>
  <si>
    <t>000923080281</t>
  </si>
  <si>
    <t>apitzati84@gmail.com</t>
  </si>
  <si>
    <t>P20230450</t>
  </si>
  <si>
    <t>960410086475</t>
  </si>
  <si>
    <t>mohdasrafabuhasan@gmail.com</t>
  </si>
  <si>
    <t>P20230451</t>
  </si>
  <si>
    <t>MUHAMMAD MUSYAHIID MUSIKH BIN AMRAN</t>
  </si>
  <si>
    <t>000411050177</t>
  </si>
  <si>
    <t>musyahiid77@gmail.com</t>
  </si>
  <si>
    <t>P20230452</t>
  </si>
  <si>
    <t>961210086045</t>
  </si>
  <si>
    <t>aidilrspg399@gmail.com</t>
  </si>
  <si>
    <t>P20230453</t>
  </si>
  <si>
    <t>MUHAMMAD ZAKI BIN MAT SALLEH</t>
  </si>
  <si>
    <t>900714086437</t>
  </si>
  <si>
    <t>muhd90zaki@icloud.com</t>
  </si>
  <si>
    <t>P20230454</t>
  </si>
  <si>
    <t>AHMAD RAFIE BIN HUSEN</t>
  </si>
  <si>
    <t>870227495255</t>
  </si>
  <si>
    <t>ahmadrafiehusen5974964@gmail.com</t>
  </si>
  <si>
    <t>P20230455</t>
  </si>
  <si>
    <t>SALEH BIN AHMAD FADZIL</t>
  </si>
  <si>
    <t>010504080403</t>
  </si>
  <si>
    <t>zeusshedo@gmail.com</t>
  </si>
  <si>
    <t>P20230456</t>
  </si>
  <si>
    <t>NUR NABILAH HUSNA BINTI NOOR APANDI</t>
  </si>
  <si>
    <t>010901070380</t>
  </si>
  <si>
    <t>Nabilahh641@gmail.com</t>
  </si>
  <si>
    <t>P20230457</t>
  </si>
  <si>
    <t>FARHANA BINTI SANUDDIN</t>
  </si>
  <si>
    <t>970312385390</t>
  </si>
  <si>
    <t>Hana.Farhana4518752@gmail.com</t>
  </si>
  <si>
    <t>P20230458</t>
  </si>
  <si>
    <t>SITI NUR NAJIHAH BINTI MAHANI</t>
  </si>
  <si>
    <t>010105010264</t>
  </si>
  <si>
    <t>najihahmahani547@gmail.com</t>
  </si>
  <si>
    <t>P20230461</t>
  </si>
  <si>
    <t>NABIL SYAHMI BIN SHAMSUDDIN</t>
  </si>
  <si>
    <t>980816085403</t>
  </si>
  <si>
    <t>Nabilsyahmi72@gmail.com</t>
  </si>
  <si>
    <t>P20230462</t>
  </si>
  <si>
    <t>MOHAMAD FIRDAUS BIN ISMAIL</t>
  </si>
  <si>
    <t>941217025175</t>
  </si>
  <si>
    <t>changg1944@gmail.com</t>
  </si>
  <si>
    <t>P20230464</t>
  </si>
  <si>
    <t>NORZARIFAH SYAZWANI BINTI NORDIN</t>
  </si>
  <si>
    <t>970724075540</t>
  </si>
  <si>
    <t>Waniesyazwanie0797@gmail.com</t>
  </si>
  <si>
    <t>P20230471</t>
  </si>
  <si>
    <t>MOHAMAD RAZIQ BIN ZULKIPLI</t>
  </si>
  <si>
    <t>980921035301</t>
  </si>
  <si>
    <t>raziq.zulkipli@simmtech.com</t>
  </si>
  <si>
    <t>P20230472</t>
  </si>
  <si>
    <t>MUHAMMAD AMIRUL AKMAL BIN MOHAMAD SABRI</t>
  </si>
  <si>
    <t>940505075105</t>
  </si>
  <si>
    <t>a.akmal5105@gmail.com</t>
  </si>
  <si>
    <t>P20230473</t>
  </si>
  <si>
    <t>NORAZYAN BINTI RUDI HARTONO</t>
  </si>
  <si>
    <t>990908055104</t>
  </si>
  <si>
    <t>norazyan.hartono@simmtech.com</t>
  </si>
  <si>
    <t>P20230474</t>
  </si>
  <si>
    <t>SITI NUR MASHITOH BINTI LIM</t>
  </si>
  <si>
    <t>000417020198</t>
  </si>
  <si>
    <t>nur.lim@simmtech.com</t>
  </si>
  <si>
    <t>P20230475</t>
  </si>
  <si>
    <t>AZWAN FARID BIN MOHD TAJUDIN</t>
  </si>
  <si>
    <t>991012026049</t>
  </si>
  <si>
    <t>farid.tajudin@simmtech.com</t>
  </si>
  <si>
    <t>P20230476</t>
  </si>
  <si>
    <t>NURU AL HIDAYAH BINTI MOHAMED</t>
  </si>
  <si>
    <t>840425125506</t>
  </si>
  <si>
    <t>al.mohamed@simmtech.com</t>
  </si>
  <si>
    <t>P20230477</t>
  </si>
  <si>
    <t>HENG PEY FERN</t>
  </si>
  <si>
    <t>850905075252</t>
  </si>
  <si>
    <t>peyfern.heng@simmtech.com</t>
  </si>
  <si>
    <t>P20230478</t>
  </si>
  <si>
    <t>ILYANA NAJIHAH BINTI MOHD RUZI</t>
  </si>
  <si>
    <t>SPS ONSITE IMPROVEMENT</t>
  </si>
  <si>
    <t>SPS ONSITE IMPROVEMNET</t>
  </si>
  <si>
    <t>980912085702</t>
  </si>
  <si>
    <t>JU YOUNGSEOK</t>
  </si>
  <si>
    <t>najihah.ruzi@simmtech.com</t>
  </si>
  <si>
    <t>ON SPS</t>
  </si>
  <si>
    <t>P20230480</t>
  </si>
  <si>
    <t>THIBBEN RAJ A/L TANIMALEI</t>
  </si>
  <si>
    <t>940128075379</t>
  </si>
  <si>
    <t>thibbenraj@gmail.com</t>
  </si>
  <si>
    <t>P20230485</t>
  </si>
  <si>
    <t>ABU BAKAR BIN ISOBALI</t>
  </si>
  <si>
    <t>751017085299</t>
  </si>
  <si>
    <t>abuema751017@gmail.com</t>
  </si>
  <si>
    <t>P20230486</t>
  </si>
  <si>
    <t>NUR MASYITAH MAISARAH BINTI ABD MALIK @ KHADZIR</t>
  </si>
  <si>
    <t>000816110262</t>
  </si>
  <si>
    <t>masyitah.malik@simmtech.com</t>
  </si>
  <si>
    <t>P20230487</t>
  </si>
  <si>
    <t>ZAINURI AIMAN BIN ZAINAL FITHRI</t>
  </si>
  <si>
    <t>001122081481</t>
  </si>
  <si>
    <t>aiman.fithri@simmtech.com</t>
  </si>
  <si>
    <t>P20230490</t>
  </si>
  <si>
    <t>MOHAMAD ALIF BIN ADNAN</t>
  </si>
  <si>
    <t>000104060535</t>
  </si>
  <si>
    <t>mohamad.adnan@simmtech.com</t>
  </si>
  <si>
    <t>P20230491</t>
  </si>
  <si>
    <t>MUHAMMAD AMIRUL HADI BIN MOHAMMAD NAZER</t>
  </si>
  <si>
    <t>990812075661</t>
  </si>
  <si>
    <t>muhammad.nazer@simmtech.com</t>
  </si>
  <si>
    <t>P20230492</t>
  </si>
  <si>
    <t>NURUL AMANI BINTI ABDUL RAHIM</t>
  </si>
  <si>
    <t>000618020952</t>
  </si>
  <si>
    <t>amani.rahim@simmtech.com</t>
  </si>
  <si>
    <t>P20230493</t>
  </si>
  <si>
    <t>MUHAMAD MUHAIMIN BIN MOHD SOPI</t>
  </si>
  <si>
    <t>000530070023</t>
  </si>
  <si>
    <t>muhaimin.sopi@simmtech.com</t>
  </si>
  <si>
    <t>P20230494</t>
  </si>
  <si>
    <t>MUHAMMAD IRFAN BIN ISHAK</t>
  </si>
  <si>
    <t>001207070183</t>
  </si>
  <si>
    <t>muhammad.ishak@simmtech.com</t>
  </si>
  <si>
    <t>P20230498</t>
  </si>
  <si>
    <t>NOR AZIAH BINTI YUSOP</t>
  </si>
  <si>
    <t>771113087348</t>
  </si>
  <si>
    <t>aziah.yusop@simmtech.com</t>
  </si>
  <si>
    <t>P20230501</t>
  </si>
  <si>
    <t>MUHAMMAD NAIM HAIKAL BIN MOHD HAFID</t>
  </si>
  <si>
    <t>030912020029</t>
  </si>
  <si>
    <t>naimhaikal321@gmail.com</t>
  </si>
  <si>
    <t>P20230502</t>
  </si>
  <si>
    <t>JEYANISWARAN A/L SUBRAMANIAM</t>
  </si>
  <si>
    <t>960922085505</t>
  </si>
  <si>
    <t>jeyan752214@gmail.com</t>
  </si>
  <si>
    <t>P20230504</t>
  </si>
  <si>
    <t>SITI NURATIKAH BINTI OMAR</t>
  </si>
  <si>
    <t>951201075708</t>
  </si>
  <si>
    <t>sitinuratikah951201@gmail.com</t>
  </si>
  <si>
    <t>P20230505</t>
  </si>
  <si>
    <t>SITI NUR BAIDAH BINTI MOHAMAD HUSSIN</t>
  </si>
  <si>
    <t>PUR - MRO</t>
  </si>
  <si>
    <t>920321075540</t>
  </si>
  <si>
    <t>nur.hussin@simmtech.com</t>
  </si>
  <si>
    <t>PURMRO</t>
  </si>
  <si>
    <t>P20230506</t>
  </si>
  <si>
    <t>FIZNEE AMALINA BINTI MOHD FAUDZI</t>
  </si>
  <si>
    <t>931130025894</t>
  </si>
  <si>
    <t>amalina.faudzi@simmtech.com</t>
  </si>
  <si>
    <t>P20230507</t>
  </si>
  <si>
    <t>KHAIRIL ANAS BIN MOHD YUSLI</t>
  </si>
  <si>
    <t>010322080867</t>
  </si>
  <si>
    <t>khairilan5150@gmail.com</t>
  </si>
  <si>
    <t>P20230508</t>
  </si>
  <si>
    <t>AMIR HUSAINI BIN MOHD ZUBIR</t>
  </si>
  <si>
    <t>990503076863</t>
  </si>
  <si>
    <t>amirhusaini9905@gmail.com</t>
  </si>
  <si>
    <t>P20230509</t>
  </si>
  <si>
    <t>ASYRANI BIN ABDUL AZIZ</t>
  </si>
  <si>
    <t>861125335205</t>
  </si>
  <si>
    <t>asycer@gmail.com</t>
  </si>
  <si>
    <t>P20230510</t>
  </si>
  <si>
    <t>AIN NUR SYAHIELA BINTI AHMAD</t>
  </si>
  <si>
    <t>030718080714</t>
  </si>
  <si>
    <t>ainsyahiela@gmail.com</t>
  </si>
  <si>
    <t>P20230511</t>
  </si>
  <si>
    <t>MOHAMED ALIFF IQWAN BIN MOHAMED GHANI</t>
  </si>
  <si>
    <t>020511070253</t>
  </si>
  <si>
    <t>ghani730723@gmail.com</t>
  </si>
  <si>
    <t>P20230514</t>
  </si>
  <si>
    <t>HAFIFUDDIN BIN MOHAMAD SALLEH</t>
  </si>
  <si>
    <t>951014075489</t>
  </si>
  <si>
    <t>dinmohd82@gmail.com</t>
  </si>
  <si>
    <t>P20230515</t>
  </si>
  <si>
    <t>MUHAMAD NIZAM BIN MOHD SAMSUDDIN</t>
  </si>
  <si>
    <t>030202030337</t>
  </si>
  <si>
    <t>nizammuhamad191@gmail.com</t>
  </si>
  <si>
    <t>P20230516</t>
  </si>
  <si>
    <t>DANUSH A/L LOGANATHAN</t>
  </si>
  <si>
    <t>031024080191</t>
  </si>
  <si>
    <t>anbarasi7233@gmail.com</t>
  </si>
  <si>
    <t>P20230517</t>
  </si>
  <si>
    <t>NUR NAJIHAH BINTI MALIK</t>
  </si>
  <si>
    <t>010529070076</t>
  </si>
  <si>
    <t>najihahmalik19@gmail.com</t>
  </si>
  <si>
    <t>P20230518</t>
  </si>
  <si>
    <t>MUHAMMAD SYITS BIN MAT SANI</t>
  </si>
  <si>
    <t>020205080787</t>
  </si>
  <si>
    <t>kecihsyits@gmail.com</t>
  </si>
  <si>
    <t>P20230521</t>
  </si>
  <si>
    <t>MOHAMAD FAIZAL IKMAL BIN MOHAMAD SALLEH</t>
  </si>
  <si>
    <t>000617070931</t>
  </si>
  <si>
    <t>faizalikmal616@gmail.com</t>
  </si>
  <si>
    <t>P20230522</t>
  </si>
  <si>
    <t>MUHAMMAD ALIFF DANIEL BIN FAIEZAL</t>
  </si>
  <si>
    <t>010212070369</t>
  </si>
  <si>
    <t>aliffze21@gmail.com</t>
  </si>
  <si>
    <t>P20230524</t>
  </si>
  <si>
    <t>NUR YUSRAISHA AIDA BINTI YUSOFF</t>
  </si>
  <si>
    <t>030301020732</t>
  </si>
  <si>
    <t>nuryusraisha@gmail.com</t>
  </si>
  <si>
    <t>P20230525</t>
  </si>
  <si>
    <t>MOHAMAD NAZIM BIN JAMIL HAJAR</t>
  </si>
  <si>
    <t>881220086823</t>
  </si>
  <si>
    <t>mnazimjh88@gmail.com</t>
  </si>
  <si>
    <t>P20230526</t>
  </si>
  <si>
    <t>FAZRUL FAEZ BIN KAMARULZAMAN</t>
  </si>
  <si>
    <t>970922017165</t>
  </si>
  <si>
    <t>Fazrulfaez4@gmail.com</t>
  </si>
  <si>
    <t>P20230527</t>
  </si>
  <si>
    <t>WAN SYARMA ADILA BINTI WAN ISMAIL</t>
  </si>
  <si>
    <t>941231075048</t>
  </si>
  <si>
    <t>syarma94@gmail.com</t>
  </si>
  <si>
    <t>P20230528</t>
  </si>
  <si>
    <t>MOHAMMAD FAIZMI BIN AHMAD C B</t>
  </si>
  <si>
    <t>950114026321</t>
  </si>
  <si>
    <t>mohdfaizmi16@gmail.com</t>
  </si>
  <si>
    <t>P20230529</t>
  </si>
  <si>
    <t>ALHANA PUTERI BINTI SHAMSUDDIN</t>
  </si>
  <si>
    <t>940501085832</t>
  </si>
  <si>
    <t>alhanaputeri@icloud.com</t>
  </si>
  <si>
    <t>P20230531</t>
  </si>
  <si>
    <t>MUHAMMAD IQBAL BIN MHD FAZDLEE</t>
  </si>
  <si>
    <t>971217045413</t>
  </si>
  <si>
    <t>iqbalnaruto97@gmail.com</t>
  </si>
  <si>
    <t>P20230532</t>
  </si>
  <si>
    <t>NURUL ASMA' BINTI AHMAD NASARUDDIN</t>
  </si>
  <si>
    <t>990701088718</t>
  </si>
  <si>
    <t>nurulasma9907@gmail.com</t>
  </si>
  <si>
    <t>P20230533</t>
  </si>
  <si>
    <t>ABDUL SAMAD BIN JAAFAR</t>
  </si>
  <si>
    <t>960809085829</t>
  </si>
  <si>
    <t>samabd795@gmail.com</t>
  </si>
  <si>
    <t>P20230534</t>
  </si>
  <si>
    <t>MUHAMMAD SUFIAN BIN SEDEK</t>
  </si>
  <si>
    <t>950518115339</t>
  </si>
  <si>
    <t>sofiansidiq2@gmail.com</t>
  </si>
  <si>
    <t>P20230535</t>
  </si>
  <si>
    <t>MUHAMMAD AMIRUL MUSTAQIM BIN MUHAMAD A'DLI</t>
  </si>
  <si>
    <t>990929075577</t>
  </si>
  <si>
    <t>amirulmustaqim673@gmail.com</t>
  </si>
  <si>
    <t>P20230536</t>
  </si>
  <si>
    <t>NURUL SHAHIRA BINTI MOHD YUSOF</t>
  </si>
  <si>
    <t>040625080554</t>
  </si>
  <si>
    <t>yusofshahira76@gmail.com</t>
  </si>
  <si>
    <t>P20230537</t>
  </si>
  <si>
    <t>WAN SAHARIZAM BIN MOHAMED RABU</t>
  </si>
  <si>
    <t>850426075781</t>
  </si>
  <si>
    <t>Harizijam@gmail.com</t>
  </si>
  <si>
    <t>P20230538</t>
  </si>
  <si>
    <t>711126025125</t>
  </si>
  <si>
    <t>kokkwang.cheng@simmtech.com</t>
  </si>
  <si>
    <t>P20230540</t>
  </si>
  <si>
    <t>ADIBA BINTI SABRI</t>
  </si>
  <si>
    <t>941109025848</t>
  </si>
  <si>
    <t>adibasabri1994@gmail.com</t>
  </si>
  <si>
    <t>P20230541</t>
  </si>
  <si>
    <t>BERNARD A/L PONNUSAMY</t>
  </si>
  <si>
    <t>800612086067</t>
  </si>
  <si>
    <t>bernard.ponnusamy@simmtech.com</t>
  </si>
  <si>
    <t>P20230543</t>
  </si>
  <si>
    <t>NURAZANIDA BINTI MD NOOR</t>
  </si>
  <si>
    <t>800905075396</t>
  </si>
  <si>
    <t>nurazanida.noor@simmtech.com</t>
  </si>
  <si>
    <t>P20230544</t>
  </si>
  <si>
    <t>NAZRI BIN MD NOH</t>
  </si>
  <si>
    <t>790501025185</t>
  </si>
  <si>
    <t>nazri.noh@simmtech.com</t>
  </si>
  <si>
    <t>P20230546</t>
  </si>
  <si>
    <t>MUHAMAD FARIZOL HAFIZ BIN AMIRUDDIN</t>
  </si>
  <si>
    <t>900612085089</t>
  </si>
  <si>
    <t>farizolhafizwan@gmail.com</t>
  </si>
  <si>
    <t>P20230551</t>
  </si>
  <si>
    <t>YEE CAI YI</t>
  </si>
  <si>
    <t>961031265208</t>
  </si>
  <si>
    <t>caiyi.yee@simmtech.com</t>
  </si>
  <si>
    <t>P20230552</t>
  </si>
  <si>
    <t>ANIS FARIZA HANIE BINTI ROZAINI</t>
  </si>
  <si>
    <t>5S (DF)</t>
  </si>
  <si>
    <t>980827075972</t>
  </si>
  <si>
    <t>anisfarizahanie98@icloud.com</t>
  </si>
  <si>
    <t>5SDF</t>
  </si>
  <si>
    <t>P20230553</t>
  </si>
  <si>
    <t>NUR HAZWANI BINTI CHE HASHIM</t>
  </si>
  <si>
    <t>960422025450</t>
  </si>
  <si>
    <t>hazwanihashim096@gmail.com</t>
  </si>
  <si>
    <t>P20230554</t>
  </si>
  <si>
    <t>NUR SUHANA BINTI ZAHARIN</t>
  </si>
  <si>
    <t>000123090174</t>
  </si>
  <si>
    <t>nursuhana0123@gmail.com</t>
  </si>
  <si>
    <t>P20230557</t>
  </si>
  <si>
    <t>MUHAMMAD HARITH BIN AZMAN</t>
  </si>
  <si>
    <t>941227106489</t>
  </si>
  <si>
    <t>harithazman1890@gmail.com</t>
  </si>
  <si>
    <t>P20230558</t>
  </si>
  <si>
    <t>MOHAMAD NAIM BIN ARBA'AI</t>
  </si>
  <si>
    <t>890615085547</t>
  </si>
  <si>
    <t>mohamadnaim89.mn@gmail.com</t>
  </si>
  <si>
    <t>P20230559</t>
  </si>
  <si>
    <t>MUHAMMAD FAKHRUL AZIM BIN MOHD GHAZALI</t>
  </si>
  <si>
    <t>991104085265</t>
  </si>
  <si>
    <t>fakhrulazim165@gmail.com</t>
  </si>
  <si>
    <t>P20230560</t>
  </si>
  <si>
    <t>ZAIRIL HAIKAL BIN ABDUL MANAF</t>
  </si>
  <si>
    <t>981106086879</t>
  </si>
  <si>
    <t>zairilhaikal@icloud.com</t>
  </si>
  <si>
    <t>P20230561</t>
  </si>
  <si>
    <t>AGAM MIRZA BIN FAKHRURRAZI</t>
  </si>
  <si>
    <t>970704295079</t>
  </si>
  <si>
    <t>agammirza97@gmail.com</t>
  </si>
  <si>
    <t>P20230563</t>
  </si>
  <si>
    <t>YUSRIAWATI BINTI MUHAMMAD YUSOP</t>
  </si>
  <si>
    <t>831210145812</t>
  </si>
  <si>
    <t>yusriawatimuhdyusop@gmail.com</t>
  </si>
  <si>
    <t>P20230564</t>
  </si>
  <si>
    <t>SUZANA BINTI OMAR</t>
  </si>
  <si>
    <t>970906085926</t>
  </si>
  <si>
    <t>suzanaomar97@gmail.com</t>
  </si>
  <si>
    <t>P20230565</t>
  </si>
  <si>
    <t>DARASINI A/P RAVE</t>
  </si>
  <si>
    <t>960619065296</t>
  </si>
  <si>
    <t>sinidara069@gmail.com</t>
  </si>
  <si>
    <t>P20230566</t>
  </si>
  <si>
    <t>NOR FATIHAH BINTI MD YATIN</t>
  </si>
  <si>
    <t>000918080850</t>
  </si>
  <si>
    <t>fatihahmdyatin@gmail.com</t>
  </si>
  <si>
    <t>P20230567</t>
  </si>
  <si>
    <t>ZUL IKMAL BIN ALAN</t>
  </si>
  <si>
    <t>960401086123</t>
  </si>
  <si>
    <t>kakisitai5604@gmail.com</t>
  </si>
  <si>
    <t>P20230569</t>
  </si>
  <si>
    <t>MOHD AMIN BIN AZMI</t>
  </si>
  <si>
    <t>950815025997</t>
  </si>
  <si>
    <t>mohdamin2174@gmail.com</t>
  </si>
  <si>
    <t>P20230570</t>
  </si>
  <si>
    <t>ABDUL AZIZ BIN NORDIN</t>
  </si>
  <si>
    <t>010923020181</t>
  </si>
  <si>
    <t>aziznordin01@gmail.com</t>
  </si>
  <si>
    <t>P20230573</t>
  </si>
  <si>
    <t>MUHAMMAD AIMAN FAHMI BIN SAIDIN</t>
  </si>
  <si>
    <t>030504100855</t>
  </si>
  <si>
    <t>aiman76466@gmail.com</t>
  </si>
  <si>
    <t>P20230574</t>
  </si>
  <si>
    <t>MUHAMMAD ABDUL SYAKIR BIN ZAIM</t>
  </si>
  <si>
    <t>950908085059</t>
  </si>
  <si>
    <t>unclejhon95@gmail.com</t>
  </si>
  <si>
    <t>P20230575</t>
  </si>
  <si>
    <t>ZULHELMI BIN MAYUDIN</t>
  </si>
  <si>
    <t>841215085213</t>
  </si>
  <si>
    <t>mayudinzulhelmi@gmail.com</t>
  </si>
  <si>
    <t>P20230576</t>
  </si>
  <si>
    <t>SUZANA BINTI JAMALUDIN</t>
  </si>
  <si>
    <t>880821086920</t>
  </si>
  <si>
    <t>haziqmukhrizdania@gmail.com</t>
  </si>
  <si>
    <t>P20230578</t>
  </si>
  <si>
    <t>MUHAMMAD FAREEQ AFIFIE BIN SHAMSUDIN</t>
  </si>
  <si>
    <t>001117070155</t>
  </si>
  <si>
    <t>fareeqafifie8845@gmail.com</t>
  </si>
  <si>
    <t>P20230582</t>
  </si>
  <si>
    <t>NUR NISSA KHALEDA BINTI AHMAD AMIN</t>
  </si>
  <si>
    <t>040929080190</t>
  </si>
  <si>
    <t>nissakhaleedamohdamin@gmail.com</t>
  </si>
  <si>
    <t>P20230583</t>
  </si>
  <si>
    <t>SITI NAZIRAH BINTI MOHAMAD YAZID</t>
  </si>
  <si>
    <t>940605085634</t>
  </si>
  <si>
    <t>nazirahsiti47@gmail.com</t>
  </si>
  <si>
    <t>P20230584</t>
  </si>
  <si>
    <t>MUHAMMAD MUAZ FADLIN BIN MHD NIZAR</t>
  </si>
  <si>
    <t>030208070575</t>
  </si>
  <si>
    <t>fmuaz33@gmail.com</t>
  </si>
  <si>
    <t>P20230585</t>
  </si>
  <si>
    <t>HAIRUL ANUAR BIN AHMAD JALALDIN</t>
  </si>
  <si>
    <t>901027085103</t>
  </si>
  <si>
    <t>koyoi1990@gmail.com</t>
  </si>
  <si>
    <t>P20230587</t>
  </si>
  <si>
    <t>SITI NUR AZIERA BINTI ANUAR</t>
  </si>
  <si>
    <t>020308080552</t>
  </si>
  <si>
    <t>nuraziera238@gmail.com</t>
  </si>
  <si>
    <t>P20230588</t>
  </si>
  <si>
    <t>MUHAMMAD AIMAN BIN NORDIN</t>
  </si>
  <si>
    <t>000623080685</t>
  </si>
  <si>
    <t>aimannordin546@gmail.com</t>
  </si>
  <si>
    <t>P20230590</t>
  </si>
  <si>
    <t>JASRUL BIN JANUDDIN</t>
  </si>
  <si>
    <t>040116020721</t>
  </si>
  <si>
    <t>jasrul88@icloud.com</t>
  </si>
  <si>
    <t>P20230591</t>
  </si>
  <si>
    <t>MUHAMMAD SYAFIQ BIN SAMSUL AKMAL</t>
  </si>
  <si>
    <t>010506080773</t>
  </si>
  <si>
    <t>muhds6425@gmail.com</t>
  </si>
  <si>
    <t>P20230592</t>
  </si>
  <si>
    <t>MUHAMAD SOFI BIN HAMDAN</t>
  </si>
  <si>
    <t>911127086591</t>
  </si>
  <si>
    <t>muhdsofi991@icloud.com</t>
  </si>
  <si>
    <t>P20230594</t>
  </si>
  <si>
    <t>NURUL IDAYU BINTI MOHD AMIN</t>
  </si>
  <si>
    <t>990301085972</t>
  </si>
  <si>
    <t>idayunurul78@gmail.com</t>
  </si>
  <si>
    <t>P20230595</t>
  </si>
  <si>
    <t>MOHD AMIR AIZAT BIN MOHD YAZID</t>
  </si>
  <si>
    <t>980413595089</t>
  </si>
  <si>
    <t>amiraizat13@gmail.com</t>
  </si>
  <si>
    <t>P20230596</t>
  </si>
  <si>
    <t>MOHAMMAD SHAFIQ BIN KAMARUL MUZAMIL</t>
  </si>
  <si>
    <t>970524085605</t>
  </si>
  <si>
    <t>syafiqmohammad093@gmail.com</t>
  </si>
  <si>
    <t>P20230598</t>
  </si>
  <si>
    <t>MUHAMMAD AZREL BIN AZMAN</t>
  </si>
  <si>
    <t>020905081035</t>
  </si>
  <si>
    <t>azrel.azman@icloud.com</t>
  </si>
  <si>
    <t>P20230600</t>
  </si>
  <si>
    <t>MOHAMAD MUSTAQIM BIN ISAHAK</t>
  </si>
  <si>
    <t>020627081077</t>
  </si>
  <si>
    <t>mohdmustaqim@gmail.com</t>
  </si>
  <si>
    <t>P20230601</t>
  </si>
  <si>
    <t>MUHAMMAD AFDAL BIN ZAHARI</t>
  </si>
  <si>
    <t>970324025843</t>
  </si>
  <si>
    <t>muhdafdal33@gmail.com</t>
  </si>
  <si>
    <t>P20230603</t>
  </si>
  <si>
    <t>SHARIFAH NURSYAMIMI DAYANA BINTI SYED ZULKIFLI</t>
  </si>
  <si>
    <t>990519076112</t>
  </si>
  <si>
    <t>nursyamimi.zulkifli@simmtech.com</t>
  </si>
  <si>
    <t>P20230606</t>
  </si>
  <si>
    <t>760716085743</t>
  </si>
  <si>
    <t>stevepeter010@gmail.com</t>
  </si>
  <si>
    <t>P20230607</t>
  </si>
  <si>
    <t>ANDRIYANI PURBA</t>
  </si>
  <si>
    <t>P20230608</t>
  </si>
  <si>
    <t>BUNGARIA HUTABALIAN</t>
  </si>
  <si>
    <t>P20230609</t>
  </si>
  <si>
    <t>DELIMAHOT MARIA MARBUN</t>
  </si>
  <si>
    <t>P20230612</t>
  </si>
  <si>
    <t>DINA MEIDI</t>
  </si>
  <si>
    <t>P20230615</t>
  </si>
  <si>
    <t>EVA YOHANNA AGUSTIN</t>
  </si>
  <si>
    <t>P20230616</t>
  </si>
  <si>
    <t>FADILLAH</t>
  </si>
  <si>
    <t>P20230617</t>
  </si>
  <si>
    <t>GLORYA EPIPANI GINTING</t>
  </si>
  <si>
    <t>P20230618</t>
  </si>
  <si>
    <t>HOTRAYANI SIMATUPANG</t>
  </si>
  <si>
    <t>P20230619</t>
  </si>
  <si>
    <t>INDRIANA LUMBAN TOBING</t>
  </si>
  <si>
    <t>P20230620</t>
  </si>
  <si>
    <t>JENNY MARPAUNG</t>
  </si>
  <si>
    <t>P20230621</t>
  </si>
  <si>
    <t>LIDIA VIO VINIANTI SINAGA</t>
  </si>
  <si>
    <t>P20230622</t>
  </si>
  <si>
    <t>MERI NATALINA</t>
  </si>
  <si>
    <t>P20230623</t>
  </si>
  <si>
    <t>MES AYU KIRANA</t>
  </si>
  <si>
    <t>P20230624</t>
  </si>
  <si>
    <t>NURCAHAYA RITONGA</t>
  </si>
  <si>
    <t>P20230625</t>
  </si>
  <si>
    <t>NURHAFNI</t>
  </si>
  <si>
    <t>P20230627</t>
  </si>
  <si>
    <t>RANI NOVITA SARI</t>
  </si>
  <si>
    <t>P20230628</t>
  </si>
  <si>
    <t>RIA DINA SUYENI NASUTION</t>
  </si>
  <si>
    <t>P20230629</t>
  </si>
  <si>
    <t>RISKY NUR APRILLA</t>
  </si>
  <si>
    <t>P20230630</t>
  </si>
  <si>
    <t>SARI MARIA HUTAPEA</t>
  </si>
  <si>
    <t>P20230632</t>
  </si>
  <si>
    <t>WIDYAWATY KABAN</t>
  </si>
  <si>
    <t>P20230633</t>
  </si>
  <si>
    <t>YESSIKA SIREGAR</t>
  </si>
  <si>
    <t>P20230634</t>
  </si>
  <si>
    <t>YUNI KARTIKA SIMBOLON</t>
  </si>
  <si>
    <t>P20230635</t>
  </si>
  <si>
    <t>YURIS TIRAI SUARSIH</t>
  </si>
  <si>
    <t>P20230636</t>
  </si>
  <si>
    <t>ZULIA NASUTION</t>
  </si>
  <si>
    <t>P20230637</t>
  </si>
  <si>
    <t>NURUL AAINAA SHAFIQAH BINTI EL-ARISH</t>
  </si>
  <si>
    <t>960509115096</t>
  </si>
  <si>
    <t>aainaa.arish@simmtech.com</t>
  </si>
  <si>
    <t>P20230638</t>
  </si>
  <si>
    <t>NOR AMIRA FAQHIRA MOHD FADZIL</t>
  </si>
  <si>
    <t>940902085956</t>
  </si>
  <si>
    <t>amira.fadzil@simmtech.com</t>
  </si>
  <si>
    <t>P20230639</t>
  </si>
  <si>
    <t>MOHAMAD ALLIF BIN HALIM</t>
  </si>
  <si>
    <t>010413080619</t>
  </si>
  <si>
    <t>allif413@icloud.com</t>
  </si>
  <si>
    <t>P20230640</t>
  </si>
  <si>
    <t>NUR ALYA MAISARAH BINTI MOHD ZAMBRI</t>
  </si>
  <si>
    <t>031223020044</t>
  </si>
  <si>
    <t>alyamaisarah0044@gmail.com</t>
  </si>
  <si>
    <t>P20230641</t>
  </si>
  <si>
    <t>AZLIEYANA AZWA BINTI ABDUL AZIZ</t>
  </si>
  <si>
    <t>010405080846</t>
  </si>
  <si>
    <t>Lilyazwa45@gmail.com</t>
  </si>
  <si>
    <t>P20230643</t>
  </si>
  <si>
    <t>NOR SYAZWANI BINTI SHAMSUDIN</t>
  </si>
  <si>
    <t>890817075582</t>
  </si>
  <si>
    <t>wanysyazwany89@gmail.com</t>
  </si>
  <si>
    <t>P20230644</t>
  </si>
  <si>
    <t>NUR AISYA AMEERA HAZHAR</t>
  </si>
  <si>
    <t>030904070624</t>
  </si>
  <si>
    <t>nuraisyaameera@gmail.com</t>
  </si>
  <si>
    <t>P20230645</t>
  </si>
  <si>
    <t>UMMUL KHAIRI FATIMAH BINTI ABDUL AZIZ</t>
  </si>
  <si>
    <t>000120080640</t>
  </si>
  <si>
    <t>khairiummul853@gmail.com</t>
  </si>
  <si>
    <t>P20230646</t>
  </si>
  <si>
    <t>MUHAMMAD NAZRI BIN MOHD RODHI</t>
  </si>
  <si>
    <t>000802090037</t>
  </si>
  <si>
    <t>nazriayie000@gmail.com</t>
  </si>
  <si>
    <t>P20230647</t>
  </si>
  <si>
    <t>NUR HIDAYANI BINTI RAZALI</t>
  </si>
  <si>
    <t>971223095070</t>
  </si>
  <si>
    <t>hidayanirazali43@gmail.com</t>
  </si>
  <si>
    <t>P20230648</t>
  </si>
  <si>
    <t>MUHAMAD RAZI BIN JABIR</t>
  </si>
  <si>
    <t>000101080135</t>
  </si>
  <si>
    <t>mrazi776@gmail.com</t>
  </si>
  <si>
    <t>P20230649</t>
  </si>
  <si>
    <t>SYARIFAH NUR AFIFAH BINTI SYED ABD HALIM</t>
  </si>
  <si>
    <t>951231085448</t>
  </si>
  <si>
    <t>nurafifahabdhalim95@gmail.com</t>
  </si>
  <si>
    <t>P20230650</t>
  </si>
  <si>
    <t>MUHAMMAD HAZIQ HAIKAL BIN MAT SALIM</t>
  </si>
  <si>
    <t>010614070257</t>
  </si>
  <si>
    <t>mathaziq906@gmail.com</t>
  </si>
  <si>
    <t>P20230652</t>
  </si>
  <si>
    <t>SITI KHADIJAH BINTI PADZIL</t>
  </si>
  <si>
    <t>940331085134</t>
  </si>
  <si>
    <t>sytypadzil@rocketmail.com</t>
  </si>
  <si>
    <t>P20230654</t>
  </si>
  <si>
    <t>MUHAMMAD KHAIRUL AMIN BIN SUHAIMI</t>
  </si>
  <si>
    <t>021116080835</t>
  </si>
  <si>
    <t>aminkhairul110@gmail.com</t>
  </si>
  <si>
    <t>P20230656</t>
  </si>
  <si>
    <t>MOHD RIDZUAN BIN AHMAD BAKHARI</t>
  </si>
  <si>
    <t>990310025349</t>
  </si>
  <si>
    <t>ridzuanahmad4526@gmail.com</t>
  </si>
  <si>
    <t>P20230657</t>
  </si>
  <si>
    <t>MUHAMMAD SAID BIN ROSLI</t>
  </si>
  <si>
    <t>000403080333</t>
  </si>
  <si>
    <t>muhdsaidrosli3400@gmail.com</t>
  </si>
  <si>
    <t>P20230658</t>
  </si>
  <si>
    <t>NURUL AINNABILA BINTI ABDUL AZIZ</t>
  </si>
  <si>
    <t>011009081390</t>
  </si>
  <si>
    <t>azizbella379@gmail.com</t>
  </si>
  <si>
    <t>P20230659</t>
  </si>
  <si>
    <t>960401095011</t>
  </si>
  <si>
    <t>sepuli296@gmail.com</t>
  </si>
  <si>
    <t>P20230660</t>
  </si>
  <si>
    <t>NURUL HUDA BINTI IBRAHIM</t>
  </si>
  <si>
    <t>990615088770</t>
  </si>
  <si>
    <t>nrlhudaibrahim1999@gmail.com</t>
  </si>
  <si>
    <t>P20230662</t>
  </si>
  <si>
    <t>MOHD. AZROL AMRI</t>
  </si>
  <si>
    <t>981228126867</t>
  </si>
  <si>
    <t>Budakrider00@gmail.com</t>
  </si>
  <si>
    <t>P20230663</t>
  </si>
  <si>
    <t>NOORSHAHILA BINTI CHE ANI</t>
  </si>
  <si>
    <t>870228025458</t>
  </si>
  <si>
    <t>noorshahila87@gmail.com</t>
  </si>
  <si>
    <t>P20230665</t>
  </si>
  <si>
    <t>MUHAMMAD ALIAS BIN AHMAD</t>
  </si>
  <si>
    <t>000807021241</t>
  </si>
  <si>
    <t>aliasahmad524@gmail.com</t>
  </si>
  <si>
    <t>P20230667</t>
  </si>
  <si>
    <t>MOHAMAD KHAIREEN BIN ABD KHAIR</t>
  </si>
  <si>
    <t>990829085241</t>
  </si>
  <si>
    <t>khaireenmohamad@gmail.com</t>
  </si>
  <si>
    <t>P20230668</t>
  </si>
  <si>
    <t>MOHD SHAFIQ BIN SHAMSUDIN</t>
  </si>
  <si>
    <t>880101355299</t>
  </si>
  <si>
    <t>apitshamsudin@gmail.com</t>
  </si>
  <si>
    <t>P20230669</t>
  </si>
  <si>
    <t>MOHD FIRDAUS BIN JAMIL</t>
  </si>
  <si>
    <t>980615086071</t>
  </si>
  <si>
    <t>Firdausbaik1907@gmail.com</t>
  </si>
  <si>
    <t>P20230670</t>
  </si>
  <si>
    <t>NURUL HANIS BINTI ROMLI</t>
  </si>
  <si>
    <t>980629095198</t>
  </si>
  <si>
    <t>hanisromli.nh@gmail.com</t>
  </si>
  <si>
    <t>P20230672</t>
  </si>
  <si>
    <t>MOHAMAD AZLIZAN BIN MOHAMAD ROSLI</t>
  </si>
  <si>
    <t>980513085887</t>
  </si>
  <si>
    <t>mohdazlizan98@gmail.com</t>
  </si>
  <si>
    <t>P20230673</t>
  </si>
  <si>
    <t>MOHAMMAD NOORZAIDI BIN AHMAD C.B.</t>
  </si>
  <si>
    <t>001006070101</t>
  </si>
  <si>
    <t>noorzaidi52@gmail.com</t>
  </si>
  <si>
    <t>P20230674</t>
  </si>
  <si>
    <t>ATIQAH NADHIRA BINTI AHMAD WIRA</t>
  </si>
  <si>
    <t>040729060144</t>
  </si>
  <si>
    <t>nadhiraahmad07@gmail.com</t>
  </si>
  <si>
    <t>P20230675</t>
  </si>
  <si>
    <t>NUR LIYANA BINTI RAZALI</t>
  </si>
  <si>
    <t>010504070520</t>
  </si>
  <si>
    <t>yananurrazali@gmail.com</t>
  </si>
  <si>
    <t>P20230678</t>
  </si>
  <si>
    <t>MOHAMAD AZREEN BIN ABU BAKAR</t>
  </si>
  <si>
    <t>950224065903</t>
  </si>
  <si>
    <t>Trecrew30@gmail.com</t>
  </si>
  <si>
    <t>P20230679</t>
  </si>
  <si>
    <t>NURFARAH HANIS BINTI SATAR</t>
  </si>
  <si>
    <t>000905081010</t>
  </si>
  <si>
    <t>farahnadia934@gmail.com</t>
  </si>
  <si>
    <t>P20230680</t>
  </si>
  <si>
    <t>MOHD ABBAS SADIKIN BIN MOHD DAUD</t>
  </si>
  <si>
    <t>990421025229</t>
  </si>
  <si>
    <t>abbassadikin13@gmail.com</t>
  </si>
  <si>
    <t>P20230681</t>
  </si>
  <si>
    <t>NUR DEIAYANA BINTI ELIAS</t>
  </si>
  <si>
    <t>000226080286</t>
  </si>
  <si>
    <t>bsmnelia@gmail.com</t>
  </si>
  <si>
    <t>P20230682</t>
  </si>
  <si>
    <t>NUR ZULAIKHA IZZATI BINTI ZAKARIA</t>
  </si>
  <si>
    <t>010730030746</t>
  </si>
  <si>
    <t>eikaazakaria21@gmail.com</t>
  </si>
  <si>
    <t>P20230683</t>
  </si>
  <si>
    <t>ASMITA SIRAIT</t>
  </si>
  <si>
    <t>P20230690</t>
  </si>
  <si>
    <t>EMMI ANNA SIMANJUNTAK</t>
  </si>
  <si>
    <t>P20230691</t>
  </si>
  <si>
    <t>EVI GRASELA HUTABALIAN</t>
  </si>
  <si>
    <t>P20230692</t>
  </si>
  <si>
    <t>FITRI AYU</t>
  </si>
  <si>
    <t>P20230693</t>
  </si>
  <si>
    <t>HERI BONIATI SILABAN</t>
  </si>
  <si>
    <t>P20230694</t>
  </si>
  <si>
    <t>IRMA MARLINA</t>
  </si>
  <si>
    <t>P20230695</t>
  </si>
  <si>
    <t>JEREMIA MUSTIKA LUMBAN TOBING</t>
  </si>
  <si>
    <t>P20230697</t>
  </si>
  <si>
    <t>LASNIATI SIHOMBING</t>
  </si>
  <si>
    <t>P20230699</t>
  </si>
  <si>
    <t>MORINA SIAHAAN</t>
  </si>
  <si>
    <t>P20230700</t>
  </si>
  <si>
    <t>PRICILIA YUTAN KARLINA</t>
  </si>
  <si>
    <t>P20230701</t>
  </si>
  <si>
    <t>PUTRI MARIA GINTING</t>
  </si>
  <si>
    <t>P20230702</t>
  </si>
  <si>
    <t>RINI MARIANI</t>
  </si>
  <si>
    <t>P20230703</t>
  </si>
  <si>
    <t>RISKA</t>
  </si>
  <si>
    <t>P20230704</t>
  </si>
  <si>
    <t>RIZKY PUTRI</t>
  </si>
  <si>
    <t>P20230705</t>
  </si>
  <si>
    <t>ROSALINA SIAHAAN</t>
  </si>
  <si>
    <t>P20230706</t>
  </si>
  <si>
    <t>SELLA OKTAVIA</t>
  </si>
  <si>
    <t>P20230707</t>
  </si>
  <si>
    <t>SHINTA DEVI NETANIA BUTAR BUTAR</t>
  </si>
  <si>
    <t>P20230711</t>
  </si>
  <si>
    <t>SURYA MARINTAN SIANTURI</t>
  </si>
  <si>
    <t>P20230712</t>
  </si>
  <si>
    <t>YUHANIS MARSELA</t>
  </si>
  <si>
    <t>P20230714</t>
  </si>
  <si>
    <t>ABDUL HAKIM BIN ABDUL HALIM</t>
  </si>
  <si>
    <t>930829085597</t>
  </si>
  <si>
    <t>hakim.halim@simmtech.com</t>
  </si>
  <si>
    <t>P20230715</t>
  </si>
  <si>
    <t>MUHAMMAD ZAINUDDIN BIN ZULKEFLI</t>
  </si>
  <si>
    <t>871124025503</t>
  </si>
  <si>
    <t>mzai_viceroy@yahoo.com</t>
  </si>
  <si>
    <t>P20230716</t>
  </si>
  <si>
    <t>TENGKU NABILAH NAJWA BINTI TENGKU KASIM</t>
  </si>
  <si>
    <t>990507088650</t>
  </si>
  <si>
    <t>tnbila@gmail.com</t>
  </si>
  <si>
    <t>P20240001</t>
  </si>
  <si>
    <t>ANNE SARLIND A/P YI LAK</t>
  </si>
  <si>
    <t>960514025474</t>
  </si>
  <si>
    <t>annesarlind@gmail.com</t>
  </si>
  <si>
    <t>P20240003</t>
  </si>
  <si>
    <t>MOHD SHUKRI MD SALAM</t>
  </si>
  <si>
    <t>911125146685</t>
  </si>
  <si>
    <t>shukri.salam@simmtech.com</t>
  </si>
  <si>
    <t>P20240004</t>
  </si>
  <si>
    <t>JAMIE FONG ZHE YING</t>
  </si>
  <si>
    <t>941207126132</t>
  </si>
  <si>
    <t>jamiezheying@outlook.com</t>
  </si>
  <si>
    <t>P20240005</t>
  </si>
  <si>
    <t>870629025707</t>
  </si>
  <si>
    <t>hasrul317@gmail.com</t>
  </si>
  <si>
    <t>P20240009</t>
  </si>
  <si>
    <t>NURUL SYAKIRAH BINTI ASRI</t>
  </si>
  <si>
    <t>980101075340</t>
  </si>
  <si>
    <t>kyeraasri@gmail.com</t>
  </si>
  <si>
    <t>P20240011</t>
  </si>
  <si>
    <t>KONG CHIOU SHIN</t>
  </si>
  <si>
    <t>881025085737</t>
  </si>
  <si>
    <t>alex_henry@hotmail.com</t>
  </si>
  <si>
    <t>P20240013</t>
  </si>
  <si>
    <t>850304025508</t>
  </si>
  <si>
    <t>syafieza85@gmail.com.my</t>
  </si>
  <si>
    <t>P20240014</t>
  </si>
  <si>
    <t>WONG TZE CHUAN</t>
  </si>
  <si>
    <t>950820125343</t>
  </si>
  <si>
    <t>edwintcwong95@gmail.com</t>
  </si>
  <si>
    <t>P20240015</t>
  </si>
  <si>
    <t>MUHAMMAD HAFIZUDDIN BIN ZAINOL ABIDIN</t>
  </si>
  <si>
    <t>990618025759</t>
  </si>
  <si>
    <t>hafizuddin.yong86@gmail.com</t>
  </si>
  <si>
    <t>P20240018</t>
  </si>
  <si>
    <t>ANIL WAIBA</t>
  </si>
  <si>
    <t>P20240019</t>
  </si>
  <si>
    <t>ANISH KUMAR CHAUDHARY</t>
  </si>
  <si>
    <t>P20240020</t>
  </si>
  <si>
    <t>ARUN KUMAR KUSHWAHA</t>
  </si>
  <si>
    <t>P20240021</t>
  </si>
  <si>
    <t>ASHISH KAHAR</t>
  </si>
  <si>
    <t>P20240022</t>
  </si>
  <si>
    <t>ASHOK LIMBU</t>
  </si>
  <si>
    <t>P20240023</t>
  </si>
  <si>
    <t>BIDEK ADHIKARI</t>
  </si>
  <si>
    <t>P20240024</t>
  </si>
  <si>
    <t>CHANDAN KUMAR SAH</t>
  </si>
  <si>
    <t>P20240026</t>
  </si>
  <si>
    <t>DILIP KUMAR MANDAL</t>
  </si>
  <si>
    <t>P20240027</t>
  </si>
  <si>
    <t>DIPAK KUMAR RAM</t>
  </si>
  <si>
    <t>P20240028</t>
  </si>
  <si>
    <t>DIPENDRA KUMAR MAHATO</t>
  </si>
  <si>
    <t>P20240029</t>
  </si>
  <si>
    <t>GOVINDA BAHADUR SARUGHARTI</t>
  </si>
  <si>
    <t>P20240030</t>
  </si>
  <si>
    <t>JANAM GURUNG</t>
  </si>
  <si>
    <t>P20240031</t>
  </si>
  <si>
    <t>JAY PRAKASH SAH</t>
  </si>
  <si>
    <t>P20240032</t>
  </si>
  <si>
    <t>JIT RAM CHAUDHARY</t>
  </si>
  <si>
    <t>P20240033</t>
  </si>
  <si>
    <t>MABOHANG KHAJUM</t>
  </si>
  <si>
    <t>P20240035</t>
  </si>
  <si>
    <t>MANSING MAJHI</t>
  </si>
  <si>
    <t>P20240036</t>
  </si>
  <si>
    <t>MEGNATH GUPTA</t>
  </si>
  <si>
    <t>P20240037</t>
  </si>
  <si>
    <t>NABARAJ GHIMIRE</t>
  </si>
  <si>
    <t>P20240039</t>
  </si>
  <si>
    <t>NIRAJ KAUCHA</t>
  </si>
  <si>
    <t>P20240040</t>
  </si>
  <si>
    <t>PADAM BAHADUR SUNAR</t>
  </si>
  <si>
    <t>P20240042</t>
  </si>
  <si>
    <t>RABI KUMAR JHA</t>
  </si>
  <si>
    <t>P20240043</t>
  </si>
  <si>
    <t>RAJIV KUMAR MANDAL</t>
  </si>
  <si>
    <t>P20240045</t>
  </si>
  <si>
    <t>REBAT KHADKA</t>
  </si>
  <si>
    <t>P20240047</t>
  </si>
  <si>
    <t>RUPESH KUMAR SAH</t>
  </si>
  <si>
    <t>P20240048</t>
  </si>
  <si>
    <t>SANJIP KUMAR MAHATO</t>
  </si>
  <si>
    <t>P20240050</t>
  </si>
  <si>
    <t>SANTOSH NEPALI</t>
  </si>
  <si>
    <t>P20240051</t>
  </si>
  <si>
    <t>SANTOSH ROKA</t>
  </si>
  <si>
    <t>P20240053</t>
  </si>
  <si>
    <t>SHIV KUMAR MAHATO</t>
  </si>
  <si>
    <t>P20240055</t>
  </si>
  <si>
    <t>SURENDRA PUTUWAR</t>
  </si>
  <si>
    <t>P20240056</t>
  </si>
  <si>
    <t>YOGENDRA ANGDEMBE</t>
  </si>
  <si>
    <t>P20240057</t>
  </si>
  <si>
    <t>960407075679</t>
  </si>
  <si>
    <t>ccl_96@live.com</t>
  </si>
  <si>
    <t>P20240058</t>
  </si>
  <si>
    <t>MUHAMMAD NAJIB BIN NAZARI</t>
  </si>
  <si>
    <t>920110025009</t>
  </si>
  <si>
    <t>Najibbinnazari_92@yahoo.com.my</t>
  </si>
  <si>
    <t>P20240060</t>
  </si>
  <si>
    <t>RUDY IRWAN BIN YAHAYA</t>
  </si>
  <si>
    <t>960517085149</t>
  </si>
  <si>
    <t>rudyirwan.yahaya@gmail.com</t>
  </si>
  <si>
    <t>P20240061</t>
  </si>
  <si>
    <t>MOHD QUSAIMI BIN ALIAS</t>
  </si>
  <si>
    <t>830113065373</t>
  </si>
  <si>
    <t>mohdqimie@gmail.com</t>
  </si>
  <si>
    <t>P20240062</t>
  </si>
  <si>
    <t>NURUL AIN SYAFIQAH BINTI ANUAR</t>
  </si>
  <si>
    <t>991121115358</t>
  </si>
  <si>
    <t>a.syfqah99@gmail.com</t>
  </si>
  <si>
    <t>P20240065</t>
  </si>
  <si>
    <t>MUHAMMAD IMAN NURHAKIM BIN ABDUL HADI</t>
  </si>
  <si>
    <t>020525080137</t>
  </si>
  <si>
    <t>P20240066</t>
  </si>
  <si>
    <t>MOHAMAD AKHIR BIN ABD HADZRI</t>
  </si>
  <si>
    <t>030425080673</t>
  </si>
  <si>
    <t>P20240067</t>
  </si>
  <si>
    <t>MOHAMAD SYAHRIL BIN JAAFAR</t>
  </si>
  <si>
    <t>990815086067</t>
  </si>
  <si>
    <t>apitsyaj@gmail.com</t>
  </si>
  <si>
    <t>P20240069</t>
  </si>
  <si>
    <t>MEOR FIKRI BIN ABD RAZAK</t>
  </si>
  <si>
    <t>970721085639</t>
  </si>
  <si>
    <t>fikrimeor@gmail.com</t>
  </si>
  <si>
    <t>P20240070</t>
  </si>
  <si>
    <t>MUHAMMAD ISHAM AQIL BIN MARZUKI</t>
  </si>
  <si>
    <t>991206025087</t>
  </si>
  <si>
    <t>isham025087@gmail.com</t>
  </si>
  <si>
    <t>P20240071</t>
  </si>
  <si>
    <t>ATIFA NAJWA BINTI ADNAN</t>
  </si>
  <si>
    <t>971111085812</t>
  </si>
  <si>
    <t>atifanajwa.work@gmail.com</t>
  </si>
  <si>
    <t>P20240072</t>
  </si>
  <si>
    <t>GABRIEL ALLEN SMITH ANAK ARREY</t>
  </si>
  <si>
    <t>980814135569</t>
  </si>
  <si>
    <t>darklegion1998@gmail.com</t>
  </si>
  <si>
    <t>P20240073</t>
  </si>
  <si>
    <t>ARIFF EIKMAL BIN MD ZAHIR</t>
  </si>
  <si>
    <t>990720025077</t>
  </si>
  <si>
    <t>arffekml99@gmail.com</t>
  </si>
  <si>
    <t>P20240074</t>
  </si>
  <si>
    <t>MOHAMAD FIRDAUS BIN RAHIM</t>
  </si>
  <si>
    <t>960620025937</t>
  </si>
  <si>
    <t>mfrahim@gmail.com</t>
  </si>
  <si>
    <t>P20240075</t>
  </si>
  <si>
    <t>ZAWANIS BINTI MAT DESA</t>
  </si>
  <si>
    <t>970407025726</t>
  </si>
  <si>
    <t>zawanis95@icloud.com</t>
  </si>
  <si>
    <t>P20240076</t>
  </si>
  <si>
    <t>PRISCA BINTI MAJI</t>
  </si>
  <si>
    <t>990515126856</t>
  </si>
  <si>
    <t>priscarisca39@gmail.com</t>
  </si>
  <si>
    <t>P20240077</t>
  </si>
  <si>
    <t>MOHAMAD ARIF AKMAL BIN MAZLIN</t>
  </si>
  <si>
    <t>981118026005</t>
  </si>
  <si>
    <t>arifakmalmazlin@gmail.com</t>
  </si>
  <si>
    <t>P20240079</t>
  </si>
  <si>
    <t>NUR AZILA BINTI MD ARSHAD</t>
  </si>
  <si>
    <t>850331085848</t>
  </si>
  <si>
    <t>nurazilaarshad@gmail.com</t>
  </si>
  <si>
    <t>P20240080</t>
  </si>
  <si>
    <t>MOHAMMAD FAREEZ BIN MOHD RADZUAN</t>
  </si>
  <si>
    <t>980115385315</t>
  </si>
  <si>
    <t>fareez5636671@gmail.com</t>
  </si>
  <si>
    <t>P20240081</t>
  </si>
  <si>
    <t>NOOR BAHIYATUN BINTI ABU BAKAR</t>
  </si>
  <si>
    <t>990315075206</t>
  </si>
  <si>
    <t>nbahiyatun@gmail.com</t>
  </si>
  <si>
    <t>P20240082</t>
  </si>
  <si>
    <t>NOR ZURAINI BINTI MOHAMAD SALLEH</t>
  </si>
  <si>
    <t>940227025318</t>
  </si>
  <si>
    <t>aszurazuraini@gmail.com</t>
  </si>
  <si>
    <t>P20240084</t>
  </si>
  <si>
    <t>NUR SYAFIQAH BINTI MOHD ROSHIDI</t>
  </si>
  <si>
    <t>020429020484</t>
  </si>
  <si>
    <t>snur34460@gmail.com</t>
  </si>
  <si>
    <t>P20240085</t>
  </si>
  <si>
    <t>NOR HAFIZAH BINTI MOHAMAD REJAB</t>
  </si>
  <si>
    <t>970428025602</t>
  </si>
  <si>
    <t>P20240086</t>
  </si>
  <si>
    <t>MUHAMMAD ARIF AMIRUL BIN MASHHOR</t>
  </si>
  <si>
    <t>001216020305</t>
  </si>
  <si>
    <t>P20240087</t>
  </si>
  <si>
    <t>MOHAMAD RUZAIMI BIN ABU OSMAN</t>
  </si>
  <si>
    <t>950623085661</t>
  </si>
  <si>
    <t>P20240088</t>
  </si>
  <si>
    <t>NOR SYAHIRAH BINTI ABD MALEK</t>
  </si>
  <si>
    <t>960615025860</t>
  </si>
  <si>
    <t>cirasyahirahnalek@gmail.com</t>
  </si>
  <si>
    <t>P20240090</t>
  </si>
  <si>
    <t>SITI NURSHAHIRA BINTI MOHD ABU</t>
  </si>
  <si>
    <t>040526130544</t>
  </si>
  <si>
    <t>P20240091</t>
  </si>
  <si>
    <t>SITI MAHAYU BINTI MOHD HUSSIN</t>
  </si>
  <si>
    <t>850918025078</t>
  </si>
  <si>
    <t>P20240093</t>
  </si>
  <si>
    <t>MOHAMAD ZARIN IZWAN BIN MOHAMAD</t>
  </si>
  <si>
    <t>920122076073</t>
  </si>
  <si>
    <t>P20240094</t>
  </si>
  <si>
    <t>MOHAMAD ROHAIME BIN MOHAMMAD</t>
  </si>
  <si>
    <t>960605086459</t>
  </si>
  <si>
    <t>rohaime.mohammad96@gmail.com</t>
  </si>
  <si>
    <t>P20240095</t>
  </si>
  <si>
    <t>SITI NOR WAHIDAH BINTI MOHAMAD RIDZWAN</t>
  </si>
  <si>
    <t>841005085426</t>
  </si>
  <si>
    <t>P20240096</t>
  </si>
  <si>
    <t>MOHAMMAD FIRDAUS BIN ALIAS</t>
  </si>
  <si>
    <t>940118075877</t>
  </si>
  <si>
    <t>mohammadfirdausalias.94@gmail.com</t>
  </si>
  <si>
    <t>P20240097</t>
  </si>
  <si>
    <t>ILI ARDILLA BINTI ABDUL MALEK</t>
  </si>
  <si>
    <t>950726085314</t>
  </si>
  <si>
    <t>iliardilla950726@gmail.com</t>
  </si>
  <si>
    <t>P20240098</t>
  </si>
  <si>
    <t>HAZWANI IZZATI BINTI GHAZALI</t>
  </si>
  <si>
    <t>910508016664</t>
  </si>
  <si>
    <t>P20240100</t>
  </si>
  <si>
    <t>MOHAMAD AZMIN AMIRUL BIN AZMI</t>
  </si>
  <si>
    <t>011229080015</t>
  </si>
  <si>
    <t>P20240101</t>
  </si>
  <si>
    <t>NURSYAZWANI BINTI MOHD SHAARI</t>
  </si>
  <si>
    <t>941224085336</t>
  </si>
  <si>
    <t>P20240102</t>
  </si>
  <si>
    <t>NURUL ASHIKIN BINTI SHAFIE</t>
  </si>
  <si>
    <t>010824070570</t>
  </si>
  <si>
    <t>P20240105</t>
  </si>
  <si>
    <t>NUR SYAHIRAH BINTI ABDULLAH</t>
  </si>
  <si>
    <t>940217025576</t>
  </si>
  <si>
    <t>P20240106</t>
  </si>
  <si>
    <t>ARIF FAHMI BIN RAZALI</t>
  </si>
  <si>
    <t>980731086335</t>
  </si>
  <si>
    <t>ariff.fahmi7777@gmail.com</t>
  </si>
  <si>
    <t>P20240108</t>
  </si>
  <si>
    <t>JIVA PRIYA A/P KUMERASEN</t>
  </si>
  <si>
    <t>860430355654</t>
  </si>
  <si>
    <t>jivariya@gmail.com</t>
  </si>
  <si>
    <t>P20240109</t>
  </si>
  <si>
    <t>MUHAMMAD ZULFAIZ BIN MOHD ZAHIR</t>
  </si>
  <si>
    <t>990827086179</t>
  </si>
  <si>
    <t>muhammadzulfaiz4988@gmail.com</t>
  </si>
  <si>
    <t>P20240111</t>
  </si>
  <si>
    <t>881105105179</t>
  </si>
  <si>
    <t>Helmyqaiyuum88@gmail.com</t>
  </si>
  <si>
    <t>P20240117</t>
  </si>
  <si>
    <t>NOOR HAYATI BINTI ABDUL HAMID</t>
  </si>
  <si>
    <t>690720095118</t>
  </si>
  <si>
    <t>nor58010@gmail.com</t>
  </si>
  <si>
    <t>P20240118</t>
  </si>
  <si>
    <t>NORHAMIMAH BINTI ABDUL RAZAK</t>
  </si>
  <si>
    <t>5S (SM)</t>
  </si>
  <si>
    <t>771111086982</t>
  </si>
  <si>
    <t>eimacomel390@gmail.com</t>
  </si>
  <si>
    <t>5SSM</t>
  </si>
  <si>
    <t>P20240119</t>
  </si>
  <si>
    <t>ROBEHAH BINTI MUSTAPHA</t>
  </si>
  <si>
    <t>720311035602</t>
  </si>
  <si>
    <t>robehahm@gmail.com</t>
  </si>
  <si>
    <t>P20240121</t>
  </si>
  <si>
    <t>WAN HASMIEDA BINTI AZMAN</t>
  </si>
  <si>
    <t>931217035788</t>
  </si>
  <si>
    <t>hasmiedarl93@gmail.com</t>
  </si>
  <si>
    <t>P20240122</t>
  </si>
  <si>
    <t>MUHAMMAD SAFWAN BIN GHAZALI</t>
  </si>
  <si>
    <t>930713025779</t>
  </si>
  <si>
    <t>safwanghazali7@gmail.com</t>
  </si>
  <si>
    <t>P20240123</t>
  </si>
  <si>
    <t>NURUL FATIN BINTI ABD KHARI</t>
  </si>
  <si>
    <t>890327025398</t>
  </si>
  <si>
    <t>nurulfatin_27@yahoo.com</t>
  </si>
  <si>
    <t>P20240126</t>
  </si>
  <si>
    <t>MUHAMMAD SYAUQI BIN ZAIDI</t>
  </si>
  <si>
    <t>960701025509</t>
  </si>
  <si>
    <t>syauqiey12@gmail.com</t>
  </si>
  <si>
    <t>P20240127</t>
  </si>
  <si>
    <t>IZZAD SHUKRYEN BIN SARIF</t>
  </si>
  <si>
    <t>950226085895</t>
  </si>
  <si>
    <t>izzadshukryen@gmail.com</t>
  </si>
  <si>
    <t>P20240128</t>
  </si>
  <si>
    <t>MOHAMAD SAIFUL ZAINI BIN MAT PIAH</t>
  </si>
  <si>
    <t>970201025085</t>
  </si>
  <si>
    <t>saifulzaini1914@gmail.com</t>
  </si>
  <si>
    <t>P20240132</t>
  </si>
  <si>
    <t>NURMAISARAH BINTI MAHATHIR</t>
  </si>
  <si>
    <t>000229070374</t>
  </si>
  <si>
    <t>nurmaisarah.mahathir@simmtech.com</t>
  </si>
  <si>
    <t>P20240133</t>
  </si>
  <si>
    <t>MOHD SHAFARID IQBAL BIN SHEHIDAN</t>
  </si>
  <si>
    <t>921213125699</t>
  </si>
  <si>
    <t>shafaridiqbal13@gmail.com</t>
  </si>
  <si>
    <t>P20240134</t>
  </si>
  <si>
    <t>AITHESSWARY A/P JAMES</t>
  </si>
  <si>
    <t>990313087414</t>
  </si>
  <si>
    <t>aithesswary.james@simmtech.com</t>
  </si>
  <si>
    <t>P20240135</t>
  </si>
  <si>
    <t>NURDINA AQILAH BINTI SHAMRI</t>
  </si>
  <si>
    <t>980707026092</t>
  </si>
  <si>
    <t>aqilah.shamri@simmtech.com</t>
  </si>
  <si>
    <t>P20240137</t>
  </si>
  <si>
    <t>PARVIND RAJ A/L S.VISUWANATHEN</t>
  </si>
  <si>
    <t>980222026465</t>
  </si>
  <si>
    <t>parvindraj.visuwanathen@simmtech.com</t>
  </si>
  <si>
    <t>P20240139</t>
  </si>
  <si>
    <t>HOO ZU XIAN</t>
  </si>
  <si>
    <t>991208016301</t>
  </si>
  <si>
    <t>zuxian.hoo@simmtech.com</t>
  </si>
  <si>
    <t>P20240140</t>
  </si>
  <si>
    <t>KONG JOON HERN</t>
  </si>
  <si>
    <t>000214081951</t>
  </si>
  <si>
    <t>joonhern.kong@simmtech.com</t>
  </si>
  <si>
    <t>P20240141</t>
  </si>
  <si>
    <t>MUHAMMAD ARREY HAZIQ BIN SHAMSHULKHAIRI</t>
  </si>
  <si>
    <t>990711025825</t>
  </si>
  <si>
    <t>arrey.shamshulkhairi@simmtech.com</t>
  </si>
  <si>
    <t>P20240146</t>
  </si>
  <si>
    <t>NOPPHAKHUN A/L AI CHOON</t>
  </si>
  <si>
    <t>980730025821</t>
  </si>
  <si>
    <t>nopphakun.choon@simmtech.com</t>
  </si>
  <si>
    <t>P20240147</t>
  </si>
  <si>
    <t>KARTHIYAINI A/P PATHMANATHAN</t>
  </si>
  <si>
    <t>981011075288</t>
  </si>
  <si>
    <t>karthiyaini.pathmanathan@simmtech.com</t>
  </si>
  <si>
    <t>P20240149</t>
  </si>
  <si>
    <t>NATASHA AMIELIA BINTI ROSMIZAN</t>
  </si>
  <si>
    <t>010302080376</t>
  </si>
  <si>
    <t>amielia.rosmizan@simmtech.com</t>
  </si>
  <si>
    <t>P20240150</t>
  </si>
  <si>
    <t>RANDHIR SINGH BUTTAR A/L HARBHAJAN SINGH</t>
  </si>
  <si>
    <t>010810080217</t>
  </si>
  <si>
    <t>PUNJA</t>
  </si>
  <si>
    <t>randhir.harbhajan@simmtech.com</t>
  </si>
  <si>
    <t>P20240152</t>
  </si>
  <si>
    <t>MUHAMMAD SOLIHIN BIN MANGSOR</t>
  </si>
  <si>
    <t>970620025557</t>
  </si>
  <si>
    <t>mohdsolihinmangsor@yahoo.com</t>
  </si>
  <si>
    <t>P20240154</t>
  </si>
  <si>
    <t>SITI SALBIAH BINTI MUSTAPHA</t>
  </si>
  <si>
    <t>940622055146</t>
  </si>
  <si>
    <t>salbiah.mustapha@simmtech.com</t>
  </si>
  <si>
    <t>P20240155</t>
  </si>
  <si>
    <t>AINA NURSHAHFIZA BINTI SOHAINI</t>
  </si>
  <si>
    <t>980526145076</t>
  </si>
  <si>
    <t>nurshahfiza.sohaini@simmtech.com</t>
  </si>
  <si>
    <t>P20240157</t>
  </si>
  <si>
    <t>940311026129</t>
  </si>
  <si>
    <t>mridhwan94.mr@gmail.com</t>
  </si>
  <si>
    <t>P20240158</t>
  </si>
  <si>
    <t>MUHAMMAD SYAZWAN BIN SUHAIMI</t>
  </si>
  <si>
    <t>991002075349</t>
  </si>
  <si>
    <t>syazwan5819@gmail.com</t>
  </si>
  <si>
    <t>P20240159</t>
  </si>
  <si>
    <t>MUHAMMAD AMIRUL SYAFIQ BIN MOHAMAD RUSHDI</t>
  </si>
  <si>
    <t>980713025803</t>
  </si>
  <si>
    <t>amirulsyafiq8723@gmail.com</t>
  </si>
  <si>
    <t>P20240160</t>
  </si>
  <si>
    <t>MOHAMAD HANIS BIN DESA</t>
  </si>
  <si>
    <t>020216070955</t>
  </si>
  <si>
    <t>hanisdesa59@gmail.com</t>
  </si>
  <si>
    <t>P20240161</t>
  </si>
  <si>
    <t>MUHAMMAD FAHIM BIN MOHD FAUZI</t>
  </si>
  <si>
    <t>020727080725</t>
  </si>
  <si>
    <t>fahimfauzi2002@gmail.com</t>
  </si>
  <si>
    <t>P20240162</t>
  </si>
  <si>
    <t>AZLI BIN AHMAD</t>
  </si>
  <si>
    <t>750331085727</t>
  </si>
  <si>
    <t>azlisarina59@gmail.com</t>
  </si>
  <si>
    <t>P20240164</t>
  </si>
  <si>
    <t>NOOR AZINA BINTI N.P.PACKIR MOHAMED</t>
  </si>
  <si>
    <t>741125075478</t>
  </si>
  <si>
    <t>noorazina1974@gmail.com</t>
  </si>
  <si>
    <t>P20240165</t>
  </si>
  <si>
    <t>SHARIFAH AINI BINTI MAHMOOD</t>
  </si>
  <si>
    <t>740102036156</t>
  </si>
  <si>
    <t>sharifahaini943@gmail.com</t>
  </si>
  <si>
    <t>P20240166</t>
  </si>
  <si>
    <t>SALIZA BINTI MD YUSOP</t>
  </si>
  <si>
    <t>740716075440</t>
  </si>
  <si>
    <t>salizamdyusop74@gmail.com</t>
  </si>
  <si>
    <t>P20240167</t>
  </si>
  <si>
    <t>NOOR ASHIKIN BINTI ABU BAKAR</t>
  </si>
  <si>
    <t>740528025040</t>
  </si>
  <si>
    <t>kasihteratai1@gmail.com</t>
  </si>
  <si>
    <t>P20240168</t>
  </si>
  <si>
    <t>KANAGESVARI A/P ARJEENAN</t>
  </si>
  <si>
    <t>950114025820</t>
  </si>
  <si>
    <t>kanagesvari.arjeenan@simmtech.com</t>
  </si>
  <si>
    <t>P20240171</t>
  </si>
  <si>
    <t>MOHD ZULHILMI BIN MOHD ZAHIR</t>
  </si>
  <si>
    <t>970429025145</t>
  </si>
  <si>
    <t>zulhilmi.zahir@simmtech.com</t>
  </si>
  <si>
    <t>P20240172</t>
  </si>
  <si>
    <t>681018075593</t>
  </si>
  <si>
    <t>a.samadmydin@gmail.com</t>
  </si>
  <si>
    <t>P20240173</t>
  </si>
  <si>
    <t>MUHAMMAD ZARIF BIN RAMAN</t>
  </si>
  <si>
    <t>990920075271</t>
  </si>
  <si>
    <t>zarifrahman4546@gmail.com</t>
  </si>
  <si>
    <t>P20240174</t>
  </si>
  <si>
    <t>MUHAMMAD ADAM BIN ABDUL LATIFF</t>
  </si>
  <si>
    <t>950718075845</t>
  </si>
  <si>
    <t>adamlatiff.1995@gmail.com</t>
  </si>
  <si>
    <t>P20240175</t>
  </si>
  <si>
    <t>VITHIANANTHAN A/L ARUNAJALAM</t>
  </si>
  <si>
    <t>881013265319</t>
  </si>
  <si>
    <t>vithiananthan.arunajalam@simmtech.com</t>
  </si>
  <si>
    <t>P20240176</t>
  </si>
  <si>
    <t>951123025683</t>
  </si>
  <si>
    <t>nazirulmubin013@gmail.com</t>
  </si>
  <si>
    <t>P20240177</t>
  </si>
  <si>
    <t>MOHD AKMAL BIN MOHD ROSLAN</t>
  </si>
  <si>
    <t>951031025037</t>
  </si>
  <si>
    <t>mohdakmal3230@gmail.com</t>
  </si>
  <si>
    <t>P20240178</t>
  </si>
  <si>
    <t>AMIR SAZRIL BIN IBRAHIM</t>
  </si>
  <si>
    <t>000703030987</t>
  </si>
  <si>
    <t>amirsazril123@gmail.com</t>
  </si>
  <si>
    <t>P20240179</t>
  </si>
  <si>
    <t>MOHAMAD SYAHRUL ANWAR BIN SHA'ARI</t>
  </si>
  <si>
    <t>980127075111</t>
  </si>
  <si>
    <t>mohamadsyahrolanwar8@gmail.com</t>
  </si>
  <si>
    <t>P20240180</t>
  </si>
  <si>
    <t>HAZRIQ HELMI HAFEZEE BIN AZHAR</t>
  </si>
  <si>
    <t>020820070169</t>
  </si>
  <si>
    <t>hazriqhelmi5@gmail.com</t>
  </si>
  <si>
    <t>P20240183</t>
  </si>
  <si>
    <t>720608075330</t>
  </si>
  <si>
    <t>sayhoon.loh@simmtech.com</t>
  </si>
  <si>
    <t>P20240184</t>
  </si>
  <si>
    <t>NUR SYAKILA BINTI ALIAS</t>
  </si>
  <si>
    <t>971022145780</t>
  </si>
  <si>
    <t>syakila.alias@simmtech.com</t>
  </si>
  <si>
    <t>P20240185</t>
  </si>
  <si>
    <t>MASITHOH BINTI YATIM</t>
  </si>
  <si>
    <t>991223025740</t>
  </si>
  <si>
    <t>masithoh.yatim@simmtech.com</t>
  </si>
  <si>
    <t>P20240186</t>
  </si>
  <si>
    <t>MOHAMAD ASYRAF AMIR BIN ZULKHIMI</t>
  </si>
  <si>
    <t>990813075073</t>
  </si>
  <si>
    <t>asyrafamirmohamad990@gmail.com</t>
  </si>
  <si>
    <t>P20240187</t>
  </si>
  <si>
    <t>MUHAMMAD FAKNIRUSHAIRIE BIN SHAFIAI</t>
  </si>
  <si>
    <t>980727075561</t>
  </si>
  <si>
    <t>faknilollol@gmail.com</t>
  </si>
  <si>
    <t>P20240188</t>
  </si>
  <si>
    <t>MUHAMMAD AIMAN NAIM BIN INDERA</t>
  </si>
  <si>
    <t>011217070071</t>
  </si>
  <si>
    <t>mohdaimanaloi@gmail.com</t>
  </si>
  <si>
    <t>P20240189</t>
  </si>
  <si>
    <t>NUR NAJWA BINTI MOHD NAZRIN</t>
  </si>
  <si>
    <t>040328020782</t>
  </si>
  <si>
    <t>najwanazrin01@gmail.com</t>
  </si>
  <si>
    <t>P20240190</t>
  </si>
  <si>
    <t>SITI HAJAR BINTI MOHAMED</t>
  </si>
  <si>
    <t>960126085790</t>
  </si>
  <si>
    <t>hajarmohamed96@icloud.com</t>
  </si>
  <si>
    <t>P20240191</t>
  </si>
  <si>
    <t>NUR SYAZMIRA IZWANY BINTI MOHD SOFFEE</t>
  </si>
  <si>
    <t>990808086288</t>
  </si>
  <si>
    <t>syazmirasoffee@gmail.com</t>
  </si>
  <si>
    <t>P20240192</t>
  </si>
  <si>
    <t>FATIN FARISHA BINTI SHAMSUDDIN</t>
  </si>
  <si>
    <t>010526080906</t>
  </si>
  <si>
    <t>fatinfarisha@gmail.com</t>
  </si>
  <si>
    <t>P20240193</t>
  </si>
  <si>
    <t>MUHAMMAD AMIRUL FIKRI BIN SUHAIMI</t>
  </si>
  <si>
    <t>980523087173</t>
  </si>
  <si>
    <t>Fikkuk123@gmail.com</t>
  </si>
  <si>
    <t>P20240194</t>
  </si>
  <si>
    <t>NUR NADIAH BINTI AMINARASID</t>
  </si>
  <si>
    <t>950324075068</t>
  </si>
  <si>
    <t>nadchoi95@gmail.com</t>
  </si>
  <si>
    <t>P20240195</t>
  </si>
  <si>
    <t>MOHAMAD SYAMER BIN MOKHTAR</t>
  </si>
  <si>
    <t>010910050103</t>
  </si>
  <si>
    <t>syamer0910@gmail.com</t>
  </si>
  <si>
    <t>P20240196</t>
  </si>
  <si>
    <t>NUR ASHIKIN BINTI MOHAMED YUSUFF</t>
  </si>
  <si>
    <t>940428075602</t>
  </si>
  <si>
    <t>mirkin9394@gmail.com</t>
  </si>
  <si>
    <t>P20240197</t>
  </si>
  <si>
    <t>ELLINYANI SYAFIQAH BINTI ABU BAKAR</t>
  </si>
  <si>
    <t>020827140190</t>
  </si>
  <si>
    <t>syafiqahabubakar00@gmail.com</t>
  </si>
  <si>
    <t>P20240198</t>
  </si>
  <si>
    <t>KUMUTAMOLI A/P PARASURAMAN</t>
  </si>
  <si>
    <t>921018085898</t>
  </si>
  <si>
    <t>kumutamoli@gmail.com</t>
  </si>
  <si>
    <t>P20240199</t>
  </si>
  <si>
    <t>MUHAMMAD ADLI BIN S.DAUD</t>
  </si>
  <si>
    <t>991217086125</t>
  </si>
  <si>
    <t>adli.muhd36@gmail.com</t>
  </si>
  <si>
    <t>P20240200</t>
  </si>
  <si>
    <t>AHMAD IKQBAL BIN ZAINUDDIN</t>
  </si>
  <si>
    <t>010606081183</t>
  </si>
  <si>
    <t>iqbalsaid881@gmail.com</t>
  </si>
  <si>
    <t>P20240201</t>
  </si>
  <si>
    <t>AYU BADILLAH BINTI BURHAN</t>
  </si>
  <si>
    <t>930605085870</t>
  </si>
  <si>
    <t>ayuariq964@gmail.com</t>
  </si>
  <si>
    <t>P20240202</t>
  </si>
  <si>
    <t>ASRUL HASNI BIN MOHAMAD HIDAYAT</t>
  </si>
  <si>
    <t>990622088373</t>
  </si>
  <si>
    <t>asrulayoi68@gmail.com</t>
  </si>
  <si>
    <t>P20240203</t>
  </si>
  <si>
    <t>MUHAMMAD HAKIMI BIN MAHADZIR</t>
  </si>
  <si>
    <t>000417081601</t>
  </si>
  <si>
    <t>kimiqimi17@gmail.com</t>
  </si>
  <si>
    <t>P20240204</t>
  </si>
  <si>
    <t>MOHAMMAD MUSSANIF BIN ISMAIL</t>
  </si>
  <si>
    <t>950806075335</t>
  </si>
  <si>
    <t>mussanif.ismail1995@gmail.com</t>
  </si>
  <si>
    <t>P20240205</t>
  </si>
  <si>
    <t>AHMAD IZHAM BIN AHMAD NAZRI</t>
  </si>
  <si>
    <t>990813075209</t>
  </si>
  <si>
    <t>Ahmadizham465@gmail.com</t>
  </si>
  <si>
    <t>P20240206</t>
  </si>
  <si>
    <t>MUHAMMAD ASYRAAF FITRI BIN MOHD YUSOF</t>
  </si>
  <si>
    <t>001217080297</t>
  </si>
  <si>
    <t>jetrotjetrot@gmail.com</t>
  </si>
  <si>
    <t>P20240207</t>
  </si>
  <si>
    <t>MUHAMMAD KHAIRUL AKMAL BIN MOHD ISA</t>
  </si>
  <si>
    <t>970407085147</t>
  </si>
  <si>
    <t>P20240208</t>
  </si>
  <si>
    <t>MUHAMMAD DANIAL ISKANDAR BIN MOHD NAZIR</t>
  </si>
  <si>
    <t>990722106321</t>
  </si>
  <si>
    <t>Danieliskandar6321@gmail.com</t>
  </si>
  <si>
    <t>P20240209</t>
  </si>
  <si>
    <t>MUHAMAD ARIF BIN JAAFAR</t>
  </si>
  <si>
    <t>960906036017</t>
  </si>
  <si>
    <t>putraarif6017@gmail.com</t>
  </si>
  <si>
    <t>P20240210</t>
  </si>
  <si>
    <t>MUHAMMAD HANIS BIN HISHYAM ZAIME</t>
  </si>
  <si>
    <t>000424020081</t>
  </si>
  <si>
    <t>muhdhns99@gmail.com</t>
  </si>
  <si>
    <t>P20240211</t>
  </si>
  <si>
    <t>MUHAMAD NAJMI BIN MAHMUD</t>
  </si>
  <si>
    <t>920512025167</t>
  </si>
  <si>
    <t>meenssfarm@gmail.com</t>
  </si>
  <si>
    <t>P20240212</t>
  </si>
  <si>
    <t>SHAHIRAH BINTI ROSLAN</t>
  </si>
  <si>
    <t>990131028528</t>
  </si>
  <si>
    <t>shahirahnoor31@gmail.com</t>
  </si>
  <si>
    <t>P20240213</t>
  </si>
  <si>
    <t>NURUL ATIQAH BINTI ABDUL HAIR</t>
  </si>
  <si>
    <t>020928020542</t>
  </si>
  <si>
    <t>nnratiqah@gmail.com</t>
  </si>
  <si>
    <t>P20240214</t>
  </si>
  <si>
    <t>AZRUL AMIN BIN ZULKIFLE</t>
  </si>
  <si>
    <t>020705080265</t>
  </si>
  <si>
    <t>azrulamin46@icloud.com</t>
  </si>
  <si>
    <t>P20240215</t>
  </si>
  <si>
    <t>AZLAN BIN ABDUL GHANI</t>
  </si>
  <si>
    <t>921126075347</t>
  </si>
  <si>
    <t>P20240216</t>
  </si>
  <si>
    <t>MUHAMMAD SYAFIQ BIN GHAZALI</t>
  </si>
  <si>
    <t>980124385181</t>
  </si>
  <si>
    <t>syafiqtora456@gmail.com</t>
  </si>
  <si>
    <t>P20240217</t>
  </si>
  <si>
    <t>MUHAMMAD AZHAR BIN ZULKIFLI</t>
  </si>
  <si>
    <t>020821070339</t>
  </si>
  <si>
    <t>muhdazhar13579@gmail.com</t>
  </si>
  <si>
    <t>P20240218</t>
  </si>
  <si>
    <t>MUHAMMAD NASIR BIN JALI</t>
  </si>
  <si>
    <t>960723055717</t>
  </si>
  <si>
    <t>manuk960723@gmail.com</t>
  </si>
  <si>
    <t>P20240219</t>
  </si>
  <si>
    <t>KIZLEEY BIN ROSLIH</t>
  </si>
  <si>
    <t>950103126298</t>
  </si>
  <si>
    <t>kizleyroslih95@gmail.com</t>
  </si>
  <si>
    <t>P20240220</t>
  </si>
  <si>
    <t>NORSHAMILA BINTI SHARIFULDIN</t>
  </si>
  <si>
    <t>961226265160</t>
  </si>
  <si>
    <t>NORSHAMILA037@gmail.com</t>
  </si>
  <si>
    <t>P20240222</t>
  </si>
  <si>
    <t>SYAMIMI IZZATI BINTI ZAINUDIN</t>
  </si>
  <si>
    <t>000328081124</t>
  </si>
  <si>
    <t>syamimiizzaty28@gmail.com</t>
  </si>
  <si>
    <t>P20240223</t>
  </si>
  <si>
    <t>MUHAMMAD HARIFF BIN SETAFA</t>
  </si>
  <si>
    <t>950418115577</t>
  </si>
  <si>
    <t>hsetafa@gmail.com</t>
  </si>
  <si>
    <t>P20240224</t>
  </si>
  <si>
    <t>INTAN FARIHAH BINTI MOHAMAD ZAINUDIN</t>
  </si>
  <si>
    <t>920311075256</t>
  </si>
  <si>
    <t>intansaiful92@gmail.com</t>
  </si>
  <si>
    <t>P20240225</t>
  </si>
  <si>
    <t>NURUL ASYIKIN BINTI JAMALUDIN</t>
  </si>
  <si>
    <t>971118355248</t>
  </si>
  <si>
    <t>ekeng1811@gmail.com</t>
  </si>
  <si>
    <t>P20240226</t>
  </si>
  <si>
    <t>MUHAMMAD ALIF AFZAN BIN MAZLAN</t>
  </si>
  <si>
    <t>020511020109</t>
  </si>
  <si>
    <t>alifafzan079@gmail.com</t>
  </si>
  <si>
    <t>P20240227</t>
  </si>
  <si>
    <t>MUHAMAD IRSYADUDDIN BIN MURAD</t>
  </si>
  <si>
    <t>910621086541</t>
  </si>
  <si>
    <t>irsyadmurad91@gmail.com</t>
  </si>
  <si>
    <t>P20240228</t>
  </si>
  <si>
    <t>WAN MUHAMAD HAZIM IRFAN BIN WAN AHMAD KAMAL</t>
  </si>
  <si>
    <t>040530070353</t>
  </si>
  <si>
    <t>xaexiumin@gmail.com</t>
  </si>
  <si>
    <t>P20240229</t>
  </si>
  <si>
    <t>WINNIE ANAK UCHING</t>
  </si>
  <si>
    <t>971231135802</t>
  </si>
  <si>
    <t>winnie191@gmail.com</t>
  </si>
  <si>
    <t>P20240230</t>
  </si>
  <si>
    <t>AIN NUR SYAFIQAH BINTI AHMAD</t>
  </si>
  <si>
    <t>000906081012</t>
  </si>
  <si>
    <t>ainnursyafiqah72@gmail.com</t>
  </si>
  <si>
    <t>P20240231</t>
  </si>
  <si>
    <t>SITI ZULAIKHA BINTI BADLIRUS</t>
  </si>
  <si>
    <t>010524020870</t>
  </si>
  <si>
    <t>Eiykazulaikha01@gmail.com</t>
  </si>
  <si>
    <t>P20240232</t>
  </si>
  <si>
    <t>NURUL SYAFIQAH BINTI AHMAD SABANI</t>
  </si>
  <si>
    <t>010509020856</t>
  </si>
  <si>
    <t>syafiqahn195@gmail.com</t>
  </si>
  <si>
    <t>P20240233</t>
  </si>
  <si>
    <t>MUHAMAD ZULHELMI BIN MD ZAINI</t>
  </si>
  <si>
    <t>971101085333</t>
  </si>
  <si>
    <t>zulemy073@gmail.com</t>
  </si>
  <si>
    <t>P20240234</t>
  </si>
  <si>
    <t>MUHAMMAD FIRDAUS BIN MD AZIME</t>
  </si>
  <si>
    <t>940216025507</t>
  </si>
  <si>
    <t>firdausazime@gmail.com</t>
  </si>
  <si>
    <t>P20240237</t>
  </si>
  <si>
    <t>MUHAMMAD ASYRAF ANWARI BIN SUHAIMI</t>
  </si>
  <si>
    <t>000810080859</t>
  </si>
  <si>
    <t>asyrafacap108@gmail.com</t>
  </si>
  <si>
    <t>P20240238</t>
  </si>
  <si>
    <t>MOHAMAD DANIEL ASYRAF BIN KHOIRUL ANUAR</t>
  </si>
  <si>
    <t>021216080349</t>
  </si>
  <si>
    <t>danielasyrafanuar@icloud.com</t>
  </si>
  <si>
    <t>P20240239</t>
  </si>
  <si>
    <t>MUHAMMAD ADIB ADAM MAULA MOHD ZAINI</t>
  </si>
  <si>
    <t>020901080529</t>
  </si>
  <si>
    <t>Adammsaje48@gmail.com</t>
  </si>
  <si>
    <t>P20240240</t>
  </si>
  <si>
    <t>MUHAMMAD HAFIZ BIN ISMAIL</t>
  </si>
  <si>
    <t>010410081421</t>
  </si>
  <si>
    <t>muhammadhafizzz135@gmail.com</t>
  </si>
  <si>
    <t>P20240241</t>
  </si>
  <si>
    <t>RAFIZUL AZIHAN BIN RUSDI</t>
  </si>
  <si>
    <t>000206030281</t>
  </si>
  <si>
    <t>Rafizulazihan7@gmail.com</t>
  </si>
  <si>
    <t>P20240242</t>
  </si>
  <si>
    <t>NOR ATIRAH BINTI SATTURA ALI</t>
  </si>
  <si>
    <t>010311080888</t>
  </si>
  <si>
    <t>atirahsatturaali@gmail.com</t>
  </si>
  <si>
    <t>P20240245</t>
  </si>
  <si>
    <t>MUHAMMAD IRFAN BIN MEHAT</t>
  </si>
  <si>
    <t>980411295007</t>
  </si>
  <si>
    <t>irfan980411@gmail.com</t>
  </si>
  <si>
    <t>P20240246</t>
  </si>
  <si>
    <t>MUHAMMAD TAUFIQ BIN EDI EZEMAR</t>
  </si>
  <si>
    <t>021128020813</t>
  </si>
  <si>
    <t>muhdt6093@gmail.com</t>
  </si>
  <si>
    <t>P20240247</t>
  </si>
  <si>
    <t>MUHAMAD AMMAR HUSAINI BIN JASNI</t>
  </si>
  <si>
    <t>010826020155</t>
  </si>
  <si>
    <t>ammarhusaini4629@gmail.com</t>
  </si>
  <si>
    <t>P20240248</t>
  </si>
  <si>
    <t>ABDUL HAADI BIN ABDUL RAHIM</t>
  </si>
  <si>
    <t>991113085857</t>
  </si>
  <si>
    <t>haadia496@gmail.com</t>
  </si>
  <si>
    <t>P20240249</t>
  </si>
  <si>
    <t>MUHAMMAD HAFIZ BIN ZAKARIA</t>
  </si>
  <si>
    <t>970905265001</t>
  </si>
  <si>
    <t>muhdhafizzakaria97@gmail.com</t>
  </si>
  <si>
    <t>P20240250</t>
  </si>
  <si>
    <t>ASMA AISYAH NAZIRAH BINTI AZMAN</t>
  </si>
  <si>
    <t>020820030896</t>
  </si>
  <si>
    <t>abbyayuninamira1512@gmail.com</t>
  </si>
  <si>
    <t>P20240251</t>
  </si>
  <si>
    <t>NUR NAJIHAH BINTI ROZI</t>
  </si>
  <si>
    <t>021007020382</t>
  </si>
  <si>
    <t>Nurn7487@gmail.com</t>
  </si>
  <si>
    <t>P20240252</t>
  </si>
  <si>
    <t>MOHAMAD HAIKAL BIN SOFIAN</t>
  </si>
  <si>
    <t>031108080025</t>
  </si>
  <si>
    <t>pokokepal15@gmail.com</t>
  </si>
  <si>
    <t>P20240254</t>
  </si>
  <si>
    <t>NUR 'ALYAA' BINTI RAMLI</t>
  </si>
  <si>
    <t>990425025250</t>
  </si>
  <si>
    <t>ramlialyaa@gmail.com</t>
  </si>
  <si>
    <t>P20240255</t>
  </si>
  <si>
    <t>CHE FAIZ ISKANDAR BIN ABDUL FATAH</t>
  </si>
  <si>
    <t>020606101067</t>
  </si>
  <si>
    <t>cfaiz916@gmail.com</t>
  </si>
  <si>
    <t>P20240256</t>
  </si>
  <si>
    <t>MUHAMMAD ZULKEFLI BIN MOHAMAD SABRI</t>
  </si>
  <si>
    <t>980506086961</t>
  </si>
  <si>
    <t>muhammadzulkefli46@gmail.com</t>
  </si>
  <si>
    <t>P20240257</t>
  </si>
  <si>
    <t>MUHAMMAD FAIZ BIN ROSDI</t>
  </si>
  <si>
    <t>040115070073</t>
  </si>
  <si>
    <t>muhammadfaiz9946@gmail.com</t>
  </si>
  <si>
    <t>P20240258</t>
  </si>
  <si>
    <t>FARRAH IZZATI BINTI ABDUL MALEK</t>
  </si>
  <si>
    <t>990820025998</t>
  </si>
  <si>
    <t>farrahzati@gmail.com</t>
  </si>
  <si>
    <t>P20240259</t>
  </si>
  <si>
    <t>NURDAYANA HADIRAH BINTI HARUN</t>
  </si>
  <si>
    <t>000811140550</t>
  </si>
  <si>
    <t>hadirahharun123@gmail.com</t>
  </si>
  <si>
    <t>P20240260</t>
  </si>
  <si>
    <t>MOHAMAD SUFIAN BIN ARAN</t>
  </si>
  <si>
    <t>880827085873</t>
  </si>
  <si>
    <t>sufianaran27@gmail.com</t>
  </si>
  <si>
    <t>P20240261</t>
  </si>
  <si>
    <t>AQIL YEO BIN ADAM YEO</t>
  </si>
  <si>
    <t>980519385063</t>
  </si>
  <si>
    <t>Quiisanury@gmail.com</t>
  </si>
  <si>
    <t>P20240262</t>
  </si>
  <si>
    <t>MOHAMAD AMIRUL IBRAHIM</t>
  </si>
  <si>
    <t>000812070443</t>
  </si>
  <si>
    <t>myluns46@gmail.com</t>
  </si>
  <si>
    <t>P20240263</t>
  </si>
  <si>
    <t>MUHAMMAD HASIF BIN MOHD ZIN</t>
  </si>
  <si>
    <t>970424085317</t>
  </si>
  <si>
    <t>hasifzin97@gmail.com</t>
  </si>
  <si>
    <t>P20240265</t>
  </si>
  <si>
    <t>MOHAMAD SHAHRIL BIN RAHIMI FAISAL</t>
  </si>
  <si>
    <t>940301085379</t>
  </si>
  <si>
    <t>m.shahril777@gmail.com</t>
  </si>
  <si>
    <t>P20240266</t>
  </si>
  <si>
    <t>NURUL IZZATI BINTI MOHD BAKRI</t>
  </si>
  <si>
    <t>020728020396</t>
  </si>
  <si>
    <t>nrizzzzzzty@gmail.com</t>
  </si>
  <si>
    <t>P20240267</t>
  </si>
  <si>
    <t>NOOR MARIAH BINTI MAT SAAD</t>
  </si>
  <si>
    <t>990421076720</t>
  </si>
  <si>
    <t>nmariah1234@icloud.com</t>
  </si>
  <si>
    <t>P20240268</t>
  </si>
  <si>
    <t>FAKHRUL ADLI BIN HAMDAN SHARUHIL</t>
  </si>
  <si>
    <t>941204086593</t>
  </si>
  <si>
    <t>fakhrul412adli@gmail.com</t>
  </si>
  <si>
    <t>P20240269</t>
  </si>
  <si>
    <t>MUHAMMAD ZAHIRUL MIFZAL BIN MOHD NOOR AZMAN</t>
  </si>
  <si>
    <t>040616070661</t>
  </si>
  <si>
    <t>zaerolazman@gmail.com</t>
  </si>
  <si>
    <t>P20240270</t>
  </si>
  <si>
    <t>MUHAMAD TAJUDIN BIN ZONASKI</t>
  </si>
  <si>
    <t>981006027329</t>
  </si>
  <si>
    <t>tajudinzonaski@gmail.com</t>
  </si>
  <si>
    <t>P20240271</t>
  </si>
  <si>
    <t>MUHAMMAD KHALID BIN SABUDDIN</t>
  </si>
  <si>
    <t>970509106949</t>
  </si>
  <si>
    <t>khxldd@gmail.com</t>
  </si>
  <si>
    <t>P20240272</t>
  </si>
  <si>
    <t>MOHAMAD FIRDAUS BIN SAMSUDDIN</t>
  </si>
  <si>
    <t>000608081559</t>
  </si>
  <si>
    <t>firdaussamsuddin866@gmail.com</t>
  </si>
  <si>
    <t>P20240273</t>
  </si>
  <si>
    <t>NOR HAFIZAH BINTI CHE MAMAT</t>
  </si>
  <si>
    <t>870908105208</t>
  </si>
  <si>
    <t>norhafizahchemamat@gmail.com</t>
  </si>
  <si>
    <t>P20240274</t>
  </si>
  <si>
    <t>NUR ZULAIKHA BINTI NAZELIZAN</t>
  </si>
  <si>
    <t>000804090188</t>
  </si>
  <si>
    <t>zulaikhanazelizan48@gmail.com</t>
  </si>
  <si>
    <t>P20240275</t>
  </si>
  <si>
    <t>NUR ZAYANAH BINTI ROSLI</t>
  </si>
  <si>
    <t>940704085816</t>
  </si>
  <si>
    <t>yanarosli658@gmail.com</t>
  </si>
  <si>
    <t>P20240276</t>
  </si>
  <si>
    <t>MUHAMMAD IKMAL BIN JAMIL</t>
  </si>
  <si>
    <t>040319070307</t>
  </si>
  <si>
    <t>kemaltiang17@gmail.com</t>
  </si>
  <si>
    <t>P20240277</t>
  </si>
  <si>
    <t>MUHAMAD NUR ZAIM BIN ISMAWI</t>
  </si>
  <si>
    <t>001002131587</t>
  </si>
  <si>
    <t>cintaroman05@gmail.com</t>
  </si>
  <si>
    <t>P20240278</t>
  </si>
  <si>
    <t>MOHAMAD ALIF HAIKAL BIN OTHMAN</t>
  </si>
  <si>
    <t>000902080899</t>
  </si>
  <si>
    <t>Haikalalif355@gmail.com</t>
  </si>
  <si>
    <t>P20240279</t>
  </si>
  <si>
    <t>MUHAMAD AMIRUL HAFIZ BIN SAMSURI</t>
  </si>
  <si>
    <t>011009070093</t>
  </si>
  <si>
    <t>amirulhafizz804@gmail.com</t>
  </si>
  <si>
    <t>P20240280</t>
  </si>
  <si>
    <t>MUHAMMAD KHAIRUNNAIM BIN AZHAR</t>
  </si>
  <si>
    <t>000726070981</t>
  </si>
  <si>
    <t>muhdkeon2555@gmail.com</t>
  </si>
  <si>
    <t>P20240281</t>
  </si>
  <si>
    <t>MUHAMMAD ALIFF SUFIAN BIN SHAHRUL NIZAM</t>
  </si>
  <si>
    <t>041125080341</t>
  </si>
  <si>
    <t>aliffsufian36@gmail.com</t>
  </si>
  <si>
    <t>P20240282</t>
  </si>
  <si>
    <t>MUHAMMAD FAWWAZ BIN SALEH</t>
  </si>
  <si>
    <t>010611080433</t>
  </si>
  <si>
    <t>fawwazsaleh210@gmail.com</t>
  </si>
  <si>
    <t>P20240283</t>
  </si>
  <si>
    <t>MUHAMMAD YUNUS BIN ZAHARIN</t>
  </si>
  <si>
    <t>040209020691</t>
  </si>
  <si>
    <t>yunuszaharin@gmail.com</t>
  </si>
  <si>
    <t>P20240284</t>
  </si>
  <si>
    <t>NUR SHAZREEN BINTI BADEROL HISAM</t>
  </si>
  <si>
    <t>020728070190</t>
  </si>
  <si>
    <t>shazreen3515@gmail.com</t>
  </si>
  <si>
    <t>P20240285</t>
  </si>
  <si>
    <t>FATIN SHARMIMI BINTI HASSAN MUHAMAD</t>
  </si>
  <si>
    <t>910616075258</t>
  </si>
  <si>
    <t>fatinsharmimi1991@gmail.com</t>
  </si>
  <si>
    <t>P20240286</t>
  </si>
  <si>
    <t>IZAMILA BINTI IBRAHIM</t>
  </si>
  <si>
    <t>840415095104</t>
  </si>
  <si>
    <t>eijaairis65@gmail.com</t>
  </si>
  <si>
    <t>P20240287</t>
  </si>
  <si>
    <t>MOHD HASRUL IZZUAN BIN ISMAIL</t>
  </si>
  <si>
    <t>860418265197</t>
  </si>
  <si>
    <t>mohdhasrulizzuan@gmail.com</t>
  </si>
  <si>
    <t>P20240289</t>
  </si>
  <si>
    <t>MOHD AZWAN BIN MOHD DIN</t>
  </si>
  <si>
    <t>970130035111</t>
  </si>
  <si>
    <t>mohdazwanmohd din@gmail.com</t>
  </si>
  <si>
    <t>P20240290</t>
  </si>
  <si>
    <t>NORFAZLIANA BINTI ABDULLAH</t>
  </si>
  <si>
    <t>990510075658</t>
  </si>
  <si>
    <t>anafazliana01@gmail.com</t>
  </si>
  <si>
    <t>P20240291</t>
  </si>
  <si>
    <t>NOORSYFINA BINTI JOHARI</t>
  </si>
  <si>
    <t>970921385206</t>
  </si>
  <si>
    <t>syfina97@gmail.com</t>
  </si>
  <si>
    <t>P20240292</t>
  </si>
  <si>
    <t>MUHAMMAD SYAFIQ BIN SADIAN @ SAIDIN</t>
  </si>
  <si>
    <t>960815085315</t>
  </si>
  <si>
    <t>fiqfuentes@gmail.com</t>
  </si>
  <si>
    <t>P20240293</t>
  </si>
  <si>
    <t>NURUL AZWANIE BINTI ZAMBERI</t>
  </si>
  <si>
    <t>970520025752</t>
  </si>
  <si>
    <t>azwaniewani1997@gmail.com</t>
  </si>
  <si>
    <t>P20240295</t>
  </si>
  <si>
    <t>SALMY SAZNIRA BINTI ABDUL RAHIM</t>
  </si>
  <si>
    <t>990330087504</t>
  </si>
  <si>
    <t>ssaznira@gmail.com</t>
  </si>
  <si>
    <t>P20240296</t>
  </si>
  <si>
    <t>NURUL NAJWA BINTI MOHD NAZARUDDIN</t>
  </si>
  <si>
    <t>981128026498</t>
  </si>
  <si>
    <t>njwnazaruddin@gmail.com</t>
  </si>
  <si>
    <t>P20240297</t>
  </si>
  <si>
    <t>NUR IFFAH SYAZWANI BINTI NOR AZMAN</t>
  </si>
  <si>
    <t>020510070788</t>
  </si>
  <si>
    <t>iffahsyazwanii10@icloud.com</t>
  </si>
  <si>
    <t>P20240298</t>
  </si>
  <si>
    <t>NORNI AMARAHIDAYAH BINTI IDRIS</t>
  </si>
  <si>
    <t>970908025046</t>
  </si>
  <si>
    <t>nonieamara89@gmail.com</t>
  </si>
  <si>
    <t>P20240299</t>
  </si>
  <si>
    <t>NUR IZATUL AKHMA BINTI AZHAR</t>
  </si>
  <si>
    <t>000511080402</t>
  </si>
  <si>
    <t>Nurizatulakhma7341@gmail.com</t>
  </si>
  <si>
    <t>P20240300</t>
  </si>
  <si>
    <t>PENGIRAN MOHAMAD FARHAN BIN PENGIRAN HARTINI</t>
  </si>
  <si>
    <t>960112075081</t>
  </si>
  <si>
    <t>Pengiranmohamadfarhan@gmail.com</t>
  </si>
  <si>
    <t>P20240301</t>
  </si>
  <si>
    <t>MUHAMAD IDRIS HIBATULLAH BIN MD YUSOFF</t>
  </si>
  <si>
    <t>960112085263</t>
  </si>
  <si>
    <t>aduriz18@gmail.com</t>
  </si>
  <si>
    <t>P20240302</t>
  </si>
  <si>
    <t>MUHAMMAD IDZARUL IKHWAN BIN MOHAMAD ISA</t>
  </si>
  <si>
    <t>950802085413</t>
  </si>
  <si>
    <t>izarulmuhamadisa@gmail.com</t>
  </si>
  <si>
    <t>P20240303</t>
  </si>
  <si>
    <t>MOHAMAD ELIAS BIN ZOBBER</t>
  </si>
  <si>
    <t>890814075149</t>
  </si>
  <si>
    <t>parkchik89@gmail.com</t>
  </si>
  <si>
    <t>P20240305</t>
  </si>
  <si>
    <t>MUHAMMAD FIRDAUS BIN ISMAAIL</t>
  </si>
  <si>
    <t>970919385207</t>
  </si>
  <si>
    <t>muhammadpuad97@gmail.com</t>
  </si>
  <si>
    <t>P20240306</t>
  </si>
  <si>
    <t>MOHD FARIS AZIM BIN ABU BAKAR</t>
  </si>
  <si>
    <t>980714026277</t>
  </si>
  <si>
    <t>farisalm999@gmail.com</t>
  </si>
  <si>
    <t>P20240307</t>
  </si>
  <si>
    <t>MOHAMAD ZUL HAIKAL BIN MAT SA'AD</t>
  </si>
  <si>
    <t>991214106661</t>
  </si>
  <si>
    <t>Haikaisaze@gmail.com</t>
  </si>
  <si>
    <t>P20240308</t>
  </si>
  <si>
    <t>ALIF HAFIZUDDIN BIN MOHD AZLAN</t>
  </si>
  <si>
    <t>001211070063</t>
  </si>
  <si>
    <t>ALIFHAFIZUDDIN11@gmail.com</t>
  </si>
  <si>
    <t>P20240309</t>
  </si>
  <si>
    <t>ABDUL SALAM BIN NAZERI</t>
  </si>
  <si>
    <t>040626020617</t>
  </si>
  <si>
    <t>abdulsalam04@icloud.com</t>
  </si>
  <si>
    <t>P20240310</t>
  </si>
  <si>
    <t>MUHAMMAD AZIB BIN MOHD IDRIS</t>
  </si>
  <si>
    <t>020507081275</t>
  </si>
  <si>
    <t>muhammadazib0507@gmail.com</t>
  </si>
  <si>
    <t>P20240311</t>
  </si>
  <si>
    <t>AMERUL RAHMAN BIN MAHAMUT</t>
  </si>
  <si>
    <t>010826081193</t>
  </si>
  <si>
    <t>amerrahman0108@gmail.com</t>
  </si>
  <si>
    <t>P20240312</t>
  </si>
  <si>
    <t>MUHAMMAD HAZMIRUL NAZMI BIN HAIRUDIN</t>
  </si>
  <si>
    <t>010910090017</t>
  </si>
  <si>
    <t>muhammadhazmirulnazmi@gmail.com</t>
  </si>
  <si>
    <t>P20240313</t>
  </si>
  <si>
    <t>NUR AFIQAH ALYA BINTI ABDUL AZIZ</t>
  </si>
  <si>
    <t>031231020642</t>
  </si>
  <si>
    <t>afiqah12310@gmail.com</t>
  </si>
  <si>
    <t>P20240314</t>
  </si>
  <si>
    <t>SYARIFAH NASIHAH BINTI SYED MOHAMAD</t>
  </si>
  <si>
    <t>901101085620</t>
  </si>
  <si>
    <t>syarifah6742@gmail.com</t>
  </si>
  <si>
    <t>P20240315</t>
  </si>
  <si>
    <t>IRHAM AZHIM BIN OMAR</t>
  </si>
  <si>
    <t>021021080285</t>
  </si>
  <si>
    <t>puterazero@gmail.com</t>
  </si>
  <si>
    <t>P20240316</t>
  </si>
  <si>
    <t>AZRIN ASHRAF BIN HUSSEIN</t>
  </si>
  <si>
    <t>960404025801</t>
  </si>
  <si>
    <t>azrinsadin@icloud.com</t>
  </si>
  <si>
    <t>P20240317</t>
  </si>
  <si>
    <t>AZHARUDDIN BIN ISA</t>
  </si>
  <si>
    <t>920611025621</t>
  </si>
  <si>
    <t>AZHARUDDIN92@ICLOUD.COM</t>
  </si>
  <si>
    <t>P20240318</t>
  </si>
  <si>
    <t>MUHAMAD AIMAN FIRDAUS BIN ABDUL</t>
  </si>
  <si>
    <t>010311070575</t>
  </si>
  <si>
    <t>aimanpidoih0575@gmail.com</t>
  </si>
  <si>
    <t>P20240319</t>
  </si>
  <si>
    <t>MUHAMAD KHAIRUL BIN MUHAMMAD REDUAN</t>
  </si>
  <si>
    <t>010302020197</t>
  </si>
  <si>
    <t>mkhairul12324@gmail.com</t>
  </si>
  <si>
    <t>P20240321</t>
  </si>
  <si>
    <t>SITI KATIJAH BINTI ABDUL SALLEH</t>
  </si>
  <si>
    <t>000808080278</t>
  </si>
  <si>
    <t>katijahabdulsalleh00@gmail.com</t>
  </si>
  <si>
    <t>P20240322</t>
  </si>
  <si>
    <t>MUHAMMAD KHAIRUL IKHWAN BIN SHAMSUDDIN</t>
  </si>
  <si>
    <t>030606080779</t>
  </si>
  <si>
    <t>Kikhwan6603@gmail.com</t>
  </si>
  <si>
    <t>P20240323</t>
  </si>
  <si>
    <t>SURYANI BINTI YUSOF</t>
  </si>
  <si>
    <t>810924025182</t>
  </si>
  <si>
    <t>suryani.yusof@simmtech.com</t>
  </si>
  <si>
    <t>P20240324</t>
  </si>
  <si>
    <t>MUHAMAD AFIS BIN HUSSAIN</t>
  </si>
  <si>
    <t>930311085971</t>
  </si>
  <si>
    <t>muhamadafis1993@gmail.com</t>
  </si>
  <si>
    <t>P20240325</t>
  </si>
  <si>
    <t>SURENDRAN A/L NAGIAH</t>
  </si>
  <si>
    <t>951010085997</t>
  </si>
  <si>
    <t>surendran.nagiah@simmtech.com</t>
  </si>
  <si>
    <t>P20240326</t>
  </si>
  <si>
    <t>NURUL ANIENA BINTI AZLAL</t>
  </si>
  <si>
    <t>951114086548</t>
  </si>
  <si>
    <t>nienajunaa@gmail.com</t>
  </si>
  <si>
    <t>P20240327</t>
  </si>
  <si>
    <t>MOHD NORAZEMIE BIN NORDDIN</t>
  </si>
  <si>
    <t>880712035569</t>
  </si>
  <si>
    <t>mohdnorazemie@gmail.com</t>
  </si>
  <si>
    <t>P20240328</t>
  </si>
  <si>
    <t>MOHAMAD AIDIEL IKHMAL BIN RAJULI</t>
  </si>
  <si>
    <t>971106026287</t>
  </si>
  <si>
    <t>aidieli617@gmail.com</t>
  </si>
  <si>
    <t>P20240329</t>
  </si>
  <si>
    <t>MOHAMAD NADZEMAN BIN ROSLI</t>
  </si>
  <si>
    <t>011016080521</t>
  </si>
  <si>
    <t>nadzeman46@gmail.com</t>
  </si>
  <si>
    <t>P20240330</t>
  </si>
  <si>
    <t>MUHAMMAD HAIKAL AIMAN BIN ABDULL MALIK</t>
  </si>
  <si>
    <t>030524070403</t>
  </si>
  <si>
    <t>haikalaiman33@icloud.com</t>
  </si>
  <si>
    <t>P20240331</t>
  </si>
  <si>
    <t>SULAIMAN BIN RAZALI</t>
  </si>
  <si>
    <t>800605135983</t>
  </si>
  <si>
    <t>sulaimanbinRazali@gmail.com</t>
  </si>
  <si>
    <t>P20240332</t>
  </si>
  <si>
    <t>NUR ALEYA SYAZWANI BINTI MOHD NIZAL</t>
  </si>
  <si>
    <t>041124020224</t>
  </si>
  <si>
    <t>lysyzwn76@gmail.com</t>
  </si>
  <si>
    <t>P20240333</t>
  </si>
  <si>
    <t>NUR DAWATUL NIQA BINTI AZIZAN</t>
  </si>
  <si>
    <t>030224020682</t>
  </si>
  <si>
    <t>dawatulniqa03@gmail.com</t>
  </si>
  <si>
    <t>P20240334</t>
  </si>
  <si>
    <t>NUR FATIHAH SAZWANIE BINTI WAN RAZALI</t>
  </si>
  <si>
    <t>960218085464</t>
  </si>
  <si>
    <t>fatihahsazwanie19@gmail.com</t>
  </si>
  <si>
    <t>P20240337</t>
  </si>
  <si>
    <t>NURUL ASMA BINTI ABRAHIM</t>
  </si>
  <si>
    <t>931123085864</t>
  </si>
  <si>
    <t>shimashimashiabrahim@gmail.com</t>
  </si>
  <si>
    <t>P20240338</t>
  </si>
  <si>
    <t>MUHAMMAD AIMAN BIN HASIM</t>
  </si>
  <si>
    <t>960518045237</t>
  </si>
  <si>
    <t>aimanhasim1996@gmail.com</t>
  </si>
  <si>
    <t>P20240340</t>
  </si>
  <si>
    <t>AMELLIA BINTI MUHAMAD AMIN</t>
  </si>
  <si>
    <t>001011020838</t>
  </si>
  <si>
    <t>amellia.0838@gmail.com</t>
  </si>
  <si>
    <t>P20240341</t>
  </si>
  <si>
    <t>MOHAMAD HAKIM BIN MOHAMAD AKHIR</t>
  </si>
  <si>
    <t>040229080421</t>
  </si>
  <si>
    <t>mohamadhakim651@gmail.com</t>
  </si>
  <si>
    <t>P20240342</t>
  </si>
  <si>
    <t>MOHAMAD JALIL BIN MAT ISA</t>
  </si>
  <si>
    <t>000205080017</t>
  </si>
  <si>
    <t>mohdjalil0205@gmail.com</t>
  </si>
  <si>
    <t>P20240343</t>
  </si>
  <si>
    <t>MUHAMMAD YUSRI BIN MANSOR</t>
  </si>
  <si>
    <t>970711025085</t>
  </si>
  <si>
    <t>muhammadyusri038@gmail.com</t>
  </si>
  <si>
    <t>P20240344</t>
  </si>
  <si>
    <t>PEKREALES BIN ABDUL AZEZ</t>
  </si>
  <si>
    <t>930127086157</t>
  </si>
  <si>
    <t>pekrealesazez@gmail.com</t>
  </si>
  <si>
    <t>P20240345</t>
  </si>
  <si>
    <t>MOHAMAD ARIF BIN KHALID</t>
  </si>
  <si>
    <t>011002080627</t>
  </si>
  <si>
    <t>mohamadarif9399@gmail.com</t>
  </si>
  <si>
    <t>P20240346</t>
  </si>
  <si>
    <t>MOHAMAD IZZAD BIN SAIDIN</t>
  </si>
  <si>
    <t>020508070391</t>
  </si>
  <si>
    <t>mohdizzad8585@gmail.com</t>
  </si>
  <si>
    <t>P20240347</t>
  </si>
  <si>
    <t>MUHAMMAD AL-AMIN BIN MD YAZID</t>
  </si>
  <si>
    <t>040703070221</t>
  </si>
  <si>
    <t>muhammadalaminmdyazid@gmail.com</t>
  </si>
  <si>
    <t>P20240348</t>
  </si>
  <si>
    <t>MUHAMMAD FAIZ BIN ROSENI</t>
  </si>
  <si>
    <t>990308087081</t>
  </si>
  <si>
    <t>FAIZROSENI@GMAIL.COM</t>
  </si>
  <si>
    <t>P20240349</t>
  </si>
  <si>
    <t>NOOR SYAMIRA BINTI AHMAD CHUKRI</t>
  </si>
  <si>
    <t>980817085798</t>
  </si>
  <si>
    <t>noorsyamira98@gmail.com</t>
  </si>
  <si>
    <t>P20240350</t>
  </si>
  <si>
    <t>NORSALINASALMI BINTI AZMI</t>
  </si>
  <si>
    <t>001211080720</t>
  </si>
  <si>
    <t>salina6614@gmal.com</t>
  </si>
  <si>
    <t>P20240351</t>
  </si>
  <si>
    <t>NUR ATHIRAH AZLY</t>
  </si>
  <si>
    <t>001205101396</t>
  </si>
  <si>
    <t>athirazly@gmail.com</t>
  </si>
  <si>
    <t>P20240352</t>
  </si>
  <si>
    <t>NURUL SYAFIQAH BINTI JAAFAR</t>
  </si>
  <si>
    <t>020127070136</t>
  </si>
  <si>
    <t>syafiqahjaafar35@gmail.com</t>
  </si>
  <si>
    <t>P20240353</t>
  </si>
  <si>
    <t>MUHAMMAD AMIR AMRI BIN RAMLI</t>
  </si>
  <si>
    <t>000122020705</t>
  </si>
  <si>
    <t>amiramriramli@gmail.com</t>
  </si>
  <si>
    <t>P20240355</t>
  </si>
  <si>
    <t>NURUL ASSYIFAA BINTI BASRI</t>
  </si>
  <si>
    <t>011109020472</t>
  </si>
  <si>
    <t>assyifaa.basri@simmtech.com</t>
  </si>
  <si>
    <t>P20240356</t>
  </si>
  <si>
    <t>SITI AISYAH BINTI ABDUL RAHMAN</t>
  </si>
  <si>
    <t>940927085776</t>
  </si>
  <si>
    <t>aisyah.rahman@simmtech.com</t>
  </si>
  <si>
    <t>P20240357</t>
  </si>
  <si>
    <t>DANI HAIKAL BIN AHMAD DANIAL</t>
  </si>
  <si>
    <t>020530020307</t>
  </si>
  <si>
    <t>danihaikal3005@gmail.com</t>
  </si>
  <si>
    <t>P20240358</t>
  </si>
  <si>
    <t>TAN KEI YI</t>
  </si>
  <si>
    <t>991119075430</t>
  </si>
  <si>
    <t>keiyi.tan@simmtech.com</t>
  </si>
  <si>
    <t>P20240359</t>
  </si>
  <si>
    <t>LINATARCHINIE A/P SUBRAMANIE</t>
  </si>
  <si>
    <t>980622026384</t>
  </si>
  <si>
    <t>linatarchinie.subramanie@simmtech.com</t>
  </si>
  <si>
    <t>P20240360</t>
  </si>
  <si>
    <t>AZMIR BIN ABDULLAH</t>
  </si>
  <si>
    <t>820905025303</t>
  </si>
  <si>
    <t>azmirkupang1112@gmail.com</t>
  </si>
  <si>
    <t>P20240362</t>
  </si>
  <si>
    <t>SITI NOR AMY AMIRA BINTI ABDULLAH</t>
  </si>
  <si>
    <t>010303011890</t>
  </si>
  <si>
    <t>nor.abdullah@simmtech.com</t>
  </si>
  <si>
    <t>P20240363</t>
  </si>
  <si>
    <t>771101715052</t>
  </si>
  <si>
    <t>georgia.kaounis@simmtech.com</t>
  </si>
  <si>
    <t>P20250001</t>
  </si>
  <si>
    <t>NUR AKMAR BINTI ZANNON</t>
  </si>
  <si>
    <t>851022075368</t>
  </si>
  <si>
    <t>akmar.zannon@simmtech.com</t>
  </si>
  <si>
    <t>P20250002</t>
  </si>
  <si>
    <t>780526075163</t>
  </si>
  <si>
    <t>chuneng.chew@simmtech.com</t>
  </si>
  <si>
    <t>P20250003</t>
  </si>
  <si>
    <t>MOHAMMAD HAFIZ BIN MOHAMMAD TANGGAMANI</t>
  </si>
  <si>
    <t>960418075383</t>
  </si>
  <si>
    <t>Hafizmohammad486@gmail.com</t>
  </si>
  <si>
    <t>P20250004</t>
  </si>
  <si>
    <t>MUHAMAD AFIF SYAHMI BIN MAT HASAN</t>
  </si>
  <si>
    <t>000622030045</t>
  </si>
  <si>
    <t>afif.hasan@simmtech.com</t>
  </si>
  <si>
    <t>P20250005</t>
  </si>
  <si>
    <t>NURAISHAH BINTI AB MALEK</t>
  </si>
  <si>
    <t>000824070184</t>
  </si>
  <si>
    <t>nuraishah.malek@simmtech.com</t>
  </si>
  <si>
    <t>P20250006</t>
  </si>
  <si>
    <t>HANIS SUHADA BINTI MOHD JAMIL</t>
  </si>
  <si>
    <t>950111085270</t>
  </si>
  <si>
    <t>suhada.jamil@simmtech.com</t>
  </si>
  <si>
    <t>P20250007</t>
  </si>
  <si>
    <t>AHMAD SYAHMI BIN MAHMUD</t>
  </si>
  <si>
    <t>971228036889</t>
  </si>
  <si>
    <t>syahmi.mahmud@simmtech.com</t>
  </si>
  <si>
    <t>P20250008</t>
  </si>
  <si>
    <t>AIZIRUL ASYRAFF BIN IDRIS</t>
  </si>
  <si>
    <t>970729086089</t>
  </si>
  <si>
    <t>aizirulasyraff97@gmail.com</t>
  </si>
  <si>
    <t>P20250009</t>
  </si>
  <si>
    <t>NUR SYAZANA BINTI OMAR BAKHI</t>
  </si>
  <si>
    <t>960924265286</t>
  </si>
  <si>
    <t>nursyazana.omarbakhi@gmail.com</t>
  </si>
  <si>
    <t>P20250010</t>
  </si>
  <si>
    <t>SITI NORHAFIZA BINTI MOHAMAD YUSOFF</t>
  </si>
  <si>
    <t>950818025642</t>
  </si>
  <si>
    <t>norhafiza.yusoff@simmtech.com</t>
  </si>
  <si>
    <t>P20250011</t>
  </si>
  <si>
    <t>NURLIYANA IZZATI BINTI MOHD KASIM</t>
  </si>
  <si>
    <t>960325155018</t>
  </si>
  <si>
    <t>nurliyana9625@gmail.com</t>
  </si>
  <si>
    <t>P20250012</t>
  </si>
  <si>
    <t>WON CHEN HING</t>
  </si>
  <si>
    <t>690609086045</t>
  </si>
  <si>
    <t>chenhing.won@simmtech.com</t>
  </si>
  <si>
    <t>P20250013</t>
  </si>
  <si>
    <t>MUHAMMAD SHAFIZRUDDIN FIRDAUS BIN FAZLI KU</t>
  </si>
  <si>
    <t>960829075193</t>
  </si>
  <si>
    <t>shafizruddin.ku@simmtech.com</t>
  </si>
  <si>
    <t>P20250014</t>
  </si>
  <si>
    <t>LAURENA CATIMBANG SILVESTRE</t>
  </si>
  <si>
    <t>Process Engineer</t>
  </si>
  <si>
    <t>TRACEABILITY</t>
  </si>
  <si>
    <t>PHILIPPINES</t>
  </si>
  <si>
    <t>OTHF</t>
  </si>
  <si>
    <t>laurena.silvestre@simmtech.com</t>
  </si>
  <si>
    <t>TRA</t>
  </si>
  <si>
    <t>P20250015</t>
  </si>
  <si>
    <t>KIMBERLY ANNE HIZON PANA</t>
  </si>
  <si>
    <t>kimberly.pana@simmtech.com</t>
  </si>
  <si>
    <t>P20250016</t>
  </si>
  <si>
    <t>NUR ZAIDATUL HUSNA BINTI ISMAIL</t>
  </si>
  <si>
    <t>971204385160</t>
  </si>
  <si>
    <t>zaidatul.ismail@simmtech.com</t>
  </si>
  <si>
    <t>P20250017</t>
  </si>
  <si>
    <t>MOHAMMAD FATHI BIN MD SOBRI</t>
  </si>
  <si>
    <t>990417025197</t>
  </si>
  <si>
    <t>mohdfathi338@gmail.com</t>
  </si>
  <si>
    <t>P20250018</t>
  </si>
  <si>
    <t>NURUL SHAHADAH BINTI HAMZAH</t>
  </si>
  <si>
    <t>920805105830</t>
  </si>
  <si>
    <t>shahadah.hamzah@simmtech.com</t>
  </si>
  <si>
    <t>P20250019</t>
  </si>
  <si>
    <t>MAWADDAH BINTI MOHAMMAD KHASIM</t>
  </si>
  <si>
    <t>010204020476</t>
  </si>
  <si>
    <t>mawaddah.khasim@simmtech.com</t>
  </si>
  <si>
    <t>P20250020</t>
  </si>
  <si>
    <t>TAN CHEE TAT</t>
  </si>
  <si>
    <t>851227075513</t>
  </si>
  <si>
    <t>tattan2062@gmail.com</t>
  </si>
  <si>
    <t>P20250021</t>
  </si>
  <si>
    <t>KESAVARAO A/L ANANTHARAVOO</t>
  </si>
  <si>
    <t>961022025675</t>
  </si>
  <si>
    <t>kesavarao.anantharavoo@simmtech.com</t>
  </si>
  <si>
    <t>P20250022</t>
  </si>
  <si>
    <t>MUHAMMAD ASHRAFF BIN ISHAK</t>
  </si>
  <si>
    <t>990627088057</t>
  </si>
  <si>
    <t>asyrafishak20@gmail.com</t>
  </si>
  <si>
    <t>P20250023</t>
  </si>
  <si>
    <t>MOHAMAD NURHAKIM BIN ABU OSMAN</t>
  </si>
  <si>
    <t>960420025545</t>
  </si>
  <si>
    <t>akimosman00@gmail.com</t>
  </si>
  <si>
    <t>P20250024</t>
  </si>
  <si>
    <t>NUR FAZLIN BINTI ALIAS</t>
  </si>
  <si>
    <t>940804145126</t>
  </si>
  <si>
    <t>lynn942010@gmail.com</t>
  </si>
  <si>
    <t>WR25150001</t>
  </si>
  <si>
    <t>NURUL SYUHAZMIZAH BINTI MOHAMAD SUHAIMI</t>
  </si>
  <si>
    <t>000822020108</t>
  </si>
  <si>
    <t>syuhzmizh2208@gmail.com</t>
  </si>
  <si>
    <t>WR25150002</t>
  </si>
  <si>
    <t>AZIMAH BINTI AZIZ</t>
  </si>
  <si>
    <t>891220036104</t>
  </si>
  <si>
    <t>azimahemma5@gmail.com</t>
  </si>
  <si>
    <t>WR25150003</t>
  </si>
  <si>
    <t>SITI HAJAR BINTI ROSMAN</t>
  </si>
  <si>
    <t>980603025378</t>
  </si>
  <si>
    <t>hajarrosman46@gmail.com</t>
  </si>
  <si>
    <t>WR25150004</t>
  </si>
  <si>
    <t>NOOR SHUHADA BINTI ABD RASHID</t>
  </si>
  <si>
    <t>021017080688</t>
  </si>
  <si>
    <t>shuhada021017@gmail.com</t>
  </si>
  <si>
    <t>WR25150005</t>
  </si>
  <si>
    <t>MAZATUL NAZIRAH BINTI MAT ESA</t>
  </si>
  <si>
    <t>951030086794</t>
  </si>
  <si>
    <t>mazatulnazirahmatesa@gmail.com</t>
  </si>
  <si>
    <t>WR25150006</t>
  </si>
  <si>
    <t>SALSABILA BINTI SHAHARUL IZAM</t>
  </si>
  <si>
    <t>031024020770</t>
  </si>
  <si>
    <t>bellaabel2003@gmail.com</t>
  </si>
  <si>
    <t>WR25150007</t>
  </si>
  <si>
    <t>NUR FIFI NABILA BINTI ZULKPLEE</t>
  </si>
  <si>
    <t>060924070418</t>
  </si>
  <si>
    <t>fifinabila19@gmail.com</t>
  </si>
  <si>
    <t>WR25150008</t>
  </si>
  <si>
    <t>SITI SYARIFAH ALIAH BINTI HALIM</t>
  </si>
  <si>
    <t>011118020626</t>
  </si>
  <si>
    <t>sitialiah0626@gmail.com</t>
  </si>
  <si>
    <t>WR25150009</t>
  </si>
  <si>
    <t>SITI AISHAH BINTI ABD GHANI</t>
  </si>
  <si>
    <t>030418020330</t>
  </si>
  <si>
    <t>aisyahghani0304@gmail.com</t>
  </si>
  <si>
    <t>WR25150010</t>
  </si>
  <si>
    <t>ROBAYAH BINTI MOHAMAD TAMIZI</t>
  </si>
  <si>
    <t>030827080668</t>
  </si>
  <si>
    <t>robayaht@gmail.com</t>
  </si>
  <si>
    <t>WR25150013</t>
  </si>
  <si>
    <t>NUR AINA NAJIHAH BINTI ZAINUDDIN</t>
  </si>
  <si>
    <t>030913070060</t>
  </si>
  <si>
    <t>ainanajihah1309@gmail.com</t>
  </si>
  <si>
    <t>WR25150014</t>
  </si>
  <si>
    <t>AINA NABILA BINTI ALLIAS</t>
  </si>
  <si>
    <t>000531021362</t>
  </si>
  <si>
    <t>WR25150016</t>
  </si>
  <si>
    <t>MUHAMMAD FARIS BIN MASARI</t>
  </si>
  <si>
    <t>030214070221</t>
  </si>
  <si>
    <t>masarifaris811@gmail.com</t>
  </si>
  <si>
    <t>WR25150017</t>
  </si>
  <si>
    <t>MOHD AMIRUL ASHRAF BIN ABDULLAH</t>
  </si>
  <si>
    <t>960715025227</t>
  </si>
  <si>
    <t>amirulashraf140@gmail.com</t>
  </si>
  <si>
    <t>WR25150018</t>
  </si>
  <si>
    <t>MOHAMAD DANIEL SUHAIZAT BIN MOHAMAD SUHAIMI</t>
  </si>
  <si>
    <t>021203021139</t>
  </si>
  <si>
    <t>jsuhaimyzki@gmail.com</t>
  </si>
  <si>
    <t>WR25150019</t>
  </si>
  <si>
    <t>NUR MOHAMAD AL AMIN BIN SAABAN</t>
  </si>
  <si>
    <t>000310080027</t>
  </si>
  <si>
    <t>nurmohamadalamin03@gmail.con</t>
  </si>
  <si>
    <t>WR25150020</t>
  </si>
  <si>
    <t>SUHAIL MUHAIMIN BIN NAJMI SALAM</t>
  </si>
  <si>
    <t>020514020905</t>
  </si>
  <si>
    <t>WR25150021</t>
  </si>
  <si>
    <t>WAN AIMAN FAHMIE BIN WAN AMIR</t>
  </si>
  <si>
    <t>960619025323</t>
  </si>
  <si>
    <t>w.aimanfahmie@gmail.com</t>
  </si>
  <si>
    <t>WR25150023</t>
  </si>
  <si>
    <t>MUHAMMAD SYAHIR BIN HAMZAR</t>
  </si>
  <si>
    <t>040103100239</t>
  </si>
  <si>
    <t>syahirhamzar04@gmail.com</t>
  </si>
  <si>
    <t>WR25150026</t>
  </si>
  <si>
    <t>MUHAMMAD AZRI AKMAR BIN ZAINAL</t>
  </si>
  <si>
    <t>030524070489</t>
  </si>
  <si>
    <t>azri547489@gmail.com</t>
  </si>
  <si>
    <t>WR25150027</t>
  </si>
  <si>
    <t>MOHAMAD SAIFUL NIZAM BIN MOHD ISA</t>
  </si>
  <si>
    <t>920211075347</t>
  </si>
  <si>
    <t>Fatahmacho92@gmail.com</t>
  </si>
  <si>
    <t>WR25150028</t>
  </si>
  <si>
    <t>MOHAMAD HAFIQ BIN SUFIAN</t>
  </si>
  <si>
    <t>960327075337</t>
  </si>
  <si>
    <t>WR25150029</t>
  </si>
  <si>
    <t>MOHAMAD AKMAL YAZID BIN AHMAD FADIL</t>
  </si>
  <si>
    <t>930717065495</t>
  </si>
  <si>
    <t>akmalyazid6@gmail.com</t>
  </si>
  <si>
    <t>WR25150030</t>
  </si>
  <si>
    <t>AZRIQ SHAQUAN DANIEL BIN NORHISHAM</t>
  </si>
  <si>
    <t>040510020033</t>
  </si>
  <si>
    <t>danie494@icloud.com</t>
  </si>
  <si>
    <t>WR25150031</t>
  </si>
  <si>
    <t>MUHAMMAD NIZAMMUDDIN BIN ZAHIRUDDIN</t>
  </si>
  <si>
    <t>040526070289</t>
  </si>
  <si>
    <t>alang04265@gmail.com</t>
  </si>
  <si>
    <t>WR25150032</t>
  </si>
  <si>
    <t>MUHAMMAD DANIEL BIN FEROZ</t>
  </si>
  <si>
    <t>040106070135</t>
  </si>
  <si>
    <t>danielferoz0123456789@gmail.com</t>
  </si>
  <si>
    <t>WR25150033</t>
  </si>
  <si>
    <t>AHMAD ALIFFITRI BIN ABDULLAH</t>
  </si>
  <si>
    <t>031130070499</t>
  </si>
  <si>
    <t>WR25150035</t>
  </si>
  <si>
    <t>ADAM AZWAR BIN DARUS</t>
  </si>
  <si>
    <t>031018080961</t>
  </si>
  <si>
    <t>adamazwar01@gmail.com</t>
  </si>
  <si>
    <t>WR25150036</t>
  </si>
  <si>
    <t>MUHAMMAD NUR AFFENDI BIN MAT SALIH</t>
  </si>
  <si>
    <t>011112080951</t>
  </si>
  <si>
    <t>WR25150037</t>
  </si>
  <si>
    <t>HAIQAL HAFIZ ROZMAN BIN ABDUL AZIZ</t>
  </si>
  <si>
    <t>020511141373</t>
  </si>
  <si>
    <t>WR25150038</t>
  </si>
  <si>
    <t>MUHAMMAD NASRUL BIN AZMAN</t>
  </si>
  <si>
    <t>990627025793</t>
  </si>
  <si>
    <t>nasrul025793@gmail.com</t>
  </si>
  <si>
    <t>WR25150041</t>
  </si>
  <si>
    <t>MUHAMMAD SUHAIMI BIN ABD KARIM</t>
  </si>
  <si>
    <t>001207081077</t>
  </si>
  <si>
    <t>miekarim88@gmail.com</t>
  </si>
  <si>
    <t>WR25150042</t>
  </si>
  <si>
    <t>ALIF NAJMI BIN MOHD KAMAL</t>
  </si>
  <si>
    <t>040430020121</t>
  </si>
  <si>
    <t>alifn0586@gmail.com</t>
  </si>
  <si>
    <t>WR25150043</t>
  </si>
  <si>
    <t>MOHAMAD SYAFIQ IDHAM BIN MOHD HANAFI</t>
  </si>
  <si>
    <t>981213086735</t>
  </si>
  <si>
    <t>idham.syafiq98@icloud.com</t>
  </si>
  <si>
    <t>WR25150044</t>
  </si>
  <si>
    <t>MOHAMAD SYAMIL IZWAN BIN MD HANAPIAH</t>
  </si>
  <si>
    <t>970918265289</t>
  </si>
  <si>
    <t>Syamilizwan082@gmail.com</t>
  </si>
  <si>
    <t>WR25150045</t>
  </si>
  <si>
    <t>NURUL SYAHIMA BINTI RIPIN</t>
  </si>
  <si>
    <t>001020101146</t>
  </si>
  <si>
    <t>nurulsyahima099@gmail.com</t>
  </si>
  <si>
    <t>WR25150046</t>
  </si>
  <si>
    <t>NURUL AINA AINSYIRAH BINTI OTHMAN</t>
  </si>
  <si>
    <t>040119070302</t>
  </si>
  <si>
    <t>ainanurulainaainsyirah@gmail.com</t>
  </si>
  <si>
    <t>WR25150048</t>
  </si>
  <si>
    <t>NOR ZAHIRAH IZZATY BINTI ISHAK</t>
  </si>
  <si>
    <t>980424075396</t>
  </si>
  <si>
    <t>zahirahizzaty@gmail.com</t>
  </si>
  <si>
    <t>WR25150049</t>
  </si>
  <si>
    <t>NOOR SHAHIRAH BINTI SHAHRIN</t>
  </si>
  <si>
    <t>950624075086</t>
  </si>
  <si>
    <t>shahirahshahrin37@gmail.com</t>
  </si>
  <si>
    <t>WR25150050</t>
  </si>
  <si>
    <t>MUHAMMAD SHAHMI BIN MOHAMMAD RASHID</t>
  </si>
  <si>
    <t>981013027095</t>
  </si>
  <si>
    <t>muhdshahmi94@icloud.com</t>
  </si>
  <si>
    <t>WR25150051</t>
  </si>
  <si>
    <t>MUHAMAD FAREEZ BIN MD REJAB</t>
  </si>
  <si>
    <t>021213070655</t>
  </si>
  <si>
    <t>fareezz277@gmail.com</t>
  </si>
  <si>
    <t>WR25150052</t>
  </si>
  <si>
    <t>MUHAMMAD AMIRUL RAZIQ BIN SAUPI</t>
  </si>
  <si>
    <t>030119080173</t>
  </si>
  <si>
    <t>myrullami@gmail.com</t>
  </si>
  <si>
    <t>WR25150053</t>
  </si>
  <si>
    <t>MUHAMMAD DZULKARNAIN BIN ISMAIL</t>
  </si>
  <si>
    <t>980923075999</t>
  </si>
  <si>
    <t>karnain9467@gmail.com</t>
  </si>
  <si>
    <t>WR25160001</t>
  </si>
  <si>
    <t>ADAM HARIS BIN MUHAMMADUN</t>
  </si>
  <si>
    <t>061017070179</t>
  </si>
  <si>
    <t>binmuhammadunadamharis@gmail.com</t>
  </si>
  <si>
    <t>WR25160003</t>
  </si>
  <si>
    <t>AIN NUR IZZATI BINTI MAT NOOR</t>
  </si>
  <si>
    <t>010908070762</t>
  </si>
  <si>
    <t>ainntyn@gmail.com</t>
  </si>
  <si>
    <t>WR25160004</t>
  </si>
  <si>
    <t>AMIRUL IZHAM BIN HASNI</t>
  </si>
  <si>
    <t>010815070691</t>
  </si>
  <si>
    <t>amrlizhxm48@gmail.com</t>
  </si>
  <si>
    <t>WR25160005</t>
  </si>
  <si>
    <t>AYU AQILAH BINTI SUHAIMI</t>
  </si>
  <si>
    <t>051112080528</t>
  </si>
  <si>
    <t>WR25160006</t>
  </si>
  <si>
    <t>HANA HUMAIRA BINTI YUSRIZAL</t>
  </si>
  <si>
    <t>050513070078</t>
  </si>
  <si>
    <t>akhtarlily32@gmail.com</t>
  </si>
  <si>
    <t>WR25160007</t>
  </si>
  <si>
    <t>IDHAM BIN MUHAMAD AMIRSYARIFUDDIN</t>
  </si>
  <si>
    <t>021111020921</t>
  </si>
  <si>
    <t>WR25160008</t>
  </si>
  <si>
    <t>LIYANA KHAIRUNNISA BINTI ROSLAN</t>
  </si>
  <si>
    <t>000909090096</t>
  </si>
  <si>
    <t>liyanakhairun@gmail.com</t>
  </si>
  <si>
    <t>WR25160010</t>
  </si>
  <si>
    <t>MOHAMAD AMIRUL ADAM BIN MOHMAZ ZAIDI</t>
  </si>
  <si>
    <t>050228081069</t>
  </si>
  <si>
    <t>adamamirul1616@gmail.com</t>
  </si>
  <si>
    <t>WR25160011</t>
  </si>
  <si>
    <t>MOHAMAD AZIZI BIN MD RADZI</t>
  </si>
  <si>
    <t>030707080401</t>
  </si>
  <si>
    <t>mohamadazizi0707@gmail.com</t>
  </si>
  <si>
    <t>WR25160012</t>
  </si>
  <si>
    <t>MOHAMAD FADLI NAIM BIN ROZUAN</t>
  </si>
  <si>
    <t>931211026127</t>
  </si>
  <si>
    <t>naimwwb93@gmail.com</t>
  </si>
  <si>
    <t>WR25160013</t>
  </si>
  <si>
    <t>MOHAMAD FARIS BIN MAT KHOSNI</t>
  </si>
  <si>
    <t>980514086849</t>
  </si>
  <si>
    <t>WR25160014</t>
  </si>
  <si>
    <t>MOHAMAD HAFIZUL BIN YA'ACOB</t>
  </si>
  <si>
    <t>040502070225</t>
  </si>
  <si>
    <t>hhafizul215@gmail.com</t>
  </si>
  <si>
    <t>WR25160015</t>
  </si>
  <si>
    <t>MOHAMAD SYAFIZ ASRAFF BIN MOHD RUSHAISHAM</t>
  </si>
  <si>
    <t>011202080701</t>
  </si>
  <si>
    <t>syafizasraff46@gmail.com</t>
  </si>
  <si>
    <t>WR25160016</t>
  </si>
  <si>
    <t>MOHAMAD ZAMRI BIN AMIR</t>
  </si>
  <si>
    <t>000723080543</t>
  </si>
  <si>
    <t>mohdzambri116@gmail.com</t>
  </si>
  <si>
    <t>WR25160019</t>
  </si>
  <si>
    <t>MOHAMMAD KHABIR BIN YAHYA</t>
  </si>
  <si>
    <t>010116080305</t>
  </si>
  <si>
    <t>Khabiryahya16@gmail.com</t>
  </si>
  <si>
    <t>WR25160020</t>
  </si>
  <si>
    <t>MUHAMAD AFIQ IMAN BIN MOHD KAMAL</t>
  </si>
  <si>
    <t>050923070783</t>
  </si>
  <si>
    <t>afiqiman2580@gmail.com</t>
  </si>
  <si>
    <t>WR25160021</t>
  </si>
  <si>
    <t>MUHAMAD DANISH FARIHIN BIN MOHD AMINIZAM</t>
  </si>
  <si>
    <t>030912070237</t>
  </si>
  <si>
    <t>danishfarihin6@gmail.com</t>
  </si>
  <si>
    <t>WR25160024</t>
  </si>
  <si>
    <t>MUHAMAD SYAMIM BIN AZIZ</t>
  </si>
  <si>
    <t>980402075723</t>
  </si>
  <si>
    <t>WR25160025</t>
  </si>
  <si>
    <t>MUHAMMAD AFIQ AMINUDDIN BIN ZAINAL</t>
  </si>
  <si>
    <t>990505027627</t>
  </si>
  <si>
    <t>afiqaminuddin25@yahoo.com.my</t>
  </si>
  <si>
    <t>WR25160026</t>
  </si>
  <si>
    <t>MUHAMMAD AIMAN BIN AZMI</t>
  </si>
  <si>
    <t>020707080605</t>
  </si>
  <si>
    <t>muhdaimxn308@gmail.com</t>
  </si>
  <si>
    <t>WR25160027</t>
  </si>
  <si>
    <t>MUHAMMAD AIZAD BIN ASMI</t>
  </si>
  <si>
    <t>930702086103</t>
  </si>
  <si>
    <t>stylomacho93@gmail.com</t>
  </si>
  <si>
    <t>WR25160028</t>
  </si>
  <si>
    <t>MUHAMMAD AMIN BIN AZMI</t>
  </si>
  <si>
    <t>030812020371</t>
  </si>
  <si>
    <t>aminpde6@gmail.com</t>
  </si>
  <si>
    <t>WR25160029</t>
  </si>
  <si>
    <t>MUHAMMAD AMIRUL BIN IBRAHIM</t>
  </si>
  <si>
    <t>021212020381</t>
  </si>
  <si>
    <t>WR25160030</t>
  </si>
  <si>
    <t>MUHAMMAD ASYRAF BIN MANSOR</t>
  </si>
  <si>
    <t>960726025505</t>
  </si>
  <si>
    <t>Asyraf965505@gmail.com</t>
  </si>
  <si>
    <t>WR25160031</t>
  </si>
  <si>
    <t>MUHAMMAD AZRAF BIN ZULKEFLI</t>
  </si>
  <si>
    <t>040801080255</t>
  </si>
  <si>
    <t>WR25160032</t>
  </si>
  <si>
    <t>MUHAMMAD FAKHRUR RAZI BIN HASWIRA</t>
  </si>
  <si>
    <t>980111085227</t>
  </si>
  <si>
    <t>Umiepapa3@gmail.com</t>
  </si>
  <si>
    <t>WR25160033</t>
  </si>
  <si>
    <t>MUHAMMAD FIRDAUS BIN ABD RASHID</t>
  </si>
  <si>
    <t>021117080159</t>
  </si>
  <si>
    <t>firdausrashid.spa9@gmail.com</t>
  </si>
  <si>
    <t>WR25160034</t>
  </si>
  <si>
    <t>MUHAMMAD HAIRIE NAIM BIN ABDUL ZAMAN</t>
  </si>
  <si>
    <t>020805080649</t>
  </si>
  <si>
    <t>WR25160035</t>
  </si>
  <si>
    <t>MUHAMMAD HIZAT BIN JEEFRI</t>
  </si>
  <si>
    <t>050810020659</t>
  </si>
  <si>
    <t>mohamadhizat0659@gmail.com</t>
  </si>
  <si>
    <t>WR25160036</t>
  </si>
  <si>
    <t>MUHAMMAD IKRAM BIN SHAMSUL</t>
  </si>
  <si>
    <t>010706080487</t>
  </si>
  <si>
    <t>halily.hl77@gmail.com</t>
  </si>
  <si>
    <t>WR25160037</t>
  </si>
  <si>
    <t>MUHAMMAD NAZRUL HAKIMI BIN ROSLEE</t>
  </si>
  <si>
    <t>030825080955</t>
  </si>
  <si>
    <t>WR25160039</t>
  </si>
  <si>
    <t>MUHAMMAD SYAFIRUL SYAHMI BIN KAMARULZAMAN</t>
  </si>
  <si>
    <t>020716080789</t>
  </si>
  <si>
    <t>Syafirulsyahmi362@gmail.com</t>
  </si>
  <si>
    <t>WR25160040</t>
  </si>
  <si>
    <t>MUHAMMAD SYAHMI IQBAL BIN SUHALI</t>
  </si>
  <si>
    <t>040420080155</t>
  </si>
  <si>
    <t>ebalpjn@gmail.com</t>
  </si>
  <si>
    <t>WR25160042</t>
  </si>
  <si>
    <t>NORFARAHIN BINTI SEBANI</t>
  </si>
  <si>
    <t>960826106134</t>
  </si>
  <si>
    <t>faratia08@gmail.com</t>
  </si>
  <si>
    <t>WR25160043</t>
  </si>
  <si>
    <t>NUR AISYAH BINTI MOHD SHUKORI</t>
  </si>
  <si>
    <t>990214086846</t>
  </si>
  <si>
    <t>aisyahisya142@gmail.com</t>
  </si>
  <si>
    <t>WR25160044</t>
  </si>
  <si>
    <t>NUR QAMARINA BINTI KAMESSAN</t>
  </si>
  <si>
    <t>050525070454</t>
  </si>
  <si>
    <t>WR25160045</t>
  </si>
  <si>
    <t>NUR SYAKQIRA NAZIFA BINTI AMRAN</t>
  </si>
  <si>
    <t>990110035956</t>
  </si>
  <si>
    <t>nsyakqira@gmail.com</t>
  </si>
  <si>
    <t>WR25160046</t>
  </si>
  <si>
    <t>NURUL AIN NAJWA BINTI ABDUL LATIF</t>
  </si>
  <si>
    <t>061019080282</t>
  </si>
  <si>
    <t>latifnajwa27@gmail.com</t>
  </si>
  <si>
    <t>WR25160047</t>
  </si>
  <si>
    <t>NURUL ATIKAH BINTI MOHD HELMI @ SALMI</t>
  </si>
  <si>
    <t>961203085976</t>
  </si>
  <si>
    <t>atikahhelmi12@gmail.com</t>
  </si>
  <si>
    <t>WR25160049</t>
  </si>
  <si>
    <t>SHAMINI A/P MUTHU KUMARAN</t>
  </si>
  <si>
    <t>950802075506</t>
  </si>
  <si>
    <t>mshamini872@gmail.com</t>
  </si>
  <si>
    <t>WR25160050</t>
  </si>
  <si>
    <t>SITI NOR AIDA BINTI MD YATIN</t>
  </si>
  <si>
    <t>050517081188</t>
  </si>
  <si>
    <t>aydarahim437@gmail.com</t>
  </si>
  <si>
    <t>WR25160051</t>
  </si>
  <si>
    <t>WAN MUHAMAD ALAUDDIN BIN WAN ISMADI</t>
  </si>
  <si>
    <t>960629075711</t>
  </si>
  <si>
    <t>wanmuhamad9606@gmail.com</t>
  </si>
  <si>
    <t>TBM TOPIC</t>
  </si>
  <si>
    <t>Department</t>
  </si>
  <si>
    <t>Shift</t>
  </si>
  <si>
    <t>Chemical Handling</t>
  </si>
  <si>
    <t>Safety Ladder</t>
  </si>
  <si>
    <t>Eyes Safety</t>
  </si>
  <si>
    <t>Emergency Shower &amp; Eyewash</t>
  </si>
  <si>
    <t>LOTO</t>
  </si>
  <si>
    <t>Slip Trip and Fall</t>
  </si>
  <si>
    <t>Follow SOP</t>
  </si>
  <si>
    <t>Hearing Conversation</t>
  </si>
  <si>
    <t>Chemical hazard sign</t>
  </si>
  <si>
    <t xml:space="preserve">Machine Safety </t>
  </si>
  <si>
    <t>Safe use of tools and equipment</t>
  </si>
  <si>
    <t>Emergency spill response</t>
  </si>
  <si>
    <t>Importance of housekeeping</t>
  </si>
  <si>
    <t>Fire Safety</t>
  </si>
  <si>
    <t>Ergonomic</t>
  </si>
  <si>
    <t>Total Headcount by gender</t>
  </si>
  <si>
    <t>Row Labels</t>
  </si>
  <si>
    <t>Count of Employee No.</t>
  </si>
  <si>
    <t>Grand Total</t>
  </si>
  <si>
    <t>Total Headcount by shift</t>
  </si>
  <si>
    <t>SHIFT A</t>
  </si>
  <si>
    <t>SHIFT B</t>
  </si>
  <si>
    <t>SHIFT C</t>
  </si>
  <si>
    <t>SHIFT E</t>
  </si>
  <si>
    <t>SHIFT O</t>
  </si>
  <si>
    <t>Training Attendees by Topic</t>
  </si>
  <si>
    <t>Count of Chemical Handling</t>
  </si>
  <si>
    <t>(blank)</t>
  </si>
  <si>
    <t>Count of Safety Ladder</t>
  </si>
  <si>
    <t>Count of Eyes Safety</t>
  </si>
  <si>
    <t>Count of Emergency Shower &amp; Eyewash</t>
  </si>
  <si>
    <t>Count of LOTO</t>
  </si>
  <si>
    <t>Count of Slip Trip and Fall</t>
  </si>
  <si>
    <t>Count of Follow SOP</t>
  </si>
  <si>
    <t>Count of Hearing Conversation</t>
  </si>
  <si>
    <t>Count of Chemical hazard sign</t>
  </si>
  <si>
    <t xml:space="preserve">Count of Machine Safety </t>
  </si>
  <si>
    <t>Count of Safe use of tools and equipment</t>
  </si>
  <si>
    <t>Count of Emergency spill response</t>
  </si>
  <si>
    <t>Count of Importance of housekeeping</t>
  </si>
  <si>
    <t>Count of Fire Safety</t>
  </si>
  <si>
    <t>Count of Ergonomic</t>
  </si>
  <si>
    <t>% Training Attendence by Topic</t>
  </si>
  <si>
    <t>Topic</t>
  </si>
  <si>
    <t>Attendance</t>
  </si>
  <si>
    <t>Total Employee</t>
  </si>
  <si>
    <t>% of attendees</t>
  </si>
  <si>
    <t>% of absentees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</si>
</sst>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d\-mmm\-yyyy"/>
  </numFmts>
  <fonts count="11">
    <font>
      <sz val="11"/>
      <name val="Calibri"/>
    </font>
    <font>
      <b/>
      <sz val="11"/>
      <name val="Calibri"/>
      <family val="2"/>
    </font>
    <font>
      <sz val="11"/>
      <name val="Calibri"/>
      <family val="2"/>
    </font>
    <font>
      <sz val="11"/>
      <color theme="0"/>
      <name val="Calibri"/>
      <family val="2"/>
    </font>
    <font>
      <sz val="8"/>
      <name val="BatangChe"/>
      <family val="3"/>
      <charset val="129"/>
    </font>
    <font>
      <sz val="11"/>
      <color theme="0"/>
      <name val="Calibri"/>
      <family val="2"/>
    </font>
    <font>
      <sz val="12"/>
      <name val="Calibri"/>
      <family val="2"/>
    </font>
    <font>
      <b/>
      <sz val="18"/>
      <name val="Calibri"/>
      <family val="2"/>
    </font>
    <font>
      <b/>
      <sz val="12"/>
      <color theme="0"/>
      <name val="Calibri"/>
      <family val="2"/>
    </font>
    <font>
      <sz val="11"/>
      <color theme="1"/>
      <name val="Calibri"/>
      <family val="2"/>
    </font>
    <font>
      <b/>
      <u/>
      <sz val="11"/>
      <name val="Calibri"/>
      <family val="2"/>
    </font>
  </fonts>
  <fills count="8">
    <fill>
      <patternFill patternType="none"/>
    </fill>
    <fill>
      <patternFill patternType="gray125"/>
    </fill>
    <fill>
      <patternFill patternType="solid">
        <fgColor rgb="FFD7F7F7"/>
      </patternFill>
    </fill>
    <fill>
      <patternFill patternType="solid">
        <fgColor rgb="FFD7F7F7"/>
        <bgColor indexed="64"/>
      </patternFill>
    </fill>
    <fill>
      <patternFill patternType="solid">
        <fgColor rgb="FFFFFF00"/>
        <bgColor indexed="64"/>
      </patternFill>
    </fill>
    <fill>
      <patternFill patternType="solid">
        <fgColor theme="1"/>
        <bgColor theme="1"/>
      </patternFill>
    </fill>
    <fill>
      <patternFill patternType="solid">
        <fgColor theme="7" tint="0.59999389629810485"/>
        <bgColor indexed="64"/>
      </patternFill>
    </fill>
    <fill>
      <patternFill patternType="solid">
        <fgColor theme="4" tint="0.59999389629810485"/>
        <bgColor indexed="64"/>
      </patternFill>
    </fill>
  </fills>
  <borders count="8">
    <border>
      <left/>
      <right/>
      <top/>
      <bottom/>
      <diagonal/>
    </border>
    <border>
      <left style="thin">
        <color rgb="FFDDDDDD"/>
      </left>
      <right style="thin">
        <color rgb="FFDDDDDD"/>
      </right>
      <top style="thin">
        <color rgb="FFDDDDDD"/>
      </top>
      <bottom style="thin">
        <color rgb="FFDDDDDD"/>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DDDDDD"/>
      </left>
      <right/>
      <top style="thin">
        <color rgb="FFDDDDDD"/>
      </top>
      <bottom style="thin">
        <color rgb="FFDDDDDD"/>
      </bottom>
      <diagonal/>
    </border>
    <border>
      <left/>
      <right/>
      <top/>
      <bottom style="thin">
        <color rgb="FF000000"/>
      </bottom>
      <diagonal/>
    </border>
    <border>
      <left/>
      <right/>
      <top style="thin">
        <color theme="1"/>
      </top>
      <bottom/>
      <diagonal/>
    </border>
    <border>
      <left/>
      <right/>
      <top style="thin">
        <color theme="1"/>
      </top>
      <bottom style="thin">
        <color theme="1"/>
      </bottom>
      <diagonal/>
    </border>
  </borders>
  <cellStyleXfs count="1">
    <xf numFmtId="0" fontId="0" fillId="0" borderId="0"/>
  </cellStyleXfs>
  <cellXfs count="42">
    <xf numFmtId="0" fontId="0" fillId="0" borderId="0" xfId="0"/>
    <xf numFmtId="0" fontId="1" fillId="0" borderId="0" xfId="0" applyFont="1" applyAlignment="1">
      <alignment horizontal="center"/>
    </xf>
    <xf numFmtId="0" fontId="1" fillId="3" borderId="0" xfId="0" applyFont="1" applyFill="1" applyAlignment="1">
      <alignment horizontal="center" vertical="center"/>
    </xf>
    <xf numFmtId="0" fontId="0" fillId="0" borderId="0" xfId="0" applyAlignment="1">
      <alignment horizontal="center" vertical="center"/>
    </xf>
    <xf numFmtId="0" fontId="0" fillId="0" borderId="2" xfId="0" applyBorder="1"/>
    <xf numFmtId="0" fontId="0" fillId="0" borderId="0" xfId="0" pivotButton="1"/>
    <xf numFmtId="0" fontId="0" fillId="0" borderId="0" xfId="0" applyAlignment="1">
      <alignment horizontal="left"/>
    </xf>
    <xf numFmtId="0" fontId="0" fillId="4" borderId="0" xfId="0" applyFill="1"/>
    <xf numFmtId="0" fontId="3" fillId="0" borderId="0" xfId="0" applyFont="1"/>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5" fillId="0" borderId="0" xfId="0" applyFont="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5" fillId="0" borderId="0" xfId="0" applyFont="1" applyAlignment="1">
      <alignment vertical="center"/>
    </xf>
    <xf numFmtId="176" fontId="0" fillId="0" borderId="1" xfId="0" applyNumberFormat="1" applyBorder="1" applyAlignment="1">
      <alignment horizontal="center" vertical="center" wrapText="1"/>
    </xf>
    <xf numFmtId="0" fontId="1" fillId="2" borderId="4"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xf numFmtId="2" fontId="0" fillId="0" borderId="2" xfId="0" applyNumberFormat="1" applyBorder="1"/>
    <xf numFmtId="0" fontId="9" fillId="0" borderId="6" xfId="0" applyFont="1" applyBorder="1"/>
    <xf numFmtId="0" fontId="9" fillId="0" borderId="7" xfId="0" applyFont="1" applyBorder="1"/>
    <xf numFmtId="0" fontId="8" fillId="5" borderId="0" xfId="0" applyFont="1" applyFill="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3" fillId="0" borderId="1" xfId="0" applyFont="1" applyBorder="1" applyAlignment="1">
      <alignment horizontal="center" vertical="center" wrapText="1"/>
    </xf>
    <xf numFmtId="4" fontId="3" fillId="0" borderId="1" xfId="0" applyNumberFormat="1" applyFont="1" applyBorder="1" applyAlignment="1">
      <alignment horizontal="center" vertical="center" wrapText="1"/>
    </xf>
    <xf numFmtId="0" fontId="0" fillId="4" borderId="1" xfId="0" applyFill="1" applyBorder="1" applyAlignment="1">
      <alignment horizontal="center" vertical="center" wrapText="1"/>
    </xf>
    <xf numFmtId="0" fontId="0" fillId="0" borderId="5" xfId="0" applyBorder="1"/>
    <xf numFmtId="0" fontId="9" fillId="0" borderId="0" xfId="0" applyFont="1"/>
    <xf numFmtId="0" fontId="1" fillId="4" borderId="3" xfId="0" applyFont="1" applyFill="1" applyBorder="1"/>
    <xf numFmtId="0" fontId="10" fillId="4" borderId="0" xfId="0" applyFont="1" applyFill="1"/>
    <xf numFmtId="0" fontId="0" fillId="0" borderId="2" xfId="0" applyBorder="1" applyAlignment="1">
      <alignment horizontal="center"/>
    </xf>
    <xf numFmtId="0" fontId="1" fillId="7" borderId="2" xfId="0" applyFont="1" applyFill="1" applyBorder="1" applyAlignment="1">
      <alignment horizontal="center"/>
    </xf>
    <xf numFmtId="2" fontId="2" fillId="0" borderId="2" xfId="0" applyNumberFormat="1" applyFont="1" applyBorder="1"/>
    <xf numFmtId="0" fontId="3" fillId="0" borderId="0" xfId="0" applyFont="1" applyAlignment="1">
      <alignment vertical="center"/>
    </xf>
    <xf numFmtId="0" fontId="3" fillId="0" borderId="0" xfId="0" applyFont="1" applyAlignment="1">
      <alignment horizontal="center" vertical="center"/>
    </xf>
    <xf numFmtId="0" fontId="1" fillId="0" borderId="0" xfId="0" applyFont="1" applyAlignment="1">
      <alignment vertical="top" wrapText="1"/>
    </xf>
    <xf numFmtId="0" fontId="0" fillId="0" borderId="0" xfId="0" applyAlignment="1">
      <alignment vertical="top" wrapText="1"/>
    </xf>
    <xf numFmtId="0" fontId="7" fillId="6" borderId="0" xfId="0" applyFont="1" applyFill="1" applyAlignment="1">
      <alignment horizontal="center" vertical="center"/>
    </xf>
  </cellXfs>
  <cellStyles count="1">
    <cellStyle name="Normal" xfId="0" builtinId="0"/>
  </cellStyles>
  <dxfs count="5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2"/>
        <color auto="1"/>
        <name val="Calibri"/>
        <scheme val="none"/>
      </font>
      <alignment horizontal="center" vertical="center" textRotation="0" wrapText="1"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border diagonalUp="0" diagonalDown="0">
        <left/>
        <right/>
        <top style="thin">
          <color theme="1"/>
        </top>
        <bottom/>
        <vertical/>
        <horizontal/>
      </border>
    </dxf>
    <dxf>
      <border outline="0">
        <top style="thin">
          <color theme="1"/>
        </top>
      </border>
    </dxf>
    <dxf>
      <alignment vertical="center" textRotation="0" wrapText="1" indent="0" justifyLastLine="0" shrinkToFit="0" readingOrder="0"/>
    </dxf>
    <dxf>
      <numFmt numFmtId="176" formatCode="dd\-mmm\-yyyy"/>
      <alignment horizontal="center" vertical="center" textRotation="0" wrapText="1" indent="0" justifyLastLine="0" shrinkToFit="0" readingOrder="0"/>
      <border diagonalUp="0" diagonalDown="0">
        <left style="thin">
          <color rgb="FFDDDDDD"/>
        </left>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numFmt numFmtId="4" formatCode="#,##0.00"/>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numFmt numFmtId="176" formatCode="dd\-mmm\-yyyy"/>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font>
        <b val="0"/>
        <i val="0"/>
        <strike val="0"/>
        <condense val="0"/>
        <extend val="0"/>
        <outline val="0"/>
        <shadow val="0"/>
        <u val="none"/>
        <vertAlign val="baseline"/>
        <sz val="11"/>
        <color theme="0"/>
        <name val="Calibri"/>
        <scheme val="none"/>
      </font>
      <alignment horizontal="general"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general" vertical="center" textRotation="0" wrapText="1" indent="0" justifyLastLine="0" shrinkToFit="0" readingOrder="0"/>
      <border diagonalUp="0" diagonalDown="0">
        <left style="thin">
          <color rgb="FFDDDDDD"/>
        </left>
        <right style="thin">
          <color rgb="FFDDDDDD"/>
        </right>
        <top style="thin">
          <color rgb="FFDDDDDD"/>
        </top>
        <bottom style="thin">
          <color rgb="FFDDDDDD"/>
        </bottom>
        <vertical/>
        <horizontal/>
      </border>
    </dxf>
    <dxf>
      <alignment horizontal="center" vertical="center" textRotation="0" wrapText="0" indent="0" justifyLastLine="0" shrinkToFit="0" readingOrder="0"/>
    </dxf>
    <dxf>
      <border outline="0">
        <right style="thin">
          <color rgb="FFDDDDDD"/>
        </right>
      </border>
    </dxf>
    <dxf>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indexed="64"/>
          <bgColor rgb="FFD7F7F7"/>
        </patternFill>
      </fill>
      <alignment horizontal="center" vertical="center" textRotation="0" wrapText="0" indent="0" justifyLastLine="0" shrinkToFit="0" readingOrder="0"/>
      <border diagonalUp="0" diagonalDown="0" outline="0">
        <left style="thin">
          <color rgb="FFDDDDDD"/>
        </left>
        <right style="thin">
          <color rgb="FFDDDDDD"/>
        </right>
        <top/>
        <bottom/>
      </border>
    </dxf>
  </dxfs>
  <tableStyles count="0" defaultTableStyle="TableStyleMedium2" defaultPivotStyle="PivotStyleLight16"/>
  <colors>
    <mruColors>
      <color rgb="FFEF3F97"/>
      <color rgb="FFCF5FA4"/>
      <color rgb="FF0B5C6F"/>
      <color rgb="FFD441ED"/>
      <color rgb="FFB2F4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[EMPMASTER Safety Training Analysis_Data Generate on 7 May.xlsx]Data Analysis!PivotTable1</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Employee</a:t>
            </a:r>
            <a:endParaRPr lang="en-US" sz="1600" b="1">
              <a:solidFill>
                <a:sysClr val="windowText" lastClr="000000"/>
              </a:solidFill>
            </a:endParaRPr>
          </a:p>
        </c:rich>
      </c:tx>
      <c:layout>
        <c:manualLayout>
          <c:xMode val="edge"/>
          <c:yMode val="edge"/>
          <c:x val="0.35773209126817779"/>
          <c:y val="0.1355648892866970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tx1"/>
            </a:solidFill>
          </a:ln>
          <a:effectLst/>
        </c:spPr>
      </c:pivotFmt>
      <c:pivotFmt>
        <c:idx val="6"/>
        <c:spPr>
          <a:solidFill>
            <a:srgbClr val="EF3F97"/>
          </a:solidFill>
          <a:ln w="19050">
            <a:solidFill>
              <a:schemeClr val="tx1"/>
            </a:solidFill>
          </a:ln>
          <a:effectLst/>
        </c:spPr>
      </c:pivotFmt>
    </c:pivotFmts>
    <c:plotArea>
      <c:layout/>
      <c:doughnutChart>
        <c:varyColors val="1"/>
        <c:ser>
          <c:idx val="0"/>
          <c:order val="0"/>
          <c:tx>
            <c:strRef>
              <c:f>'Data Analysis'!$B$3</c:f>
              <c:strCache>
                <c:ptCount val="1"/>
                <c:pt idx="0">
                  <c:v>Total</c:v>
                </c:pt>
              </c:strCache>
            </c:strRef>
          </c:tx>
          <c:dPt>
            <c:idx val="0"/>
            <c:bubble3D val="0"/>
            <c:spPr>
              <a:solidFill>
                <a:schemeClr val="accent1"/>
              </a:solidFill>
              <a:ln w="19050">
                <a:solidFill>
                  <a:schemeClr val="tx1"/>
                </a:solidFill>
              </a:ln>
              <a:effectLst/>
            </c:spPr>
            <c:extLst>
              <c:ext xmlns:c16="http://schemas.microsoft.com/office/drawing/2014/chart" uri="{C3380CC4-5D6E-409C-BE32-E72D297353CC}">
                <c16:uniqueId val="{00000001-6F4B-45A7-A50E-61EA052CFE9D}"/>
              </c:ext>
            </c:extLst>
          </c:dPt>
          <c:dPt>
            <c:idx val="1"/>
            <c:bubble3D val="0"/>
            <c:spPr>
              <a:solidFill>
                <a:srgbClr val="EF3F97"/>
              </a:solidFill>
              <a:ln w="19050">
                <a:solidFill>
                  <a:schemeClr val="tx1"/>
                </a:solidFill>
              </a:ln>
              <a:effectLst/>
            </c:spPr>
            <c:extLst>
              <c:ext xmlns:c16="http://schemas.microsoft.com/office/drawing/2014/chart" uri="{C3380CC4-5D6E-409C-BE32-E72D297353CC}">
                <c16:uniqueId val="{00000003-6F4B-45A7-A50E-61EA052CFE9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Analysis'!$A$4:$A$6</c:f>
              <c:strCache>
                <c:ptCount val="2"/>
                <c:pt idx="0">
                  <c:v>F</c:v>
                </c:pt>
                <c:pt idx="1">
                  <c:v>M</c:v>
                </c:pt>
              </c:strCache>
            </c:strRef>
          </c:cat>
          <c:val>
            <c:numRef>
              <c:f>'Data Analysis'!$B$4:$B$6</c:f>
              <c:numCache>
                <c:formatCode>General</c:formatCode>
                <c:ptCount val="2"/>
                <c:pt idx="0">
                  <c:v>365</c:v>
                </c:pt>
                <c:pt idx="1">
                  <c:v>690</c:v>
                </c:pt>
              </c:numCache>
            </c:numRef>
          </c:val>
          <c:extLst>
            <c:ext xmlns:c16="http://schemas.microsoft.com/office/drawing/2014/chart" uri="{C3380CC4-5D6E-409C-BE32-E72D297353CC}">
              <c16:uniqueId val="{00000004-6F4B-45A7-A50E-61EA052CFE9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Analysis'!$D$216</c:f>
              <c:strCache>
                <c:ptCount val="1"/>
                <c:pt idx="0">
                  <c:v>% of attendees</c:v>
                </c:pt>
              </c:strCache>
            </c:strRef>
          </c:tx>
          <c:spPr>
            <a:solidFill>
              <a:srgbClr val="EF3F97"/>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Analysis'!$A$217:$A$231</c:f>
              <c:strCache>
                <c:ptCount val="15"/>
                <c:pt idx="0">
                  <c:v>Chemical Handling</c:v>
                </c:pt>
                <c:pt idx="1">
                  <c:v>Safety Ladder</c:v>
                </c:pt>
                <c:pt idx="2">
                  <c:v>Eyes Safety</c:v>
                </c:pt>
                <c:pt idx="3">
                  <c:v>Emergency Shower &amp; Eyewash</c:v>
                </c:pt>
                <c:pt idx="4">
                  <c:v>LOTO</c:v>
                </c:pt>
                <c:pt idx="5">
                  <c:v>Slip 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Analysis'!$D$217:$D$231</c:f>
              <c:numCache>
                <c:formatCode>0.00</c:formatCode>
                <c:ptCount val="15"/>
                <c:pt idx="0">
                  <c:v>80</c:v>
                </c:pt>
                <c:pt idx="1">
                  <c:v>89.573459715639814</c:v>
                </c:pt>
                <c:pt idx="2">
                  <c:v>89.952606635071092</c:v>
                </c:pt>
                <c:pt idx="3">
                  <c:v>88.246445497630333</c:v>
                </c:pt>
                <c:pt idx="4">
                  <c:v>89.76303317535546</c:v>
                </c:pt>
                <c:pt idx="5">
                  <c:v>84.739336492890999</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F7E-4D96-9758-8AC2C922A7B4}"/>
            </c:ext>
          </c:extLst>
        </c:ser>
        <c:dLbls>
          <c:showLegendKey val="0"/>
          <c:showVal val="0"/>
          <c:showCatName val="0"/>
          <c:showSerName val="0"/>
          <c:showPercent val="0"/>
          <c:showBubbleSize val="0"/>
        </c:dLbls>
        <c:gapWidth val="61"/>
        <c:axId val="566350656"/>
        <c:axId val="566351616"/>
      </c:barChart>
      <c:catAx>
        <c:axId val="566350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566351616"/>
        <c:crosses val="autoZero"/>
        <c:auto val="1"/>
        <c:lblAlgn val="ctr"/>
        <c:lblOffset val="100"/>
        <c:noMultiLvlLbl val="0"/>
      </c:catAx>
      <c:valAx>
        <c:axId val="5663516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66350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Analysis'!$E$216</c:f>
              <c:strCache>
                <c:ptCount val="1"/>
                <c:pt idx="0">
                  <c:v>% of absentees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Analysis'!$A$217:$A$231</c:f>
              <c:strCache>
                <c:ptCount val="15"/>
                <c:pt idx="0">
                  <c:v>Chemical Handling</c:v>
                </c:pt>
                <c:pt idx="1">
                  <c:v>Safety Ladder</c:v>
                </c:pt>
                <c:pt idx="2">
                  <c:v>Eyes Safety</c:v>
                </c:pt>
                <c:pt idx="3">
                  <c:v>Emergency Shower &amp; Eyewash</c:v>
                </c:pt>
                <c:pt idx="4">
                  <c:v>LOTO</c:v>
                </c:pt>
                <c:pt idx="5">
                  <c:v>Slip 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Analysis'!$E$217:$E$231</c:f>
              <c:numCache>
                <c:formatCode>0.00</c:formatCode>
                <c:ptCount val="15"/>
                <c:pt idx="0">
                  <c:v>20</c:v>
                </c:pt>
                <c:pt idx="1">
                  <c:v>10.426540284360186</c:v>
                </c:pt>
                <c:pt idx="2">
                  <c:v>10.047393364928908</c:v>
                </c:pt>
                <c:pt idx="3">
                  <c:v>11.753554502369667</c:v>
                </c:pt>
                <c:pt idx="4">
                  <c:v>10.23696682464454</c:v>
                </c:pt>
                <c:pt idx="5">
                  <c:v>15.260663507109001</c:v>
                </c:pt>
              </c:numCache>
            </c:numRef>
          </c:val>
          <c:extLst>
            <c:ext xmlns:c16="http://schemas.microsoft.com/office/drawing/2014/chart" uri="{C3380CC4-5D6E-409C-BE32-E72D297353CC}">
              <c16:uniqueId val="{00000000-C67E-408A-98D3-B191E4CE897C}"/>
            </c:ext>
          </c:extLst>
        </c:ser>
        <c:dLbls>
          <c:showLegendKey val="0"/>
          <c:showVal val="0"/>
          <c:showCatName val="0"/>
          <c:showSerName val="0"/>
          <c:showPercent val="0"/>
          <c:showBubbleSize val="0"/>
        </c:dLbls>
        <c:gapWidth val="61"/>
        <c:axId val="566350656"/>
        <c:axId val="566351616"/>
      </c:barChart>
      <c:catAx>
        <c:axId val="56635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solidFill>
                <a:latin typeface="+mn-lt"/>
                <a:ea typeface="+mn-ea"/>
                <a:cs typeface="+mn-cs"/>
              </a:defRPr>
            </a:pPr>
            <a:endParaRPr lang="en-US"/>
          </a:p>
        </c:txPr>
        <c:crossAx val="566351616"/>
        <c:crosses val="autoZero"/>
        <c:auto val="1"/>
        <c:lblAlgn val="ctr"/>
        <c:lblOffset val="100"/>
        <c:noMultiLvlLbl val="0"/>
      </c:catAx>
      <c:valAx>
        <c:axId val="5663516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66350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[EMPMASTER Safety Training Analysis_Data Generate on 7 May.xlsx]Data Analysis!PivotTable1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Employee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'Data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2E-4400-839B-C8243B9D30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2E-4400-839B-C8243B9D300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Analysis'!$A$4:$A$6</c:f>
              <c:strCache>
                <c:ptCount val="2"/>
                <c:pt idx="0">
                  <c:v>F</c:v>
                </c:pt>
                <c:pt idx="1">
                  <c:v>M</c:v>
                </c:pt>
              </c:strCache>
            </c:strRef>
          </c:cat>
          <c:val>
            <c:numRef>
              <c:f>'Data Analysis'!$B$4:$B$6</c:f>
              <c:numCache>
                <c:formatCode>General</c:formatCode>
                <c:ptCount val="2"/>
                <c:pt idx="0">
                  <c:v>365</c:v>
                </c:pt>
                <c:pt idx="1">
                  <c:v>690</c:v>
                </c:pt>
              </c:numCache>
            </c:numRef>
          </c:val>
          <c:extLst>
            <c:ext xmlns:c16="http://schemas.microsoft.com/office/drawing/2014/chart" uri="{C3380CC4-5D6E-409C-BE32-E72D297353CC}">
              <c16:uniqueId val="{00000000-1D23-471D-ABFD-2E365529A22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Attendees by Topic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Analysis'!$D$216</c:f>
              <c:strCache>
                <c:ptCount val="1"/>
                <c:pt idx="0">
                  <c:v>% of attendees</c:v>
                </c:pt>
              </c:strCache>
            </c:strRef>
          </c:tx>
          <c:spPr>
            <a:solidFill>
              <a:schemeClr val="accent1"/>
            </a:solidFill>
            <a:ln>
              <a:noFill/>
            </a:ln>
            <a:effectLst/>
          </c:spPr>
          <c:invertIfNegative val="0"/>
          <c:cat>
            <c:strRef>
              <c:f>'Data Analysis'!$A$217:$A$231</c:f>
              <c:strCache>
                <c:ptCount val="15"/>
                <c:pt idx="0">
                  <c:v>Chemical Handling</c:v>
                </c:pt>
                <c:pt idx="1">
                  <c:v>Safety Ladder</c:v>
                </c:pt>
                <c:pt idx="2">
                  <c:v>Eyes Safety</c:v>
                </c:pt>
                <c:pt idx="3">
                  <c:v>Emergency Shower &amp; Eyewash</c:v>
                </c:pt>
                <c:pt idx="4">
                  <c:v>LOTO</c:v>
                </c:pt>
                <c:pt idx="5">
                  <c:v>Slip 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Analysis'!$D$217:$D$231</c:f>
              <c:numCache>
                <c:formatCode>0.00</c:formatCode>
                <c:ptCount val="15"/>
                <c:pt idx="0">
                  <c:v>80</c:v>
                </c:pt>
                <c:pt idx="1">
                  <c:v>89.573459715639814</c:v>
                </c:pt>
                <c:pt idx="2">
                  <c:v>89.952606635071092</c:v>
                </c:pt>
                <c:pt idx="3">
                  <c:v>88.246445497630333</c:v>
                </c:pt>
                <c:pt idx="4">
                  <c:v>89.76303317535546</c:v>
                </c:pt>
                <c:pt idx="5">
                  <c:v>84.739336492890999</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964-4CD0-AD2C-B9CFCDC5933B}"/>
            </c:ext>
          </c:extLst>
        </c:ser>
        <c:dLbls>
          <c:showLegendKey val="0"/>
          <c:showVal val="0"/>
          <c:showCatName val="0"/>
          <c:showSerName val="0"/>
          <c:showPercent val="0"/>
          <c:showBubbleSize val="0"/>
        </c:dLbls>
        <c:gapWidth val="182"/>
        <c:axId val="566350656"/>
        <c:axId val="566351616"/>
      </c:barChart>
      <c:catAx>
        <c:axId val="56635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51616"/>
        <c:crosses val="autoZero"/>
        <c:auto val="1"/>
        <c:lblAlgn val="ctr"/>
        <c:lblOffset val="100"/>
        <c:noMultiLvlLbl val="0"/>
      </c:catAx>
      <c:valAx>
        <c:axId val="5663516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5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Absentees by Topic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Analysis'!$E$216</c:f>
              <c:strCache>
                <c:ptCount val="1"/>
                <c:pt idx="0">
                  <c:v>% of absentees</c:v>
                </c:pt>
              </c:strCache>
            </c:strRef>
          </c:tx>
          <c:spPr>
            <a:solidFill>
              <a:schemeClr val="accent1"/>
            </a:solidFill>
            <a:ln>
              <a:noFill/>
            </a:ln>
            <a:effectLst/>
          </c:spPr>
          <c:invertIfNegative val="0"/>
          <c:cat>
            <c:strRef>
              <c:f>'Data Analysis'!$A$217:$A$231</c:f>
              <c:strCache>
                <c:ptCount val="15"/>
                <c:pt idx="0">
                  <c:v>Chemical Handling</c:v>
                </c:pt>
                <c:pt idx="1">
                  <c:v>Safety Ladder</c:v>
                </c:pt>
                <c:pt idx="2">
                  <c:v>Eyes Safety</c:v>
                </c:pt>
                <c:pt idx="3">
                  <c:v>Emergency Shower &amp; Eyewash</c:v>
                </c:pt>
                <c:pt idx="4">
                  <c:v>LOTO</c:v>
                </c:pt>
                <c:pt idx="5">
                  <c:v>Slip Trip and Fall</c:v>
                </c:pt>
                <c:pt idx="6">
                  <c:v>Follow SOP</c:v>
                </c:pt>
                <c:pt idx="7">
                  <c:v>Hearing Conversation</c:v>
                </c:pt>
                <c:pt idx="8">
                  <c:v>Chemical hazard sign</c:v>
                </c:pt>
                <c:pt idx="9">
                  <c:v>Machine Safety </c:v>
                </c:pt>
                <c:pt idx="10">
                  <c:v>Safe use of tools and equipment</c:v>
                </c:pt>
                <c:pt idx="11">
                  <c:v>Emergency spill response</c:v>
                </c:pt>
                <c:pt idx="12">
                  <c:v>Importance of housekeeping</c:v>
                </c:pt>
                <c:pt idx="13">
                  <c:v>Fire Safety</c:v>
                </c:pt>
                <c:pt idx="14">
                  <c:v>Ergonomic</c:v>
                </c:pt>
              </c:strCache>
            </c:strRef>
          </c:cat>
          <c:val>
            <c:numRef>
              <c:f>'Data Analysis'!$E$217:$E$231</c:f>
              <c:numCache>
                <c:formatCode>0.00</c:formatCode>
                <c:ptCount val="15"/>
                <c:pt idx="0">
                  <c:v>20</c:v>
                </c:pt>
                <c:pt idx="1">
                  <c:v>10.426540284360186</c:v>
                </c:pt>
                <c:pt idx="2">
                  <c:v>10.047393364928908</c:v>
                </c:pt>
                <c:pt idx="3">
                  <c:v>11.753554502369667</c:v>
                </c:pt>
                <c:pt idx="4">
                  <c:v>10.23696682464454</c:v>
                </c:pt>
                <c:pt idx="5">
                  <c:v>15.260663507109001</c:v>
                </c:pt>
              </c:numCache>
            </c:numRef>
          </c:val>
          <c:extLst>
            <c:ext xmlns:c16="http://schemas.microsoft.com/office/drawing/2014/chart" uri="{C3380CC4-5D6E-409C-BE32-E72D297353CC}">
              <c16:uniqueId val="{00000000-2F69-4E80-B9BB-B2F55D33A193}"/>
            </c:ext>
          </c:extLst>
        </c:ser>
        <c:dLbls>
          <c:showLegendKey val="0"/>
          <c:showVal val="0"/>
          <c:showCatName val="0"/>
          <c:showSerName val="0"/>
          <c:showPercent val="0"/>
          <c:showBubbleSize val="0"/>
        </c:dLbls>
        <c:gapWidth val="182"/>
        <c:axId val="566350656"/>
        <c:axId val="566351616"/>
      </c:barChart>
      <c:catAx>
        <c:axId val="56635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51616"/>
        <c:crosses val="autoZero"/>
        <c:auto val="1"/>
        <c:lblAlgn val="ctr"/>
        <c:lblOffset val="100"/>
        <c:noMultiLvlLbl val="0"/>
      </c:catAx>
      <c:valAx>
        <c:axId val="5663516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5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83004</xdr:colOff>
      <xdr:row>0</xdr:row>
      <xdr:rowOff>66674</xdr:rowOff>
    </xdr:from>
    <xdr:to>
      <xdr:col>33</xdr:col>
      <xdr:colOff>105832</xdr:colOff>
      <xdr:row>13</xdr:row>
      <xdr:rowOff>7709</xdr:rowOff>
    </xdr:to>
    <xdr:sp macro="" textlink="">
      <xdr:nvSpPr>
        <xdr:cNvPr id="70" name="Rectangle 5">
          <a:extLst>
            <a:ext uri="{FF2B5EF4-FFF2-40B4-BE49-F238E27FC236}">
              <a16:creationId xmlns:a16="http://schemas.microsoft.com/office/drawing/2014/main" id="{D05B0031-75DC-46A2-8F94-BBBC18A6BEBC}"/>
            </a:ext>
          </a:extLst>
        </xdr:cNvPr>
        <xdr:cNvSpPr/>
      </xdr:nvSpPr>
      <xdr:spPr>
        <a:xfrm>
          <a:off x="696837" y="66674"/>
          <a:ext cx="19665495" cy="2279952"/>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clientData/>
  </xdr:twoCellAnchor>
  <xdr:twoCellAnchor editAs="oneCell">
    <xdr:from>
      <xdr:col>3</xdr:col>
      <xdr:colOff>146504</xdr:colOff>
      <xdr:row>6</xdr:row>
      <xdr:rowOff>6804</xdr:rowOff>
    </xdr:from>
    <xdr:to>
      <xdr:col>4</xdr:col>
      <xdr:colOff>207798</xdr:colOff>
      <xdr:row>9</xdr:row>
      <xdr:rowOff>152853</xdr:rowOff>
    </xdr:to>
    <xdr:pic>
      <xdr:nvPicPr>
        <xdr:cNvPr id="3" name="Graphic 2" descr="Gender with solid fill">
          <a:extLst>
            <a:ext uri="{FF2B5EF4-FFF2-40B4-BE49-F238E27FC236}">
              <a16:creationId xmlns:a16="http://schemas.microsoft.com/office/drawing/2014/main" id="{A76766A9-B5CF-4EF2-8CBD-36F2375FCD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56254" y="1149804"/>
          <a:ext cx="664544" cy="717549"/>
        </a:xfrm>
        <a:prstGeom prst="rect">
          <a:avLst/>
        </a:prstGeom>
      </xdr:spPr>
    </xdr:pic>
    <xdr:clientData/>
  </xdr:twoCellAnchor>
  <xdr:twoCellAnchor>
    <xdr:from>
      <xdr:col>6</xdr:col>
      <xdr:colOff>66676</xdr:colOff>
      <xdr:row>2</xdr:row>
      <xdr:rowOff>2</xdr:rowOff>
    </xdr:from>
    <xdr:to>
      <xdr:col>7</xdr:col>
      <xdr:colOff>276226</xdr:colOff>
      <xdr:row>3</xdr:row>
      <xdr:rowOff>76201</xdr:rowOff>
    </xdr:to>
    <xdr:sp macro="" textlink="">
      <xdr:nvSpPr>
        <xdr:cNvPr id="7" name="TextBox 6">
          <a:extLst>
            <a:ext uri="{FF2B5EF4-FFF2-40B4-BE49-F238E27FC236}">
              <a16:creationId xmlns:a16="http://schemas.microsoft.com/office/drawing/2014/main" id="{69E1F14D-AB15-7D92-063A-6B4478CAAA24}"/>
            </a:ext>
          </a:extLst>
        </xdr:cNvPr>
        <xdr:cNvSpPr txBox="1"/>
      </xdr:nvSpPr>
      <xdr:spPr>
        <a:xfrm>
          <a:off x="3686176" y="381002"/>
          <a:ext cx="812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Male</a:t>
          </a:r>
        </a:p>
      </xdr:txBody>
    </xdr:sp>
    <xdr:clientData/>
  </xdr:twoCellAnchor>
  <xdr:twoCellAnchor>
    <xdr:from>
      <xdr:col>6</xdr:col>
      <xdr:colOff>44451</xdr:colOff>
      <xdr:row>7</xdr:row>
      <xdr:rowOff>28577</xdr:rowOff>
    </xdr:from>
    <xdr:to>
      <xdr:col>7</xdr:col>
      <xdr:colOff>254001</xdr:colOff>
      <xdr:row>8</xdr:row>
      <xdr:rowOff>111126</xdr:rowOff>
    </xdr:to>
    <xdr:sp macro="" textlink="">
      <xdr:nvSpPr>
        <xdr:cNvPr id="8" name="TextBox 7">
          <a:extLst>
            <a:ext uri="{FF2B5EF4-FFF2-40B4-BE49-F238E27FC236}">
              <a16:creationId xmlns:a16="http://schemas.microsoft.com/office/drawing/2014/main" id="{61AAB1A1-2512-48BD-806F-3B5D52B4FA8D}"/>
            </a:ext>
          </a:extLst>
        </xdr:cNvPr>
        <xdr:cNvSpPr txBox="1"/>
      </xdr:nvSpPr>
      <xdr:spPr>
        <a:xfrm>
          <a:off x="3663951" y="1362077"/>
          <a:ext cx="812800" cy="273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Female</a:t>
          </a:r>
        </a:p>
      </xdr:txBody>
    </xdr:sp>
    <xdr:clientData/>
  </xdr:twoCellAnchor>
  <xdr:twoCellAnchor>
    <xdr:from>
      <xdr:col>1</xdr:col>
      <xdr:colOff>82551</xdr:colOff>
      <xdr:row>13</xdr:row>
      <xdr:rowOff>73025</xdr:rowOff>
    </xdr:from>
    <xdr:to>
      <xdr:col>6</xdr:col>
      <xdr:colOff>326572</xdr:colOff>
      <xdr:row>56</xdr:row>
      <xdr:rowOff>149679</xdr:rowOff>
    </xdr:to>
    <xdr:grpSp>
      <xdr:nvGrpSpPr>
        <xdr:cNvPr id="15" name="Group 14">
          <a:extLst>
            <a:ext uri="{FF2B5EF4-FFF2-40B4-BE49-F238E27FC236}">
              <a16:creationId xmlns:a16="http://schemas.microsoft.com/office/drawing/2014/main" id="{6EAAA074-3D17-0371-3995-615C1FBC7EA7}"/>
            </a:ext>
          </a:extLst>
        </xdr:cNvPr>
        <xdr:cNvGrpSpPr/>
      </xdr:nvGrpSpPr>
      <xdr:grpSpPr>
        <a:xfrm>
          <a:off x="663576" y="2425700"/>
          <a:ext cx="3292021" cy="7858579"/>
          <a:chOff x="692150" y="2425700"/>
          <a:chExt cx="2613025" cy="5508625"/>
        </a:xfrm>
      </xdr:grpSpPr>
      <xdr:sp macro="" textlink="">
        <xdr:nvSpPr>
          <xdr:cNvPr id="9" name="Rectangle 8">
            <a:extLst>
              <a:ext uri="{FF2B5EF4-FFF2-40B4-BE49-F238E27FC236}">
                <a16:creationId xmlns:a16="http://schemas.microsoft.com/office/drawing/2014/main" id="{D7D46D5D-26AD-4048-8452-CCE725F27FFD}"/>
              </a:ext>
            </a:extLst>
          </xdr:cNvPr>
          <xdr:cNvSpPr/>
        </xdr:nvSpPr>
        <xdr:spPr>
          <a:xfrm>
            <a:off x="692150" y="2438398"/>
            <a:ext cx="2613025" cy="5495927"/>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10" name="Rectangle 9">
            <a:extLst>
              <a:ext uri="{FF2B5EF4-FFF2-40B4-BE49-F238E27FC236}">
                <a16:creationId xmlns:a16="http://schemas.microsoft.com/office/drawing/2014/main" id="{1E7B8FE8-4259-4F9F-9B4C-3D2E737B3990}"/>
              </a:ext>
            </a:extLst>
          </xdr:cNvPr>
          <xdr:cNvSpPr/>
        </xdr:nvSpPr>
        <xdr:spPr>
          <a:xfrm>
            <a:off x="692150" y="2425700"/>
            <a:ext cx="2613025" cy="250082"/>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400" b="1">
                <a:solidFill>
                  <a:schemeClr val="bg1"/>
                </a:solidFill>
              </a:rPr>
              <a:t>Filter</a:t>
            </a:r>
            <a:r>
              <a:rPr lang="en-MY" sz="1400" b="1" baseline="0">
                <a:solidFill>
                  <a:schemeClr val="bg1"/>
                </a:solidFill>
              </a:rPr>
              <a:t> By:</a:t>
            </a:r>
            <a:endParaRPr lang="en-MY" sz="1400" b="1">
              <a:solidFill>
                <a:schemeClr val="bg1"/>
              </a:solidFill>
            </a:endParaRPr>
          </a:p>
        </xdr:txBody>
      </xdr:sp>
    </xdr:grpSp>
    <xdr:clientData/>
  </xdr:twoCellAnchor>
  <xdr:twoCellAnchor>
    <xdr:from>
      <xdr:col>6</xdr:col>
      <xdr:colOff>439057</xdr:colOff>
      <xdr:row>13</xdr:row>
      <xdr:rowOff>68942</xdr:rowOff>
    </xdr:from>
    <xdr:to>
      <xdr:col>33</xdr:col>
      <xdr:colOff>105833</xdr:colOff>
      <xdr:row>25</xdr:row>
      <xdr:rowOff>30844</xdr:rowOff>
    </xdr:to>
    <xdr:grpSp>
      <xdr:nvGrpSpPr>
        <xdr:cNvPr id="13" name="Group 13">
          <a:extLst>
            <a:ext uri="{FF2B5EF4-FFF2-40B4-BE49-F238E27FC236}">
              <a16:creationId xmlns:a16="http://schemas.microsoft.com/office/drawing/2014/main" id="{C0B67A88-399D-9A90-2283-08EBC16A49DB}"/>
            </a:ext>
          </a:extLst>
        </xdr:cNvPr>
        <xdr:cNvGrpSpPr/>
      </xdr:nvGrpSpPr>
      <xdr:grpSpPr>
        <a:xfrm>
          <a:off x="4068082" y="2421617"/>
          <a:ext cx="16125976" cy="2133602"/>
          <a:chOff x="3387725" y="2428874"/>
          <a:chExt cx="9385300" cy="2133602"/>
        </a:xfrm>
      </xdr:grpSpPr>
      <xdr:sp macro="" textlink="">
        <xdr:nvSpPr>
          <xdr:cNvPr id="16" name="Rectangle 10">
            <a:extLst>
              <a:ext uri="{FF2B5EF4-FFF2-40B4-BE49-F238E27FC236}">
                <a16:creationId xmlns:a16="http://schemas.microsoft.com/office/drawing/2014/main" id="{258CDA1F-0217-44F9-A8CF-FD734569FDBB}"/>
              </a:ext>
            </a:extLst>
          </xdr:cNvPr>
          <xdr:cNvSpPr/>
        </xdr:nvSpPr>
        <xdr:spPr>
          <a:xfrm>
            <a:off x="3387725" y="2428874"/>
            <a:ext cx="9385300" cy="2133602"/>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17" name="Rectangle 11">
            <a:extLst>
              <a:ext uri="{FF2B5EF4-FFF2-40B4-BE49-F238E27FC236}">
                <a16:creationId xmlns:a16="http://schemas.microsoft.com/office/drawing/2014/main" id="{1FECC579-616A-428A-8511-2386E8565DA4}"/>
              </a:ext>
            </a:extLst>
          </xdr:cNvPr>
          <xdr:cNvSpPr/>
        </xdr:nvSpPr>
        <xdr:spPr>
          <a:xfrm>
            <a:off x="3390900" y="2428874"/>
            <a:ext cx="9382125" cy="336567"/>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MY" sz="1400" b="1">
                <a:solidFill>
                  <a:schemeClr val="bg1"/>
                </a:solidFill>
                <a:latin typeface="+mn-lt"/>
                <a:ea typeface="+mn-ea"/>
                <a:cs typeface="+mn-cs"/>
              </a:rPr>
              <a:t>TBM Topic Plan</a:t>
            </a:r>
          </a:p>
        </xdr:txBody>
      </xdr:sp>
    </xdr:grpSp>
    <xdr:clientData/>
  </xdr:twoCellAnchor>
  <xdr:twoCellAnchor>
    <xdr:from>
      <xdr:col>8</xdr:col>
      <xdr:colOff>577278</xdr:colOff>
      <xdr:row>15</xdr:row>
      <xdr:rowOff>129827</xdr:rowOff>
    </xdr:from>
    <xdr:to>
      <xdr:col>31</xdr:col>
      <xdr:colOff>318313</xdr:colOff>
      <xdr:row>24</xdr:row>
      <xdr:rowOff>71780</xdr:rowOff>
    </xdr:to>
    <xdr:grpSp>
      <xdr:nvGrpSpPr>
        <xdr:cNvPr id="37" name="Group 39">
          <a:extLst>
            <a:ext uri="{FF2B5EF4-FFF2-40B4-BE49-F238E27FC236}">
              <a16:creationId xmlns:a16="http://schemas.microsoft.com/office/drawing/2014/main" id="{699B731D-1AEB-C71C-4909-5F1C6ABF9D4C}"/>
            </a:ext>
          </a:extLst>
        </xdr:cNvPr>
        <xdr:cNvGrpSpPr/>
      </xdr:nvGrpSpPr>
      <xdr:grpSpPr>
        <a:xfrm>
          <a:off x="5425503" y="2844452"/>
          <a:ext cx="13761835" cy="1570728"/>
          <a:chOff x="3520169" y="2775404"/>
          <a:chExt cx="11012259" cy="1534885"/>
        </a:xfrm>
      </xdr:grpSpPr>
      <xdr:grpSp>
        <xdr:nvGrpSpPr>
          <xdr:cNvPr id="41" name="Group 17">
            <a:extLst>
              <a:ext uri="{FF2B5EF4-FFF2-40B4-BE49-F238E27FC236}">
                <a16:creationId xmlns:a16="http://schemas.microsoft.com/office/drawing/2014/main" id="{075DF718-52DC-4373-BF7C-22B21BD5CFA4}"/>
              </a:ext>
            </a:extLst>
          </xdr:cNvPr>
          <xdr:cNvGrpSpPr/>
        </xdr:nvGrpSpPr>
        <xdr:grpSpPr>
          <a:xfrm>
            <a:off x="3520169" y="2778579"/>
            <a:ext cx="2140402" cy="1507671"/>
            <a:chOff x="5426076" y="3124200"/>
            <a:chExt cx="2587625" cy="1689100"/>
          </a:xfrm>
          <a:solidFill>
            <a:schemeClr val="bg2">
              <a:lumMod val="75000"/>
            </a:schemeClr>
          </a:solidFill>
        </xdr:grpSpPr>
        <xdr:sp macro="" textlink="">
          <xdr:nvSpPr>
            <xdr:cNvPr id="42" name="TextBox 18">
              <a:extLst>
                <a:ext uri="{FF2B5EF4-FFF2-40B4-BE49-F238E27FC236}">
                  <a16:creationId xmlns:a16="http://schemas.microsoft.com/office/drawing/2014/main" id="{ED5E93FA-3B05-E01C-29F9-433117F197E8}"/>
                </a:ext>
              </a:extLst>
            </xdr:cNvPr>
            <xdr:cNvSpPr txBox="1"/>
          </xdr:nvSpPr>
          <xdr:spPr>
            <a:xfrm>
              <a:off x="5432426" y="31242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t>Jan - Emergency</a:t>
              </a:r>
              <a:r>
                <a:rPr lang="en-MY" sz="1400" b="1" baseline="0"/>
                <a:t> Response</a:t>
              </a:r>
            </a:p>
          </xdr:txBody>
        </xdr:sp>
        <xdr:sp macro="" textlink="">
          <xdr:nvSpPr>
            <xdr:cNvPr id="48" name="TextBox 19">
              <a:extLst>
                <a:ext uri="{FF2B5EF4-FFF2-40B4-BE49-F238E27FC236}">
                  <a16:creationId xmlns:a16="http://schemas.microsoft.com/office/drawing/2014/main" id="{117245C4-7274-D15E-F05A-D6E92F059450}"/>
                </a:ext>
              </a:extLst>
            </xdr:cNvPr>
            <xdr:cNvSpPr txBox="1"/>
          </xdr:nvSpPr>
          <xdr:spPr>
            <a:xfrm>
              <a:off x="5426076" y="4324350"/>
              <a:ext cx="2574925" cy="488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Feb - Eyes Safety</a:t>
              </a:r>
            </a:p>
          </xdr:txBody>
        </xdr:sp>
        <xdr:sp macro="" textlink="">
          <xdr:nvSpPr>
            <xdr:cNvPr id="49" name="TextBox 20">
              <a:extLst>
                <a:ext uri="{FF2B5EF4-FFF2-40B4-BE49-F238E27FC236}">
                  <a16:creationId xmlns:a16="http://schemas.microsoft.com/office/drawing/2014/main" id="{80BF4999-9524-B481-BC12-7D8FD47671A7}"/>
                </a:ext>
              </a:extLst>
            </xdr:cNvPr>
            <xdr:cNvSpPr txBox="1"/>
          </xdr:nvSpPr>
          <xdr:spPr>
            <a:xfrm>
              <a:off x="5435601" y="3724275"/>
              <a:ext cx="2578100" cy="4762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Feb - Safety Ladder</a:t>
              </a:r>
            </a:p>
          </xdr:txBody>
        </xdr:sp>
      </xdr:grpSp>
      <xdr:grpSp>
        <xdr:nvGrpSpPr>
          <xdr:cNvPr id="50" name="Group 21">
            <a:extLst>
              <a:ext uri="{FF2B5EF4-FFF2-40B4-BE49-F238E27FC236}">
                <a16:creationId xmlns:a16="http://schemas.microsoft.com/office/drawing/2014/main" id="{90E70DCB-8D13-4111-A441-64345AFAA109}"/>
              </a:ext>
            </a:extLst>
          </xdr:cNvPr>
          <xdr:cNvGrpSpPr/>
        </xdr:nvGrpSpPr>
        <xdr:grpSpPr>
          <a:xfrm>
            <a:off x="5768071" y="2788559"/>
            <a:ext cx="2158544" cy="1464128"/>
            <a:chOff x="8175626" y="3082925"/>
            <a:chExt cx="2559049" cy="1765300"/>
          </a:xfrm>
        </xdr:grpSpPr>
        <xdr:sp macro="" textlink="">
          <xdr:nvSpPr>
            <xdr:cNvPr id="51" name="TextBox 22">
              <a:extLst>
                <a:ext uri="{FF2B5EF4-FFF2-40B4-BE49-F238E27FC236}">
                  <a16:creationId xmlns:a16="http://schemas.microsoft.com/office/drawing/2014/main" id="{C3136BD5-25A2-58FF-C3FF-40B03714ED9F}"/>
                </a:ext>
              </a:extLst>
            </xdr:cNvPr>
            <xdr:cNvSpPr txBox="1"/>
          </xdr:nvSpPr>
          <xdr:spPr>
            <a:xfrm>
              <a:off x="8175626" y="3082925"/>
              <a:ext cx="2559049" cy="4857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Mar - Log Out Tag Out </a:t>
              </a:r>
            </a:p>
          </xdr:txBody>
        </xdr:sp>
        <xdr:sp macro="" textlink="">
          <xdr:nvSpPr>
            <xdr:cNvPr id="52" name="TextBox 23">
              <a:extLst>
                <a:ext uri="{FF2B5EF4-FFF2-40B4-BE49-F238E27FC236}">
                  <a16:creationId xmlns:a16="http://schemas.microsoft.com/office/drawing/2014/main" id="{922FA9D4-2924-96C9-F1AE-7429707C6B97}"/>
                </a:ext>
              </a:extLst>
            </xdr:cNvPr>
            <xdr:cNvSpPr txBox="1"/>
          </xdr:nvSpPr>
          <xdr:spPr>
            <a:xfrm>
              <a:off x="8194675" y="3667124"/>
              <a:ext cx="2536824" cy="619126"/>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Apr - </a:t>
              </a:r>
              <a:r>
                <a:rPr lang="en-MY" sz="1400" b="1">
                  <a:solidFill>
                    <a:schemeClr val="dk1"/>
                  </a:solidFill>
                  <a:effectLst/>
                  <a:latin typeface="+mn-lt"/>
                  <a:ea typeface="+mn-ea"/>
                  <a:cs typeface="+mn-cs"/>
                </a:rPr>
                <a:t>Slip trip and fall </a:t>
              </a:r>
              <a:endParaRPr lang="en-MY" sz="1400" b="1">
                <a:solidFill>
                  <a:sysClr val="windowText" lastClr="000000"/>
                </a:solidFill>
                <a:latin typeface="+mn-lt"/>
                <a:ea typeface="+mn-ea"/>
                <a:cs typeface="+mn-cs"/>
              </a:endParaRPr>
            </a:p>
          </xdr:txBody>
        </xdr:sp>
        <xdr:sp macro="" textlink="">
          <xdr:nvSpPr>
            <xdr:cNvPr id="53" name="TextBox 24">
              <a:extLst>
                <a:ext uri="{FF2B5EF4-FFF2-40B4-BE49-F238E27FC236}">
                  <a16:creationId xmlns:a16="http://schemas.microsoft.com/office/drawing/2014/main" id="{2326B6D9-A606-C4EA-479F-F056E896AA4B}"/>
                </a:ext>
              </a:extLst>
            </xdr:cNvPr>
            <xdr:cNvSpPr txBox="1"/>
          </xdr:nvSpPr>
          <xdr:spPr>
            <a:xfrm>
              <a:off x="8191500" y="4362450"/>
              <a:ext cx="2543175" cy="4857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ysClr val="windowText" lastClr="000000"/>
                  </a:solidFill>
                  <a:latin typeface="+mn-lt"/>
                  <a:ea typeface="+mn-ea"/>
                  <a:cs typeface="+mn-cs"/>
                </a:rPr>
                <a:t>May - Follow SOP</a:t>
              </a:r>
            </a:p>
          </xdr:txBody>
        </xdr:sp>
      </xdr:grpSp>
      <xdr:grpSp>
        <xdr:nvGrpSpPr>
          <xdr:cNvPr id="54" name="Group 25">
            <a:extLst>
              <a:ext uri="{FF2B5EF4-FFF2-40B4-BE49-F238E27FC236}">
                <a16:creationId xmlns:a16="http://schemas.microsoft.com/office/drawing/2014/main" id="{A1D949F4-8F2B-48EF-BD68-17DF674FFC4D}"/>
              </a:ext>
            </a:extLst>
          </xdr:cNvPr>
          <xdr:cNvGrpSpPr/>
        </xdr:nvGrpSpPr>
        <xdr:grpSpPr>
          <a:xfrm>
            <a:off x="8052258" y="2797177"/>
            <a:ext cx="2037894" cy="1478641"/>
            <a:chOff x="10934701" y="3086100"/>
            <a:chExt cx="2581275" cy="1727200"/>
          </a:xfrm>
          <a:solidFill>
            <a:schemeClr val="bg2">
              <a:lumMod val="75000"/>
            </a:schemeClr>
          </a:solidFill>
        </xdr:grpSpPr>
        <xdr:sp macro="" textlink="">
          <xdr:nvSpPr>
            <xdr:cNvPr id="55" name="TextBox 26">
              <a:extLst>
                <a:ext uri="{FF2B5EF4-FFF2-40B4-BE49-F238E27FC236}">
                  <a16:creationId xmlns:a16="http://schemas.microsoft.com/office/drawing/2014/main" id="{897E53FE-AF08-7A2C-AE12-16D35594C4B7}"/>
                </a:ext>
              </a:extLst>
            </xdr:cNvPr>
            <xdr:cNvSpPr txBox="1"/>
          </xdr:nvSpPr>
          <xdr:spPr>
            <a:xfrm>
              <a:off x="10934701" y="30861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June - Hearing Conversation</a:t>
              </a:r>
            </a:p>
          </xdr:txBody>
        </xdr:sp>
        <xdr:sp macro="" textlink="">
          <xdr:nvSpPr>
            <xdr:cNvPr id="56" name="TextBox 27">
              <a:extLst>
                <a:ext uri="{FF2B5EF4-FFF2-40B4-BE49-F238E27FC236}">
                  <a16:creationId xmlns:a16="http://schemas.microsoft.com/office/drawing/2014/main" id="{62911917-2FEB-4CCB-ED8E-AF8880243E42}"/>
                </a:ext>
              </a:extLst>
            </xdr:cNvPr>
            <xdr:cNvSpPr txBox="1"/>
          </xdr:nvSpPr>
          <xdr:spPr>
            <a:xfrm>
              <a:off x="10944226" y="3708400"/>
              <a:ext cx="257175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July - Chemical Handling</a:t>
              </a:r>
            </a:p>
          </xdr:txBody>
        </xdr:sp>
        <xdr:sp macro="" textlink="">
          <xdr:nvSpPr>
            <xdr:cNvPr id="57" name="TextBox 28">
              <a:extLst>
                <a:ext uri="{FF2B5EF4-FFF2-40B4-BE49-F238E27FC236}">
                  <a16:creationId xmlns:a16="http://schemas.microsoft.com/office/drawing/2014/main" id="{7AA799B7-F352-8B9A-C8DA-3B03D233DF84}"/>
                </a:ext>
              </a:extLst>
            </xdr:cNvPr>
            <xdr:cNvSpPr txBox="1"/>
          </xdr:nvSpPr>
          <xdr:spPr>
            <a:xfrm>
              <a:off x="10934701" y="4327525"/>
              <a:ext cx="2571750" cy="4857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Aug - Machine Safety</a:t>
              </a:r>
            </a:p>
          </xdr:txBody>
        </xdr:sp>
      </xdr:grpSp>
      <xdr:grpSp>
        <xdr:nvGrpSpPr>
          <xdr:cNvPr id="58" name="Group 29">
            <a:extLst>
              <a:ext uri="{FF2B5EF4-FFF2-40B4-BE49-F238E27FC236}">
                <a16:creationId xmlns:a16="http://schemas.microsoft.com/office/drawing/2014/main" id="{AEAA8044-BA78-4FE5-97B6-FB18D74EA930}"/>
              </a:ext>
            </a:extLst>
          </xdr:cNvPr>
          <xdr:cNvGrpSpPr/>
        </xdr:nvGrpSpPr>
        <xdr:grpSpPr>
          <a:xfrm>
            <a:off x="10205355" y="2955471"/>
            <a:ext cx="2081893" cy="1201964"/>
            <a:chOff x="13708906" y="3206749"/>
            <a:chExt cx="2569320" cy="1365251"/>
          </a:xfrm>
          <a:solidFill>
            <a:schemeClr val="bg2">
              <a:lumMod val="75000"/>
            </a:schemeClr>
          </a:solidFill>
        </xdr:grpSpPr>
        <xdr:sp macro="" textlink="">
          <xdr:nvSpPr>
            <xdr:cNvPr id="60" name="TextBox 30">
              <a:extLst>
                <a:ext uri="{FF2B5EF4-FFF2-40B4-BE49-F238E27FC236}">
                  <a16:creationId xmlns:a16="http://schemas.microsoft.com/office/drawing/2014/main" id="{BD6260B5-E2C6-33B7-B798-50539844830C}"/>
                </a:ext>
              </a:extLst>
            </xdr:cNvPr>
            <xdr:cNvSpPr txBox="1"/>
          </xdr:nvSpPr>
          <xdr:spPr>
            <a:xfrm>
              <a:off x="13716001" y="3206749"/>
              <a:ext cx="2559050" cy="6508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Sept - Safe use of tools and equipment</a:t>
              </a:r>
            </a:p>
          </xdr:txBody>
        </xdr:sp>
        <xdr:sp macro="" textlink="">
          <xdr:nvSpPr>
            <xdr:cNvPr id="61" name="TextBox 31">
              <a:extLst>
                <a:ext uri="{FF2B5EF4-FFF2-40B4-BE49-F238E27FC236}">
                  <a16:creationId xmlns:a16="http://schemas.microsoft.com/office/drawing/2014/main" id="{58B14E4F-47F6-899F-CA0A-E2113DCD5512}"/>
                </a:ext>
              </a:extLst>
            </xdr:cNvPr>
            <xdr:cNvSpPr txBox="1"/>
          </xdr:nvSpPr>
          <xdr:spPr>
            <a:xfrm>
              <a:off x="13708906" y="3937000"/>
              <a:ext cx="2569320" cy="635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Oct - Emergency spill reponse</a:t>
              </a:r>
            </a:p>
          </xdr:txBody>
        </xdr:sp>
      </xdr:grpSp>
      <xdr:grpSp>
        <xdr:nvGrpSpPr>
          <xdr:cNvPr id="62" name="Group 32">
            <a:extLst>
              <a:ext uri="{FF2B5EF4-FFF2-40B4-BE49-F238E27FC236}">
                <a16:creationId xmlns:a16="http://schemas.microsoft.com/office/drawing/2014/main" id="{90EB73E3-DB22-408A-8FED-B4CF6B148E15}"/>
              </a:ext>
            </a:extLst>
          </xdr:cNvPr>
          <xdr:cNvGrpSpPr/>
        </xdr:nvGrpSpPr>
        <xdr:grpSpPr>
          <a:xfrm>
            <a:off x="12417879" y="2787650"/>
            <a:ext cx="2111374" cy="1525814"/>
            <a:chOff x="16573501" y="3086100"/>
            <a:chExt cx="2587625" cy="1771650"/>
          </a:xfrm>
          <a:solidFill>
            <a:schemeClr val="bg2">
              <a:lumMod val="75000"/>
            </a:schemeClr>
          </a:solidFill>
        </xdr:grpSpPr>
        <xdr:sp macro="" textlink="">
          <xdr:nvSpPr>
            <xdr:cNvPr id="63" name="TextBox 33">
              <a:extLst>
                <a:ext uri="{FF2B5EF4-FFF2-40B4-BE49-F238E27FC236}">
                  <a16:creationId xmlns:a16="http://schemas.microsoft.com/office/drawing/2014/main" id="{FBC07EA0-EA0B-0FE5-57AE-FD749728FCB8}"/>
                </a:ext>
              </a:extLst>
            </xdr:cNvPr>
            <xdr:cNvSpPr txBox="1"/>
          </xdr:nvSpPr>
          <xdr:spPr>
            <a:xfrm>
              <a:off x="16592551" y="4251325"/>
              <a:ext cx="2568575" cy="6064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solidFill>
                    <a:schemeClr val="dk1"/>
                  </a:solidFill>
                  <a:effectLst/>
                  <a:latin typeface="+mn-lt"/>
                  <a:ea typeface="+mn-ea"/>
                  <a:cs typeface="+mn-cs"/>
                </a:rPr>
                <a:t>Dec - Fire</a:t>
              </a:r>
              <a:r>
                <a:rPr lang="en-MY" sz="1400" b="1" baseline="0">
                  <a:solidFill>
                    <a:schemeClr val="dk1"/>
                  </a:solidFill>
                  <a:effectLst/>
                  <a:latin typeface="+mn-lt"/>
                  <a:ea typeface="+mn-ea"/>
                  <a:cs typeface="+mn-cs"/>
                </a:rPr>
                <a:t> Safety</a:t>
              </a:r>
              <a:endParaRPr lang="en-MY" sz="1800">
                <a:effectLst/>
              </a:endParaRPr>
            </a:p>
          </xdr:txBody>
        </xdr:sp>
        <xdr:sp macro="" textlink="">
          <xdr:nvSpPr>
            <xdr:cNvPr id="64" name="TextBox 34">
              <a:extLst>
                <a:ext uri="{FF2B5EF4-FFF2-40B4-BE49-F238E27FC236}">
                  <a16:creationId xmlns:a16="http://schemas.microsoft.com/office/drawing/2014/main" id="{A030E8F2-90E7-2857-ADAC-81C8AB949677}"/>
                </a:ext>
              </a:extLst>
            </xdr:cNvPr>
            <xdr:cNvSpPr txBox="1"/>
          </xdr:nvSpPr>
          <xdr:spPr>
            <a:xfrm>
              <a:off x="16573501" y="3086100"/>
              <a:ext cx="2565400" cy="48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400" b="1">
                  <a:solidFill>
                    <a:schemeClr val="dk1"/>
                  </a:solidFill>
                  <a:effectLst/>
                  <a:latin typeface="+mn-lt"/>
                  <a:ea typeface="+mn-ea"/>
                  <a:cs typeface="+mn-cs"/>
                </a:rPr>
                <a:t>Nov - Important of housekeeping</a:t>
              </a:r>
              <a:endParaRPr lang="en-MY" sz="1800">
                <a:effectLst/>
              </a:endParaRPr>
            </a:p>
          </xdr:txBody>
        </xdr:sp>
        <xdr:sp macro="" textlink="">
          <xdr:nvSpPr>
            <xdr:cNvPr id="65" name="TextBox 35">
              <a:extLst>
                <a:ext uri="{FF2B5EF4-FFF2-40B4-BE49-F238E27FC236}">
                  <a16:creationId xmlns:a16="http://schemas.microsoft.com/office/drawing/2014/main" id="{6FE85F32-FB4A-4F61-4121-186BDE25F082}"/>
                </a:ext>
              </a:extLst>
            </xdr:cNvPr>
            <xdr:cNvSpPr txBox="1"/>
          </xdr:nvSpPr>
          <xdr:spPr>
            <a:xfrm>
              <a:off x="16589375" y="3644900"/>
              <a:ext cx="2549525" cy="508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MY" sz="1400" b="1">
                  <a:solidFill>
                    <a:schemeClr val="dk1"/>
                  </a:solidFill>
                  <a:latin typeface="+mn-lt"/>
                  <a:ea typeface="+mn-ea"/>
                  <a:cs typeface="+mn-cs"/>
                </a:rPr>
                <a:t>Dec - Ergonomic</a:t>
              </a:r>
            </a:p>
          </xdr:txBody>
        </xdr:sp>
      </xdr:grpSp>
    </xdr:grpSp>
    <xdr:clientData/>
  </xdr:twoCellAnchor>
  <xdr:twoCellAnchor>
    <xdr:from>
      <xdr:col>6</xdr:col>
      <xdr:colOff>433918</xdr:colOff>
      <xdr:row>25</xdr:row>
      <xdr:rowOff>85722</xdr:rowOff>
    </xdr:from>
    <xdr:to>
      <xdr:col>19</xdr:col>
      <xdr:colOff>539751</xdr:colOff>
      <xdr:row>56</xdr:row>
      <xdr:rowOff>148167</xdr:rowOff>
    </xdr:to>
    <xdr:grpSp>
      <xdr:nvGrpSpPr>
        <xdr:cNvPr id="66" name="Group 40">
          <a:extLst>
            <a:ext uri="{FF2B5EF4-FFF2-40B4-BE49-F238E27FC236}">
              <a16:creationId xmlns:a16="http://schemas.microsoft.com/office/drawing/2014/main" id="{D4FE4622-9F07-AF4F-D5A2-431A9802BB74}"/>
            </a:ext>
          </a:extLst>
        </xdr:cNvPr>
        <xdr:cNvGrpSpPr/>
      </xdr:nvGrpSpPr>
      <xdr:grpSpPr>
        <a:xfrm>
          <a:off x="4062943" y="4610097"/>
          <a:ext cx="8030633" cy="5672670"/>
          <a:chOff x="3385455" y="4520744"/>
          <a:chExt cx="11228616" cy="3766005"/>
        </a:xfrm>
      </xdr:grpSpPr>
      <xdr:sp macro="" textlink="">
        <xdr:nvSpPr>
          <xdr:cNvPr id="67" name="Rectangle 12">
            <a:extLst>
              <a:ext uri="{FF2B5EF4-FFF2-40B4-BE49-F238E27FC236}">
                <a16:creationId xmlns:a16="http://schemas.microsoft.com/office/drawing/2014/main" id="{B3363920-BFCB-4224-A040-B9D3B2861726}"/>
              </a:ext>
            </a:extLst>
          </xdr:cNvPr>
          <xdr:cNvSpPr/>
        </xdr:nvSpPr>
        <xdr:spPr>
          <a:xfrm>
            <a:off x="3385455" y="4520744"/>
            <a:ext cx="11228616" cy="3766005"/>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68" name="Rectangle 36">
            <a:extLst>
              <a:ext uri="{FF2B5EF4-FFF2-40B4-BE49-F238E27FC236}">
                <a16:creationId xmlns:a16="http://schemas.microsoft.com/office/drawing/2014/main" id="{DB3FFED7-40B6-47AD-BBD4-1FE30C44F78F}"/>
              </a:ext>
            </a:extLst>
          </xdr:cNvPr>
          <xdr:cNvSpPr/>
        </xdr:nvSpPr>
        <xdr:spPr>
          <a:xfrm>
            <a:off x="3397702" y="4526640"/>
            <a:ext cx="11206391" cy="249975"/>
          </a:xfrm>
          <a:prstGeom prst="rect">
            <a:avLst/>
          </a:prstGeom>
          <a:solidFill>
            <a:schemeClr val="tx2">
              <a:lumMod val="90000"/>
              <a:lumOff val="1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600" b="1">
                <a:solidFill>
                  <a:schemeClr val="bg1"/>
                </a:solidFill>
              </a:rPr>
              <a:t>Data Visualization (Percentage of Attendess by Topic)</a:t>
            </a:r>
            <a:r>
              <a:rPr lang="en-MY" sz="1600" b="1" baseline="0">
                <a:solidFill>
                  <a:schemeClr val="bg1"/>
                </a:solidFill>
              </a:rPr>
              <a:t>  %</a:t>
            </a:r>
            <a:endParaRPr lang="en-MY" sz="1400" b="1">
              <a:solidFill>
                <a:schemeClr val="bg1"/>
              </a:solidFill>
            </a:endParaRPr>
          </a:p>
        </xdr:txBody>
      </xdr:sp>
    </xdr:grpSp>
    <xdr:clientData/>
  </xdr:twoCellAnchor>
  <xdr:twoCellAnchor>
    <xdr:from>
      <xdr:col>12</xdr:col>
      <xdr:colOff>538126</xdr:colOff>
      <xdr:row>3</xdr:row>
      <xdr:rowOff>105244</xdr:rowOff>
    </xdr:from>
    <xdr:to>
      <xdr:col>30</xdr:col>
      <xdr:colOff>61872</xdr:colOff>
      <xdr:row>10</xdr:row>
      <xdr:rowOff>143343</xdr:rowOff>
    </xdr:to>
    <xdr:sp macro="" textlink="">
      <xdr:nvSpPr>
        <xdr:cNvPr id="43" name="TextBox 42">
          <a:extLst>
            <a:ext uri="{FF2B5EF4-FFF2-40B4-BE49-F238E27FC236}">
              <a16:creationId xmlns:a16="http://schemas.microsoft.com/office/drawing/2014/main" id="{19BF9EA6-A005-4016-B761-3869D05D2768}"/>
            </a:ext>
          </a:extLst>
        </xdr:cNvPr>
        <xdr:cNvSpPr txBox="1"/>
      </xdr:nvSpPr>
      <xdr:spPr>
        <a:xfrm>
          <a:off x="7904126" y="644994"/>
          <a:ext cx="10572746" cy="1297516"/>
        </a:xfrm>
        <a:prstGeom prst="rect">
          <a:avLst/>
        </a:prstGeom>
        <a:solidFill>
          <a:srgbClr val="0B5C6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2800" b="0" baseline="0">
              <a:solidFill>
                <a:schemeClr val="bg1"/>
              </a:solidFill>
            </a:rPr>
            <a:t>TOOL BOX BRIEFING (TBM) COMPLETION RATE SUMMARY</a:t>
          </a:r>
        </a:p>
      </xdr:txBody>
    </xdr:sp>
    <xdr:clientData/>
  </xdr:twoCellAnchor>
  <xdr:twoCellAnchor>
    <xdr:from>
      <xdr:col>8</xdr:col>
      <xdr:colOff>488498</xdr:colOff>
      <xdr:row>4</xdr:row>
      <xdr:rowOff>56244</xdr:rowOff>
    </xdr:from>
    <xdr:to>
      <xdr:col>10</xdr:col>
      <xdr:colOff>94798</xdr:colOff>
      <xdr:row>5</xdr:row>
      <xdr:rowOff>142876</xdr:rowOff>
    </xdr:to>
    <xdr:sp macro="" textlink="">
      <xdr:nvSpPr>
        <xdr:cNvPr id="45" name="TextBox 44">
          <a:extLst>
            <a:ext uri="{FF2B5EF4-FFF2-40B4-BE49-F238E27FC236}">
              <a16:creationId xmlns:a16="http://schemas.microsoft.com/office/drawing/2014/main" id="{C99A6368-090C-4FFB-9DDA-D24941F9B702}"/>
            </a:ext>
          </a:extLst>
        </xdr:cNvPr>
        <xdr:cNvSpPr txBox="1"/>
      </xdr:nvSpPr>
      <xdr:spPr>
        <a:xfrm>
          <a:off x="5314498" y="818244"/>
          <a:ext cx="812800" cy="277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400" b="1"/>
            <a:t>Total</a:t>
          </a:r>
        </a:p>
      </xdr:txBody>
    </xdr:sp>
    <xdr:clientData/>
  </xdr:twoCellAnchor>
  <xdr:twoCellAnchor>
    <xdr:from>
      <xdr:col>30</xdr:col>
      <xdr:colOff>79375</xdr:colOff>
      <xdr:row>11</xdr:row>
      <xdr:rowOff>135341</xdr:rowOff>
    </xdr:from>
    <xdr:to>
      <xdr:col>33</xdr:col>
      <xdr:colOff>240194</xdr:colOff>
      <xdr:row>12</xdr:row>
      <xdr:rowOff>158751</xdr:rowOff>
    </xdr:to>
    <xdr:sp macro="" textlink="">
      <xdr:nvSpPr>
        <xdr:cNvPr id="46" name="TextBox 45">
          <a:extLst>
            <a:ext uri="{FF2B5EF4-FFF2-40B4-BE49-F238E27FC236}">
              <a16:creationId xmlns:a16="http://schemas.microsoft.com/office/drawing/2014/main" id="{7CA4D965-7C70-4399-872D-D41F4CE6225E}"/>
            </a:ext>
          </a:extLst>
        </xdr:cNvPr>
        <xdr:cNvSpPr txBox="1"/>
      </xdr:nvSpPr>
      <xdr:spPr>
        <a:xfrm>
          <a:off x="18176875" y="2230841"/>
          <a:ext cx="1970569" cy="213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b="0" i="1" baseline="0">
              <a:solidFill>
                <a:schemeClr val="tx1"/>
              </a:solidFill>
            </a:rPr>
            <a:t>Prepared by: HS Department</a:t>
          </a:r>
        </a:p>
      </xdr:txBody>
    </xdr:sp>
    <xdr:clientData/>
  </xdr:twoCellAnchor>
  <xdr:twoCellAnchor>
    <xdr:from>
      <xdr:col>1</xdr:col>
      <xdr:colOff>93435</xdr:colOff>
      <xdr:row>0</xdr:row>
      <xdr:rowOff>64407</xdr:rowOff>
    </xdr:from>
    <xdr:to>
      <xdr:col>33</xdr:col>
      <xdr:colOff>95249</xdr:colOff>
      <xdr:row>1</xdr:row>
      <xdr:rowOff>127000</xdr:rowOff>
    </xdr:to>
    <xdr:sp macro="" textlink="">
      <xdr:nvSpPr>
        <xdr:cNvPr id="47" name="Rectangle 46">
          <a:extLst>
            <a:ext uri="{FF2B5EF4-FFF2-40B4-BE49-F238E27FC236}">
              <a16:creationId xmlns:a16="http://schemas.microsoft.com/office/drawing/2014/main" id="{546E3899-7671-4886-BD6B-98CC1E1305E5}"/>
            </a:ext>
          </a:extLst>
        </xdr:cNvPr>
        <xdr:cNvSpPr/>
      </xdr:nvSpPr>
      <xdr:spPr>
        <a:xfrm>
          <a:off x="707268" y="64407"/>
          <a:ext cx="19644481" cy="242510"/>
        </a:xfrm>
        <a:prstGeom prst="rect">
          <a:avLst/>
        </a:prstGeom>
        <a:solidFill>
          <a:srgbClr val="0B5C6F"/>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clientData/>
  </xdr:twoCellAnchor>
  <xdr:twoCellAnchor>
    <xdr:from>
      <xdr:col>20</xdr:col>
      <xdr:colOff>14184</xdr:colOff>
      <xdr:row>25</xdr:row>
      <xdr:rowOff>93864</xdr:rowOff>
    </xdr:from>
    <xdr:to>
      <xdr:col>33</xdr:col>
      <xdr:colOff>127000</xdr:colOff>
      <xdr:row>56</xdr:row>
      <xdr:rowOff>137584</xdr:rowOff>
    </xdr:to>
    <xdr:grpSp>
      <xdr:nvGrpSpPr>
        <xdr:cNvPr id="228" name="Group 16">
          <a:extLst>
            <a:ext uri="{FF2B5EF4-FFF2-40B4-BE49-F238E27FC236}">
              <a16:creationId xmlns:a16="http://schemas.microsoft.com/office/drawing/2014/main" id="{C98D1911-7F43-43C0-8D9D-8D45CF285E22}"/>
            </a:ext>
          </a:extLst>
        </xdr:cNvPr>
        <xdr:cNvGrpSpPr/>
      </xdr:nvGrpSpPr>
      <xdr:grpSpPr>
        <a:xfrm>
          <a:off x="12177609" y="4618239"/>
          <a:ext cx="8037616" cy="5653945"/>
          <a:chOff x="3385455" y="4520744"/>
          <a:chExt cx="11228616" cy="3766005"/>
        </a:xfrm>
      </xdr:grpSpPr>
      <xdr:sp macro="" textlink="">
        <xdr:nvSpPr>
          <xdr:cNvPr id="229" name="Rectangle 47">
            <a:extLst>
              <a:ext uri="{FF2B5EF4-FFF2-40B4-BE49-F238E27FC236}">
                <a16:creationId xmlns:a16="http://schemas.microsoft.com/office/drawing/2014/main" id="{ECD189FE-A610-5F99-25F0-D1963ADE1595}"/>
              </a:ext>
            </a:extLst>
          </xdr:cNvPr>
          <xdr:cNvSpPr/>
        </xdr:nvSpPr>
        <xdr:spPr>
          <a:xfrm>
            <a:off x="3385455" y="4520744"/>
            <a:ext cx="11228616" cy="3766005"/>
          </a:xfrm>
          <a:prstGeom prst="rect">
            <a:avLst/>
          </a:prstGeom>
          <a:solidFill>
            <a:schemeClr val="accent1">
              <a:lumMod val="20000"/>
              <a:lumOff val="80000"/>
            </a:schemeClr>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MY" sz="1100"/>
          </a:p>
        </xdr:txBody>
      </xdr:sp>
      <xdr:sp macro="" textlink="">
        <xdr:nvSpPr>
          <xdr:cNvPr id="230" name="Rectangle 48">
            <a:extLst>
              <a:ext uri="{FF2B5EF4-FFF2-40B4-BE49-F238E27FC236}">
                <a16:creationId xmlns:a16="http://schemas.microsoft.com/office/drawing/2014/main" id="{0716AA45-5011-489F-BF33-F9D9360FE65C}"/>
              </a:ext>
            </a:extLst>
          </xdr:cNvPr>
          <xdr:cNvSpPr/>
        </xdr:nvSpPr>
        <xdr:spPr>
          <a:xfrm>
            <a:off x="3397702" y="4526640"/>
            <a:ext cx="11206391" cy="249975"/>
          </a:xfrm>
          <a:prstGeom prst="rect">
            <a:avLst/>
          </a:prstGeom>
          <a:solidFill>
            <a:srgbClr val="EF3F97"/>
          </a:solidFill>
          <a:ln w="9525">
            <a:solidFill>
              <a:schemeClr val="accent1"/>
            </a:solidFill>
          </a:ln>
          <a:effectLst>
            <a:softEdge rad="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MY" sz="1600" b="1">
                <a:solidFill>
                  <a:schemeClr val="tx1"/>
                </a:solidFill>
              </a:rPr>
              <a:t>Data Visualization (Percentage of Absentee by Topic) - who</a:t>
            </a:r>
            <a:r>
              <a:rPr lang="en-MY" sz="1600" b="1" baseline="0">
                <a:solidFill>
                  <a:schemeClr val="tx1"/>
                </a:solidFill>
              </a:rPr>
              <a:t> have not yet attend the training  % </a:t>
            </a:r>
            <a:endParaRPr lang="en-MY" sz="1400" b="1">
              <a:solidFill>
                <a:schemeClr val="tx1"/>
              </a:solidFill>
            </a:endParaRPr>
          </a:p>
        </xdr:txBody>
      </xdr:sp>
    </xdr:grpSp>
    <xdr:clientData/>
  </xdr:twoCellAnchor>
  <xdr:twoCellAnchor>
    <xdr:from>
      <xdr:col>5</xdr:col>
      <xdr:colOff>495754</xdr:colOff>
      <xdr:row>3</xdr:row>
      <xdr:rowOff>119589</xdr:rowOff>
    </xdr:from>
    <xdr:to>
      <xdr:col>7</xdr:col>
      <xdr:colOff>456088</xdr:colOff>
      <xdr:row>6</xdr:row>
      <xdr:rowOff>155839</xdr:rowOff>
    </xdr:to>
    <xdr:sp macro="" textlink="$A$2">
      <xdr:nvSpPr>
        <xdr:cNvPr id="14" name="Rectangle 13">
          <a:extLst>
            <a:ext uri="{FF2B5EF4-FFF2-40B4-BE49-F238E27FC236}">
              <a16:creationId xmlns:a16="http://schemas.microsoft.com/office/drawing/2014/main" id="{F835217E-554C-4C6A-81F8-7865276B5CDD}"/>
            </a:ext>
          </a:extLst>
        </xdr:cNvPr>
        <xdr:cNvSpPr/>
      </xdr:nvSpPr>
      <xdr:spPr>
        <a:xfrm>
          <a:off x="3564921" y="659339"/>
          <a:ext cx="1188000" cy="576000"/>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587516-374A-4838-B11F-B34FDA4B7610}" type="TxLink">
            <a:rPr lang="en-US" sz="2400" b="1" i="0" u="none" strike="noStrike">
              <a:solidFill>
                <a:sysClr val="windowText" lastClr="000000"/>
              </a:solidFill>
              <a:latin typeface="Calibri"/>
              <a:ea typeface="+mn-ea"/>
              <a:cs typeface="Calibri"/>
            </a:rPr>
            <a:pPr marL="0" indent="0" algn="ctr"/>
            <a:t>690</a:t>
          </a:fld>
          <a:endParaRPr lang="en-MY" sz="4800" b="1" i="0" u="none" strike="noStrike">
            <a:solidFill>
              <a:sysClr val="windowText" lastClr="000000"/>
            </a:solidFill>
            <a:latin typeface="Calibri"/>
            <a:ea typeface="+mn-ea"/>
            <a:cs typeface="Calibri"/>
          </a:endParaRPr>
        </a:p>
      </xdr:txBody>
    </xdr:sp>
    <xdr:clientData/>
  </xdr:twoCellAnchor>
  <xdr:twoCellAnchor>
    <xdr:from>
      <xdr:col>5</xdr:col>
      <xdr:colOff>501911</xdr:colOff>
      <xdr:row>8</xdr:row>
      <xdr:rowOff>165194</xdr:rowOff>
    </xdr:from>
    <xdr:to>
      <xdr:col>7</xdr:col>
      <xdr:colOff>462245</xdr:colOff>
      <xdr:row>12</xdr:row>
      <xdr:rowOff>21527</xdr:rowOff>
    </xdr:to>
    <xdr:sp macro="" textlink="$A$3">
      <xdr:nvSpPr>
        <xdr:cNvPr id="18" name="Rectangle 17">
          <a:extLst>
            <a:ext uri="{FF2B5EF4-FFF2-40B4-BE49-F238E27FC236}">
              <a16:creationId xmlns:a16="http://schemas.microsoft.com/office/drawing/2014/main" id="{5418E37B-51CA-4CDD-B5D2-1996D6864E74}"/>
            </a:ext>
          </a:extLst>
        </xdr:cNvPr>
        <xdr:cNvSpPr/>
      </xdr:nvSpPr>
      <xdr:spPr>
        <a:xfrm>
          <a:off x="3571078" y="1604527"/>
          <a:ext cx="1188000" cy="576000"/>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9BA604-5295-4786-9760-0482799BF57A}" type="TxLink">
            <a:rPr lang="en-US" sz="2400" b="1" i="0" u="none" strike="noStrike">
              <a:solidFill>
                <a:sysClr val="windowText" lastClr="000000"/>
              </a:solidFill>
              <a:latin typeface="Calibri"/>
              <a:ea typeface="+mn-ea"/>
              <a:cs typeface="Calibri"/>
            </a:rPr>
            <a:pPr marL="0" indent="0" algn="ctr"/>
            <a:t>365</a:t>
          </a:fld>
          <a:endParaRPr lang="en-MY" sz="2400" b="1" i="0" u="none" strike="noStrike">
            <a:solidFill>
              <a:sysClr val="windowText" lastClr="000000"/>
            </a:solidFill>
            <a:latin typeface="Calibri"/>
            <a:ea typeface="+mn-ea"/>
            <a:cs typeface="Calibri"/>
          </a:endParaRPr>
        </a:p>
      </xdr:txBody>
    </xdr:sp>
    <xdr:clientData/>
  </xdr:twoCellAnchor>
  <xdr:twoCellAnchor>
    <xdr:from>
      <xdr:col>8</xdr:col>
      <xdr:colOff>336811</xdr:colOff>
      <xdr:row>6</xdr:row>
      <xdr:rowOff>40501</xdr:rowOff>
    </xdr:from>
    <xdr:to>
      <xdr:col>10</xdr:col>
      <xdr:colOff>296334</xdr:colOff>
      <xdr:row>9</xdr:row>
      <xdr:rowOff>76751</xdr:rowOff>
    </xdr:to>
    <xdr:sp macro="" textlink="$A$4">
      <xdr:nvSpPr>
        <xdr:cNvPr id="19" name="Rectangle 18">
          <a:extLst>
            <a:ext uri="{FF2B5EF4-FFF2-40B4-BE49-F238E27FC236}">
              <a16:creationId xmlns:a16="http://schemas.microsoft.com/office/drawing/2014/main" id="{0F015D22-E5F1-47A6-817E-6C74E0439DFB}"/>
            </a:ext>
          </a:extLst>
        </xdr:cNvPr>
        <xdr:cNvSpPr/>
      </xdr:nvSpPr>
      <xdr:spPr>
        <a:xfrm>
          <a:off x="5247478" y="1120001"/>
          <a:ext cx="1187189" cy="576000"/>
        </a:xfrm>
        <a:prstGeom prst="rect">
          <a:avLst/>
        </a:prstGeom>
        <a:solidFill>
          <a:schemeClr val="lt1"/>
        </a:solidFill>
        <a:ln w="63500" cmpd="dbl">
          <a:solidFill>
            <a:schemeClr val="tx2">
              <a:lumMod val="90000"/>
              <a:lumOff val="1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CA08B5-D2B3-40F0-BA10-0E500EB34BD0}" type="TxLink">
            <a:rPr lang="en-US" sz="2400" b="1" i="0" u="none" strike="noStrike">
              <a:solidFill>
                <a:sysClr val="windowText" lastClr="000000"/>
              </a:solidFill>
              <a:latin typeface="Calibri"/>
              <a:ea typeface="+mn-ea"/>
              <a:cs typeface="Calibri"/>
            </a:rPr>
            <a:pPr marL="0" indent="0" algn="ctr"/>
            <a:t>1055</a:t>
          </a:fld>
          <a:endParaRPr lang="en-MY" sz="2400" b="1" i="0" u="none" strike="noStrike">
            <a:solidFill>
              <a:sysClr val="windowText" lastClr="000000"/>
            </a:solidFill>
            <a:latin typeface="Calibri"/>
            <a:ea typeface="+mn-ea"/>
            <a:cs typeface="Calibri"/>
          </a:endParaRPr>
        </a:p>
      </xdr:txBody>
    </xdr:sp>
    <xdr:clientData/>
  </xdr:twoCellAnchor>
  <xdr:twoCellAnchor>
    <xdr:from>
      <xdr:col>0</xdr:col>
      <xdr:colOff>0</xdr:colOff>
      <xdr:row>0</xdr:row>
      <xdr:rowOff>0</xdr:rowOff>
    </xdr:from>
    <xdr:to>
      <xdr:col>7</xdr:col>
      <xdr:colOff>285750</xdr:colOff>
      <xdr:row>14</xdr:row>
      <xdr:rowOff>10583</xdr:rowOff>
    </xdr:to>
    <xdr:graphicFrame macro="">
      <xdr:nvGraphicFramePr>
        <xdr:cNvPr id="20" name="Chart 19">
          <a:extLst>
            <a:ext uri="{FF2B5EF4-FFF2-40B4-BE49-F238E27FC236}">
              <a16:creationId xmlns:a16="http://schemas.microsoft.com/office/drawing/2014/main" id="{9DBA9B9F-830C-49F4-9EBC-D129BEFF4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290890</xdr:colOff>
      <xdr:row>15</xdr:row>
      <xdr:rowOff>132441</xdr:rowOff>
    </xdr:from>
    <xdr:to>
      <xdr:col>6</xdr:col>
      <xdr:colOff>148167</xdr:colOff>
      <xdr:row>24</xdr:row>
      <xdr:rowOff>148166</xdr:rowOff>
    </xdr:to>
    <mc:AlternateContent xmlns:mc="http://schemas.openxmlformats.org/markup-compatibility/2006" xmlns:a14="http://schemas.microsoft.com/office/drawing/2010/main">
      <mc:Choice Requires="a14">
        <xdr:graphicFrame macro="">
          <xdr:nvGraphicFramePr>
            <xdr:cNvPr id="21" name="Shift 1">
              <a:extLst>
                <a:ext uri="{FF2B5EF4-FFF2-40B4-BE49-F238E27FC236}">
                  <a16:creationId xmlns:a16="http://schemas.microsoft.com/office/drawing/2014/main" id="{6EDE33CE-3FB6-423B-81D2-931F11500888}"/>
                </a:ext>
              </a:extLst>
            </xdr:cNvPr>
            <xdr:cNvGraphicFramePr/>
          </xdr:nvGraphicFramePr>
          <xdr:xfrm>
            <a:off x="0" y="0"/>
            <a:ext cx="0" cy="0"/>
          </xdr:xfrm>
          <a:graphic>
            <a:graphicData uri="http://schemas.microsoft.com/office/drawing/2010/slicer">
              <sle:slicer xmlns:sle="http://schemas.microsoft.com/office/drawing/2010/slicer" name="Shift 1"/>
            </a:graphicData>
          </a:graphic>
        </xdr:graphicFrame>
      </mc:Choice>
      <mc:Fallback xmlns="">
        <xdr:sp macro="" textlink="">
          <xdr:nvSpPr>
            <xdr:cNvPr id="0" name=""/>
            <xdr:cNvSpPr>
              <a:spLocks noTextEdit="1"/>
            </xdr:cNvSpPr>
          </xdr:nvSpPr>
          <xdr:spPr>
            <a:xfrm>
              <a:off x="904723" y="2831191"/>
              <a:ext cx="2926444" cy="1634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273050</xdr:colOff>
      <xdr:row>25</xdr:row>
      <xdr:rowOff>62440</xdr:rowOff>
    </xdr:from>
    <xdr:to>
      <xdr:col>6</xdr:col>
      <xdr:colOff>139909</xdr:colOff>
      <xdr:row>56</xdr:row>
      <xdr:rowOff>74084</xdr:rowOff>
    </xdr:to>
    <mc:AlternateContent xmlns:mc="http://schemas.openxmlformats.org/markup-compatibility/2006" xmlns:a14="http://schemas.microsoft.com/office/drawing/2010/main">
      <mc:Choice Requires="a14">
        <xdr:graphicFrame macro="">
          <xdr:nvGraphicFramePr>
            <xdr:cNvPr id="22" name="Department 1">
              <a:extLst>
                <a:ext uri="{FF2B5EF4-FFF2-40B4-BE49-F238E27FC236}">
                  <a16:creationId xmlns:a16="http://schemas.microsoft.com/office/drawing/2014/main" id="{A825EBB8-E536-4A16-89C4-B06056E07AA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86883" y="4560357"/>
              <a:ext cx="2936026" cy="55890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476251</xdr:colOff>
      <xdr:row>28</xdr:row>
      <xdr:rowOff>53970</xdr:rowOff>
    </xdr:from>
    <xdr:to>
      <xdr:col>19</xdr:col>
      <xdr:colOff>254000</xdr:colOff>
      <xdr:row>56</xdr:row>
      <xdr:rowOff>42334</xdr:rowOff>
    </xdr:to>
    <xdr:graphicFrame macro="">
      <xdr:nvGraphicFramePr>
        <xdr:cNvPr id="23" name="Chart 22">
          <a:extLst>
            <a:ext uri="{FF2B5EF4-FFF2-40B4-BE49-F238E27FC236}">
              <a16:creationId xmlns:a16="http://schemas.microsoft.com/office/drawing/2014/main" id="{2B2D7780-C25E-4E4A-B9BE-A35EB06D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116417</xdr:colOff>
      <xdr:row>27</xdr:row>
      <xdr:rowOff>169332</xdr:rowOff>
    </xdr:from>
    <xdr:to>
      <xdr:col>32</xdr:col>
      <xdr:colOff>603250</xdr:colOff>
      <xdr:row>56</xdr:row>
      <xdr:rowOff>95250</xdr:rowOff>
    </xdr:to>
    <xdr:graphicFrame macro="">
      <xdr:nvGraphicFramePr>
        <xdr:cNvPr id="24" name="Chart 23">
          <a:extLst>
            <a:ext uri="{FF2B5EF4-FFF2-40B4-BE49-F238E27FC236}">
              <a16:creationId xmlns:a16="http://schemas.microsoft.com/office/drawing/2014/main" id="{D4838810-57D4-4180-8159-D5890A2DB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161637</xdr:colOff>
      <xdr:row>2</xdr:row>
      <xdr:rowOff>69273</xdr:rowOff>
    </xdr:from>
    <xdr:to>
      <xdr:col>5</xdr:col>
      <xdr:colOff>917287</xdr:colOff>
      <xdr:row>6</xdr:row>
      <xdr:rowOff>105064</xdr:rowOff>
    </xdr:to>
    <xdr:sp macro="" textlink="$C$4">
      <xdr:nvSpPr>
        <xdr:cNvPr id="2" name="Rectangle 1">
          <a:extLst>
            <a:ext uri="{FF2B5EF4-FFF2-40B4-BE49-F238E27FC236}">
              <a16:creationId xmlns:a16="http://schemas.microsoft.com/office/drawing/2014/main" id="{2505C82E-2706-4360-9131-5CCF39A1452A}"/>
            </a:ext>
          </a:extLst>
        </xdr:cNvPr>
        <xdr:cNvSpPr/>
      </xdr:nvSpPr>
      <xdr:spPr>
        <a:xfrm>
          <a:off x="6442364" y="438728"/>
          <a:ext cx="2406650" cy="77470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C98FA5-6260-46BB-B7DF-9C4AB87A9009}" type="TxLink">
            <a:rPr lang="en-US" sz="4000" b="0" i="0" u="none" strike="noStrike">
              <a:solidFill>
                <a:srgbClr val="000000"/>
              </a:solidFill>
              <a:latin typeface="Calibri"/>
              <a:ea typeface="+mn-ea"/>
              <a:cs typeface="Calibri"/>
            </a:rPr>
            <a:pPr algn="ctr"/>
            <a:t>365</a:t>
          </a:fld>
          <a:endParaRPr lang="en-MY" sz="71400" b="0" i="0" u="none" strike="noStrike">
            <a:solidFill>
              <a:sysClr val="windowText" lastClr="000000"/>
            </a:solidFill>
            <a:latin typeface="Calibri"/>
            <a:ea typeface="+mn-ea"/>
            <a:cs typeface="Calibri"/>
          </a:endParaRPr>
        </a:p>
      </xdr:txBody>
    </xdr:sp>
    <xdr:clientData/>
  </xdr:twoCellAnchor>
  <xdr:twoCellAnchor>
    <xdr:from>
      <xdr:col>6</xdr:col>
      <xdr:colOff>175491</xdr:colOff>
      <xdr:row>2</xdr:row>
      <xdr:rowOff>83127</xdr:rowOff>
    </xdr:from>
    <xdr:to>
      <xdr:col>7</xdr:col>
      <xdr:colOff>977323</xdr:colOff>
      <xdr:row>6</xdr:row>
      <xdr:rowOff>118918</xdr:rowOff>
    </xdr:to>
    <xdr:sp macro="" textlink="$C$5">
      <xdr:nvSpPr>
        <xdr:cNvPr id="3" name="Rectangle 2">
          <a:extLst>
            <a:ext uri="{FF2B5EF4-FFF2-40B4-BE49-F238E27FC236}">
              <a16:creationId xmlns:a16="http://schemas.microsoft.com/office/drawing/2014/main" id="{7712AE22-BE8C-48C3-91DC-6478F102E107}"/>
            </a:ext>
          </a:extLst>
        </xdr:cNvPr>
        <xdr:cNvSpPr/>
      </xdr:nvSpPr>
      <xdr:spPr>
        <a:xfrm>
          <a:off x="9030855" y="452582"/>
          <a:ext cx="2406650" cy="77470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B5A84F-14C0-4CA7-B810-9878479CEB32}" type="TxLink">
            <a:rPr lang="en-US" sz="4000" b="0" i="0" u="none" strike="noStrike">
              <a:solidFill>
                <a:srgbClr val="000000"/>
              </a:solidFill>
              <a:latin typeface="Calibri"/>
              <a:ea typeface="+mn-ea"/>
              <a:cs typeface="Calibri"/>
            </a:rPr>
            <a:pPr marL="0" indent="0" algn="ctr"/>
            <a:t>690</a:t>
          </a:fld>
          <a:endParaRPr lang="en-MY" sz="4000" b="0" i="0" u="none" strike="noStrike">
            <a:solidFill>
              <a:srgbClr val="000000"/>
            </a:solidFill>
            <a:latin typeface="Calibri"/>
            <a:ea typeface="+mn-ea"/>
            <a:cs typeface="Calibri"/>
          </a:endParaRPr>
        </a:p>
      </xdr:txBody>
    </xdr:sp>
    <xdr:clientData/>
  </xdr:twoCellAnchor>
  <xdr:twoCellAnchor>
    <xdr:from>
      <xdr:col>7</xdr:col>
      <xdr:colOff>1136073</xdr:colOff>
      <xdr:row>2</xdr:row>
      <xdr:rowOff>85436</xdr:rowOff>
    </xdr:from>
    <xdr:to>
      <xdr:col>9</xdr:col>
      <xdr:colOff>402360</xdr:colOff>
      <xdr:row>6</xdr:row>
      <xdr:rowOff>121227</xdr:rowOff>
    </xdr:to>
    <xdr:sp macro="" textlink="$C$6">
      <xdr:nvSpPr>
        <xdr:cNvPr id="4" name="Rectangle 3">
          <a:extLst>
            <a:ext uri="{FF2B5EF4-FFF2-40B4-BE49-F238E27FC236}">
              <a16:creationId xmlns:a16="http://schemas.microsoft.com/office/drawing/2014/main" id="{9E4F788D-BDE5-4A2B-84A2-D240F14A5BE9}"/>
            </a:ext>
          </a:extLst>
        </xdr:cNvPr>
        <xdr:cNvSpPr/>
      </xdr:nvSpPr>
      <xdr:spPr>
        <a:xfrm>
          <a:off x="11596255" y="454891"/>
          <a:ext cx="2406650" cy="774700"/>
        </a:xfrm>
        <a:prstGeom prst="rect">
          <a:avLst/>
        </a:prstGeom>
        <a:solidFill>
          <a:schemeClr val="lt1"/>
        </a:solidFill>
        <a:ln w="63500" cmpd="dbl">
          <a:solidFill>
            <a:schemeClr val="accent3">
              <a:lumMod val="40000"/>
              <a:lumOff val="60000"/>
            </a:schemeClr>
          </a:solidFill>
        </a:ln>
        <a:scene3d>
          <a:camera prst="orthographicFront"/>
          <a:lightRig rig="threePt" dir="t"/>
        </a:scene3d>
        <a:sp3d>
          <a:bevelT w="101600" prst="rible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A17066-CD1C-4553-922D-8A6F75451EC7}" type="TxLink">
            <a:rPr lang="en-US" sz="4000" b="0" i="0" u="none" strike="noStrike">
              <a:solidFill>
                <a:srgbClr val="000000"/>
              </a:solidFill>
              <a:latin typeface="Calibri"/>
              <a:ea typeface="+mn-ea"/>
              <a:cs typeface="Calibri"/>
            </a:rPr>
            <a:pPr marL="0" indent="0" algn="ctr"/>
            <a:t>1055</a:t>
          </a:fld>
          <a:endParaRPr lang="en-MY" sz="4000" b="0" i="0" u="none" strike="noStrike">
            <a:solidFill>
              <a:srgbClr val="000000"/>
            </a:solidFill>
            <a:latin typeface="Calibri"/>
            <a:ea typeface="+mn-ea"/>
            <a:cs typeface="Calibri"/>
          </a:endParaRPr>
        </a:p>
      </xdr:txBody>
    </xdr:sp>
    <xdr:clientData/>
  </xdr:twoCellAnchor>
  <xdr:twoCellAnchor>
    <xdr:from>
      <xdr:col>9</xdr:col>
      <xdr:colOff>1420091</xdr:colOff>
      <xdr:row>1</xdr:row>
      <xdr:rowOff>106218</xdr:rowOff>
    </xdr:from>
    <xdr:to>
      <xdr:col>11</xdr:col>
      <xdr:colOff>2101273</xdr:colOff>
      <xdr:row>13</xdr:row>
      <xdr:rowOff>161636</xdr:rowOff>
    </xdr:to>
    <xdr:graphicFrame macro="">
      <xdr:nvGraphicFramePr>
        <xdr:cNvPr id="5" name="Chart 4">
          <a:extLst>
            <a:ext uri="{FF2B5EF4-FFF2-40B4-BE49-F238E27FC236}">
              <a16:creationId xmlns:a16="http://schemas.microsoft.com/office/drawing/2014/main" id="{67197271-5B0D-63F2-3BE9-42254BE5E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57729</xdr:colOff>
      <xdr:row>232</xdr:row>
      <xdr:rowOff>13856</xdr:rowOff>
    </xdr:from>
    <xdr:to>
      <xdr:col>4</xdr:col>
      <xdr:colOff>842819</xdr:colOff>
      <xdr:row>250</xdr:row>
      <xdr:rowOff>115456</xdr:rowOff>
    </xdr:to>
    <xdr:graphicFrame macro="">
      <xdr:nvGraphicFramePr>
        <xdr:cNvPr id="8" name="Chart 7">
          <a:extLst>
            <a:ext uri="{FF2B5EF4-FFF2-40B4-BE49-F238E27FC236}">
              <a16:creationId xmlns:a16="http://schemas.microsoft.com/office/drawing/2014/main" id="{C60F0FBC-1E3A-4036-8D10-EDC49DF93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1062183</xdr:colOff>
      <xdr:row>232</xdr:row>
      <xdr:rowOff>0</xdr:rowOff>
    </xdr:from>
    <xdr:to>
      <xdr:col>10</xdr:col>
      <xdr:colOff>196273</xdr:colOff>
      <xdr:row>250</xdr:row>
      <xdr:rowOff>127001</xdr:rowOff>
    </xdr:to>
    <xdr:graphicFrame macro="">
      <xdr:nvGraphicFramePr>
        <xdr:cNvPr id="9" name="Chart 8">
          <a:extLst>
            <a:ext uri="{FF2B5EF4-FFF2-40B4-BE49-F238E27FC236}">
              <a16:creationId xmlns:a16="http://schemas.microsoft.com/office/drawing/2014/main" id="{C069E620-AA85-46EF-9B60-BA47B6B45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532822</xdr:colOff>
      <xdr:row>9</xdr:row>
      <xdr:rowOff>145474</xdr:rowOff>
    </xdr:from>
    <xdr:to>
      <xdr:col>4</xdr:col>
      <xdr:colOff>297848</xdr:colOff>
      <xdr:row>18</xdr:row>
      <xdr:rowOff>103910</xdr:rowOff>
    </xdr:to>
    <mc:AlternateContent xmlns:mc="http://schemas.openxmlformats.org/markup-compatibility/2006" xmlns:a14="http://schemas.microsoft.com/office/drawing/2010/main">
      <mc:Choice Requires="a14">
        <xdr:graphicFrame macro="">
          <xdr:nvGraphicFramePr>
            <xdr:cNvPr id="10" name="Shift">
              <a:extLst>
                <a:ext uri="{FF2B5EF4-FFF2-40B4-BE49-F238E27FC236}">
                  <a16:creationId xmlns:a16="http://schemas.microsoft.com/office/drawing/2014/main" id="{3F3286A5-4940-07F9-EF35-449EA4F08969}"/>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2761095" y="1808019"/>
              <a:ext cx="2432026" cy="162098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752187</xdr:colOff>
      <xdr:row>9</xdr:row>
      <xdr:rowOff>180109</xdr:rowOff>
    </xdr:from>
    <xdr:to>
      <xdr:col>6</xdr:col>
      <xdr:colOff>6351</xdr:colOff>
      <xdr:row>23</xdr:row>
      <xdr:rowOff>124402</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CA96883E-5AD1-A929-E67E-F6293F058A2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647460" y="1842654"/>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TI AISYAH BINTI ABDUL RAHMAN" refreshedDate="45796.660737847225" createdVersion="8" refreshedVersion="8" minRefreshableVersion="3" recordCount="1055" xr:uid="{37D7810E-5BBE-462F-AA76-246449F33E4F}">
  <cacheSource type="worksheet">
    <worksheetSource name="Table3"/>
  </cacheSource>
  <cacheFields count="20">
    <cacheField name="Employee No." numFmtId="0">
      <sharedItems count="1055">
        <s v="OSD25110001"/>
        <s v="OSD25110005"/>
        <s v="OSD25110006"/>
        <s v="OSD25110013"/>
        <s v="OSD25110014"/>
        <s v="OSD25110019"/>
        <s v="OSD25110020"/>
        <s v="OSD25110021"/>
        <s v="OSD25110022"/>
        <s v="OSD25110023"/>
        <s v="OSD25110025"/>
        <s v="OSD25110026"/>
        <s v="OSD25110027"/>
        <s v="OSD25110028"/>
        <s v="OSD25110029"/>
        <s v="OSD25110030"/>
        <s v="OSD25110031"/>
        <s v="OSD25110032"/>
        <s v="OSD25110033"/>
        <s v="OSD25110034"/>
        <s v="OSD25110035"/>
        <s v="OSD25110036"/>
        <s v="OSD25110037"/>
        <s v="OSD25120001"/>
        <s v="OSD25120002"/>
        <s v="OSD25120003"/>
        <s v="OSD25120004"/>
        <s v="OSD25120005"/>
        <s v="OSD25120006"/>
        <s v="OSD25120008"/>
        <s v="OSD25120009"/>
        <s v="OSD25120011"/>
        <s v="OSD25120014"/>
        <s v="OSD25120015"/>
        <s v="OSD25120019"/>
        <s v="OSD25120020"/>
        <s v="OSD25120021"/>
        <s v="OSD25120022"/>
        <s v="OSD25120024"/>
        <s v="OSD25120026"/>
        <s v="OSD25120027"/>
        <s v="OSD25120028"/>
        <s v="OSD25120030"/>
        <s v="OSD25120032"/>
        <s v="OSD25120034"/>
        <s v="OSD25120035"/>
        <s v="OSD25120037"/>
        <s v="OSD25120038"/>
        <s v="OSD25120040"/>
        <s v="OSD25120041"/>
        <s v="OSD25120042"/>
        <s v="OSD25120043"/>
        <s v="OSD25120044"/>
        <s v="OSD25120045"/>
        <s v="OSD25120046"/>
        <s v="OSD25120047"/>
        <s v="OSD25120048"/>
        <s v="OSD25120050"/>
        <s v="OSD25120052"/>
        <s v="OSD25120055"/>
        <s v="OSD25120056"/>
        <s v="OSD25120057"/>
        <s v="OSD25120058"/>
        <s v="OSD25120059"/>
        <s v="OSD25120061"/>
        <s v="OSD25120062"/>
        <s v="OSD25120064"/>
        <s v="OSD25130001"/>
        <s v="OSD25130002"/>
        <s v="OSD25130003"/>
        <s v="OSD25130004"/>
        <s v="OSD25130005"/>
        <s v="OSD25130007"/>
        <s v="OSD25130009"/>
        <s v="OSD25130010"/>
        <s v="OSD25130013"/>
        <s v="OSD25130014"/>
        <s v="OSD25130015"/>
        <s v="OSD25130016"/>
        <s v="OSD25130017"/>
        <s v="OSD25130018"/>
        <s v="OSD25130019"/>
        <s v="P20210041"/>
        <s v="P20210063"/>
        <s v="P20220076"/>
        <s v="P20220091"/>
        <s v="P20220111"/>
        <s v="P20220114"/>
        <s v="P20220117"/>
        <s v="P20220118"/>
        <s v="P20220119"/>
        <s v="P20220121"/>
        <s v="P20220122"/>
        <s v="P20220124"/>
        <s v="P20220126"/>
        <s v="P20220130"/>
        <s v="P20220132"/>
        <s v="P20220134"/>
        <s v="P20220136"/>
        <s v="P20220137"/>
        <s v="P20220144"/>
        <s v="P20220146"/>
        <s v="P20220148"/>
        <s v="P20220151"/>
        <s v="P20220153"/>
        <s v="P20220156"/>
        <s v="P20220165"/>
        <s v="P20220167"/>
        <s v="P20220169"/>
        <s v="P20220170"/>
        <s v="P20220171"/>
        <s v="P20220174"/>
        <s v="P20220195"/>
        <s v="P20220200"/>
        <s v="P20220201"/>
        <s v="P20220203"/>
        <s v="P20220217"/>
        <s v="P20220219"/>
        <s v="P20220225"/>
        <s v="P20220226"/>
        <s v="P20220227"/>
        <s v="P20220230"/>
        <s v="P20220232"/>
        <s v="P20220234"/>
        <s v="P20220237"/>
        <s v="P20220241"/>
        <s v="P20220246"/>
        <s v="P20220248"/>
        <s v="P20220253"/>
        <s v="P20220260"/>
        <s v="P20220261"/>
        <s v="P20220264"/>
        <s v="P20220267"/>
        <s v="P20220268"/>
        <s v="P20220271"/>
        <s v="P20220273"/>
        <s v="P20220275"/>
        <s v="P20220280"/>
        <s v="P20220281"/>
        <s v="P20220283"/>
        <s v="P20220284"/>
        <s v="P20220285"/>
        <s v="P20220287"/>
        <s v="P20220288"/>
        <s v="P20220291"/>
        <s v="P20220295"/>
        <s v="P20220296"/>
        <s v="P20220297"/>
        <s v="P20220298"/>
        <s v="P20220301"/>
        <s v="P20220306"/>
        <s v="P20220307"/>
        <s v="P20220309"/>
        <s v="P20220310"/>
        <s v="P20220311"/>
        <s v="P20220312"/>
        <s v="P20220316"/>
        <s v="P20220318"/>
        <s v="P20220319"/>
        <s v="P20220321"/>
        <s v="P20220322"/>
        <s v="P20220324"/>
        <s v="P20220325"/>
        <s v="P20220326"/>
        <s v="P20220329"/>
        <s v="P20220330"/>
        <s v="P20220331"/>
        <s v="P20220332"/>
        <s v="P20220334"/>
        <s v="P20220335"/>
        <s v="P20220339"/>
        <s v="P20220343"/>
        <s v="P20220344"/>
        <s v="P20220345"/>
        <s v="P20220348"/>
        <s v="P20220349"/>
        <s v="P20220352"/>
        <s v="P20220358"/>
        <s v="P20220361"/>
        <s v="P20220367"/>
        <s v="P20220372"/>
        <s v="P20220373"/>
        <s v="P20220374"/>
        <s v="P20220382"/>
        <s v="P20220386"/>
        <s v="P20220389"/>
        <s v="P20220395"/>
        <s v="P20220396"/>
        <s v="P20220397"/>
        <s v="P20220401"/>
        <s v="P20220403"/>
        <s v="P20220407"/>
        <s v="P20220409"/>
        <s v="P20220410"/>
        <s v="P20220414"/>
        <s v="P20220415"/>
        <s v="P20220416"/>
        <s v="P20220417"/>
        <s v="P20220418"/>
        <s v="P20220425"/>
        <s v="P20220427"/>
        <s v="P20220428"/>
        <s v="P20220430"/>
        <s v="P20220431"/>
        <s v="P20220432"/>
        <s v="P20220434"/>
        <s v="P20220436"/>
        <s v="P20220437"/>
        <s v="P20220438"/>
        <s v="P20220442"/>
        <s v="P20220445"/>
        <s v="P20220447"/>
        <s v="P20220451"/>
        <s v="P20220452"/>
        <s v="P20220456"/>
        <s v="P20220457"/>
        <s v="P20220462"/>
        <s v="P20220466"/>
        <s v="P20220468"/>
        <s v="P20220471"/>
        <s v="P20220473"/>
        <s v="P20220474"/>
        <s v="P20220475"/>
        <s v="P20220476"/>
        <s v="P20220477"/>
        <s v="P20220478"/>
        <s v="P20220480"/>
        <s v="P20220481"/>
        <s v="P20220482"/>
        <s v="P20220483"/>
        <s v="P20220485"/>
        <s v="P20220487"/>
        <s v="P20220493"/>
        <s v="P20220495"/>
        <s v="P20220499"/>
        <s v="P20220501"/>
        <s v="P20220504"/>
        <s v="P20220506"/>
        <s v="P20220507"/>
        <s v="P20220509"/>
        <s v="P20220514"/>
        <s v="P20220519"/>
        <s v="P20220520"/>
        <s v="P20220523"/>
        <s v="P20220524"/>
        <s v="P20220526"/>
        <s v="P20220527"/>
        <s v="P20220528"/>
        <s v="P20220530"/>
        <s v="P20220536"/>
        <s v="P20220539"/>
        <s v="P20220540"/>
        <s v="P20220542"/>
        <s v="P20220544"/>
        <s v="P20220545"/>
        <s v="P20220546"/>
        <s v="P20220552"/>
        <s v="P20220553"/>
        <s v="P20220556"/>
        <s v="P20220558"/>
        <s v="P20220561"/>
        <s v="P20220562"/>
        <s v="P20220563"/>
        <s v="P20220564"/>
        <s v="P20220565"/>
        <s v="P20220566"/>
        <s v="P20220568"/>
        <s v="P20220569"/>
        <s v="P20220580"/>
        <s v="P20220581"/>
        <s v="P20220582"/>
        <s v="P20220583"/>
        <s v="P20230002"/>
        <s v="P20230004"/>
        <s v="P20230008"/>
        <s v="P20230009"/>
        <s v="P20230011"/>
        <s v="P20230012"/>
        <s v="P20230013"/>
        <s v="P20230014"/>
        <s v="P20230015"/>
        <s v="P20230016"/>
        <s v="P20230017"/>
        <s v="P20230018"/>
        <s v="P20230020"/>
        <s v="P20230021"/>
        <s v="P20230022"/>
        <s v="P20230023"/>
        <s v="P20230024"/>
        <s v="P20230025"/>
        <s v="P20230026"/>
        <s v="P20230027"/>
        <s v="P20230028"/>
        <s v="P20230029"/>
        <s v="P20230030"/>
        <s v="P20230031"/>
        <s v="P20230032"/>
        <s v="P20230033"/>
        <s v="P20230034"/>
        <s v="P20230035"/>
        <s v="P20230036"/>
        <s v="P20230037"/>
        <s v="P20230038"/>
        <s v="P20230040"/>
        <s v="P20230041"/>
        <s v="P20230043"/>
        <s v="P20230044"/>
        <s v="P20230047"/>
        <s v="P20230048"/>
        <s v="P20230049"/>
        <s v="P20230050"/>
        <s v="P20230053"/>
        <s v="P20230055"/>
        <s v="P20230056"/>
        <s v="P20230057"/>
        <s v="P20230058"/>
        <s v="P20230059"/>
        <s v="P20230061"/>
        <s v="P20230063"/>
        <s v="P20230066"/>
        <s v="P20230067"/>
        <s v="P20230068"/>
        <s v="P20230070"/>
        <s v="P20230072"/>
        <s v="P20230077"/>
        <s v="P20230078"/>
        <s v="P20230079"/>
        <s v="P20230080"/>
        <s v="P20230081"/>
        <s v="P20230083"/>
        <s v="P20230084"/>
        <s v="P20230086"/>
        <s v="P20230088"/>
        <s v="P20230089"/>
        <s v="P20230090"/>
        <s v="P20230091"/>
        <s v="P20230092"/>
        <s v="P20230093"/>
        <s v="P20230094"/>
        <s v="P20230095"/>
        <s v="P20230097"/>
        <s v="P20230099"/>
        <s v="P20230100"/>
        <s v="P20230102"/>
        <s v="P20230103"/>
        <s v="P20230105"/>
        <s v="P20230107"/>
        <s v="P20230108"/>
        <s v="P20230109"/>
        <s v="P20230110"/>
        <s v="P20230112"/>
        <s v="P20230114"/>
        <s v="P20230115"/>
        <s v="P20230116"/>
        <s v="P20230122"/>
        <s v="P20230126"/>
        <s v="P20230130"/>
        <s v="P20230132"/>
        <s v="P20230133"/>
        <s v="P20230134"/>
        <s v="P20230135"/>
        <s v="P20230136"/>
        <s v="P20230140"/>
        <s v="P20230141"/>
        <s v="P20230143"/>
        <s v="P20230144"/>
        <s v="P20230147"/>
        <s v="P20230148"/>
        <s v="P20230150"/>
        <s v="P20230152"/>
        <s v="P20230153"/>
        <s v="P20230154"/>
        <s v="P20230155"/>
        <s v="P20230156"/>
        <s v="P20230157"/>
        <s v="P20230158"/>
        <s v="P20230159"/>
        <s v="P20230160"/>
        <s v="P20230162"/>
        <s v="P20230163"/>
        <s v="P20230164"/>
        <s v="P20230165"/>
        <s v="P20230166"/>
        <s v="P20230171"/>
        <s v="P20230172"/>
        <s v="P20230174"/>
        <s v="P20230177"/>
        <s v="P20230178"/>
        <s v="P20230179"/>
        <s v="P20230180"/>
        <s v="P20230181"/>
        <s v="P20230182"/>
        <s v="P20230183"/>
        <s v="P20230184"/>
        <s v="P20230185"/>
        <s v="P20230186"/>
        <s v="P20230188"/>
        <s v="P20230189"/>
        <s v="P20230190"/>
        <s v="P20230191"/>
        <s v="P20230192"/>
        <s v="P20230193"/>
        <s v="P20230194"/>
        <s v="P20230195"/>
        <s v="P20230196"/>
        <s v="P20230197"/>
        <s v="P20230198"/>
        <s v="P20230199"/>
        <s v="P20230201"/>
        <s v="P20230202"/>
        <s v="P20230203"/>
        <s v="P20230204"/>
        <s v="P20230205"/>
        <s v="P20230206"/>
        <s v="P20230207"/>
        <s v="P20230208"/>
        <s v="P20230210"/>
        <s v="P20230211"/>
        <s v="P20230212"/>
        <s v="P20230213"/>
        <s v="P20230216"/>
        <s v="P20230217"/>
        <s v="P20230218"/>
        <s v="P20230219"/>
        <s v="P20230221"/>
        <s v="P20230222"/>
        <s v="P20230223"/>
        <s v="P20230225"/>
        <s v="P20230226"/>
        <s v="P20230227"/>
        <s v="P20230228"/>
        <s v="P20230229"/>
        <s v="P20230230"/>
        <s v="P20230231"/>
        <s v="P20230232"/>
        <s v="P20230233"/>
        <s v="P20230234"/>
        <s v="P20230236"/>
        <s v="P20230247"/>
        <s v="P20230250"/>
        <s v="P20230251"/>
        <s v="P20230252"/>
        <s v="P20230254"/>
        <s v="P20230256"/>
        <s v="P20230257"/>
        <s v="P20230260"/>
        <s v="P20230261"/>
        <s v="P20230264"/>
        <s v="P20230265"/>
        <s v="P20230266"/>
        <s v="P20230267"/>
        <s v="P20230268"/>
        <s v="P20230271"/>
        <s v="P20230272"/>
        <s v="P20230276"/>
        <s v="P20230277"/>
        <s v="P20230278"/>
        <s v="P20230279"/>
        <s v="P20230281"/>
        <s v="P20230282"/>
        <s v="P20230283"/>
        <s v="P20230284"/>
        <s v="P20230286"/>
        <s v="P20230287"/>
        <s v="P20230288"/>
        <s v="P20230289"/>
        <s v="P20230291"/>
        <s v="P20230292"/>
        <s v="P20230294"/>
        <s v="P20230295"/>
        <s v="P20230296"/>
        <s v="P20230297"/>
        <s v="P20230298"/>
        <s v="P20230299"/>
        <s v="P20230300"/>
        <s v="P20230303"/>
        <s v="P20230306"/>
        <s v="P20230311"/>
        <s v="P20230312"/>
        <s v="P20230313"/>
        <s v="P20230314"/>
        <s v="P20230315"/>
        <s v="P20230316"/>
        <s v="P20230317"/>
        <s v="P20230318"/>
        <s v="P20230322"/>
        <s v="P20230324"/>
        <s v="P20230325"/>
        <s v="P20230326"/>
        <s v="P20230327"/>
        <s v="P20230329"/>
        <s v="P20230330"/>
        <s v="P20230331"/>
        <s v="P20230334"/>
        <s v="P20230335"/>
        <s v="P20230336"/>
        <s v="P20230337"/>
        <s v="P20230338"/>
        <s v="P20230339"/>
        <s v="P20230340"/>
        <s v="P20230341"/>
        <s v="P20230343"/>
        <s v="P20230345"/>
        <s v="P20230347"/>
        <s v="P20230348"/>
        <s v="P20230349"/>
        <s v="P20230350"/>
        <s v="P20230351"/>
        <s v="P20230353"/>
        <s v="P20230354"/>
        <s v="P20230356"/>
        <s v="P20230359"/>
        <s v="P20230360"/>
        <s v="P20230362"/>
        <s v="P20230363"/>
        <s v="P20230366"/>
        <s v="P20230367"/>
        <s v="P20230368"/>
        <s v="P20230369"/>
        <s v="P20230370"/>
        <s v="P20230371"/>
        <s v="P20230372"/>
        <s v="P20230373"/>
        <s v="P20230374"/>
        <s v="P20230375"/>
        <s v="P20230377"/>
        <s v="P20230380"/>
        <s v="P20230381"/>
        <s v="P20230382"/>
        <s v="P20230383"/>
        <s v="P20230384"/>
        <s v="P20230385"/>
        <s v="P20230387"/>
        <s v="P20230388"/>
        <s v="P20230389"/>
        <s v="P20230390"/>
        <s v="P20230391"/>
        <s v="P20230392"/>
        <s v="P20230393"/>
        <s v="P20230395"/>
        <s v="P20230396"/>
        <s v="P20230397"/>
        <s v="P20230398"/>
        <s v="P20230400"/>
        <s v="P20230403"/>
        <s v="P20230404"/>
        <s v="P20230405"/>
        <s v="P20230406"/>
        <s v="P20230407"/>
        <s v="P20230408"/>
        <s v="P20230409"/>
        <s v="P20230410"/>
        <s v="P20230411"/>
        <s v="P20230412"/>
        <s v="P20230416"/>
        <s v="P20230417"/>
        <s v="P20230418"/>
        <s v="P20230419"/>
        <s v="P20230420"/>
        <s v="P20230422"/>
        <s v="P20230423"/>
        <s v="P20230424"/>
        <s v="P20230425"/>
        <s v="P20230427"/>
        <s v="P20230428"/>
        <s v="P20230430"/>
        <s v="P20230431"/>
        <s v="P20230432"/>
        <s v="P20230433"/>
        <s v="P20230434"/>
        <s v="P20230435"/>
        <s v="P20230436"/>
        <s v="P20230437"/>
        <s v="P20230438"/>
        <s v="P20230439"/>
        <s v="P20230440"/>
        <s v="P20230441"/>
        <s v="P20230442"/>
        <s v="P20230443"/>
        <s v="P20230445"/>
        <s v="P20230446"/>
        <s v="P20230449"/>
        <s v="P20230450"/>
        <s v="P20230451"/>
        <s v="P20230452"/>
        <s v="P20230453"/>
        <s v="P20230454"/>
        <s v="P20230455"/>
        <s v="P20230456"/>
        <s v="P20230457"/>
        <s v="P20230458"/>
        <s v="P20230462"/>
        <s v="P20230464"/>
        <s v="P20230472"/>
        <s v="P20230480"/>
        <s v="P20230485"/>
        <s v="P20230501"/>
        <s v="P20230502"/>
        <s v="P20230507"/>
        <s v="P20230508"/>
        <s v="P20230509"/>
        <s v="P20230510"/>
        <s v="P20230511"/>
        <s v="P20230514"/>
        <s v="P20230515"/>
        <s v="P20230516"/>
        <s v="P20230517"/>
        <s v="P20230518"/>
        <s v="P20230521"/>
        <s v="P20230522"/>
        <s v="P20230524"/>
        <s v="P20230525"/>
        <s v="P20230526"/>
        <s v="P20230527"/>
        <s v="P20230528"/>
        <s v="P20230529"/>
        <s v="P20230531"/>
        <s v="P20230532"/>
        <s v="P20230533"/>
        <s v="P20230534"/>
        <s v="P20230535"/>
        <s v="P20230536"/>
        <s v="P20230540"/>
        <s v="P20230546"/>
        <s v="P20230553"/>
        <s v="P20230554"/>
        <s v="P20230557"/>
        <s v="P20230558"/>
        <s v="P20230559"/>
        <s v="P20230560"/>
        <s v="P20230561"/>
        <s v="P20230563"/>
        <s v="P20230564"/>
        <s v="P20230565"/>
        <s v="P20230566"/>
        <s v="P20230567"/>
        <s v="P20230569"/>
        <s v="P20230570"/>
        <s v="P20230573"/>
        <s v="P20230575"/>
        <s v="P20230576"/>
        <s v="P20230578"/>
        <s v="P20230582"/>
        <s v="P20230583"/>
        <s v="P20230584"/>
        <s v="P20230585"/>
        <s v="P20230587"/>
        <s v="P20230588"/>
        <s v="P20230590"/>
        <s v="P20230591"/>
        <s v="P20230592"/>
        <s v="P20230594"/>
        <s v="P20230595"/>
        <s v="P20230596"/>
        <s v="P20230598"/>
        <s v="P20230600"/>
        <s v="P20230601"/>
        <s v="P20230606"/>
        <s v="P20230607"/>
        <s v="P20230608"/>
        <s v="P20230609"/>
        <s v="P20230612"/>
        <s v="P20230615"/>
        <s v="P20230616"/>
        <s v="P20230617"/>
        <s v="P20230618"/>
        <s v="P20230619"/>
        <s v="P20230620"/>
        <s v="P20230621"/>
        <s v="P20230622"/>
        <s v="P20230623"/>
        <s v="P20230624"/>
        <s v="P20230625"/>
        <s v="P20230627"/>
        <s v="P20230628"/>
        <s v="P20230629"/>
        <s v="P20230630"/>
        <s v="P20230632"/>
        <s v="P20230633"/>
        <s v="P20230634"/>
        <s v="P20230635"/>
        <s v="P20230636"/>
        <s v="P20230639"/>
        <s v="P20230640"/>
        <s v="P20230641"/>
        <s v="P20230643"/>
        <s v="P20230644"/>
        <s v="P20230645"/>
        <s v="P20230646"/>
        <s v="P20230647"/>
        <s v="P20230648"/>
        <s v="P20230649"/>
        <s v="P20230650"/>
        <s v="P20230652"/>
        <s v="P20230654"/>
        <s v="P20230656"/>
        <s v="P20230657"/>
        <s v="P20230658"/>
        <s v="P20230659"/>
        <s v="P20230660"/>
        <s v="P20230662"/>
        <s v="P20230663"/>
        <s v="P20230665"/>
        <s v="P20230667"/>
        <s v="P20230668"/>
        <s v="P20230669"/>
        <s v="P20230670"/>
        <s v="P20230672"/>
        <s v="P20230673"/>
        <s v="P20230674"/>
        <s v="P20230675"/>
        <s v="P20230678"/>
        <s v="P20230679"/>
        <s v="P20230680"/>
        <s v="P20230681"/>
        <s v="P20230682"/>
        <s v="P20230683"/>
        <s v="P20230690"/>
        <s v="P20230691"/>
        <s v="P20230692"/>
        <s v="P20230693"/>
        <s v="P20230694"/>
        <s v="P20230695"/>
        <s v="P20230697"/>
        <s v="P20230699"/>
        <s v="P20230700"/>
        <s v="P20230701"/>
        <s v="P20230702"/>
        <s v="P20230703"/>
        <s v="P20230704"/>
        <s v="P20230705"/>
        <s v="P20230706"/>
        <s v="P20230707"/>
        <s v="P20230711"/>
        <s v="P20230712"/>
        <s v="P20230715"/>
        <s v="P20230716"/>
        <s v="P20240013"/>
        <s v="P20240018"/>
        <s v="P20240019"/>
        <s v="P20240020"/>
        <s v="P20240021"/>
        <s v="P20240022"/>
        <s v="P20240023"/>
        <s v="P20240024"/>
        <s v="P20240026"/>
        <s v="P20240027"/>
        <s v="P20240028"/>
        <s v="P20240029"/>
        <s v="P20240030"/>
        <s v="P20240031"/>
        <s v="P20240032"/>
        <s v="P20240033"/>
        <s v="P20240035"/>
        <s v="P20240036"/>
        <s v="P20240037"/>
        <s v="P20240039"/>
        <s v="P20240040"/>
        <s v="P20240042"/>
        <s v="P20240043"/>
        <s v="P20240045"/>
        <s v="P20240047"/>
        <s v="P20240048"/>
        <s v="P20240050"/>
        <s v="P20240051"/>
        <s v="P20240053"/>
        <s v="P20240055"/>
        <s v="P20240056"/>
        <s v="P20240058"/>
        <s v="P20240060"/>
        <s v="P20240061"/>
        <s v="P20240065"/>
        <s v="P20240066"/>
        <s v="P20240067"/>
        <s v="P20240069"/>
        <s v="P20240070"/>
        <s v="P20240071"/>
        <s v="P20240072"/>
        <s v="P20240073"/>
        <s v="P20240074"/>
        <s v="P20240075"/>
        <s v="P20240076"/>
        <s v="P20240077"/>
        <s v="P20240079"/>
        <s v="P20240080"/>
        <s v="P20240081"/>
        <s v="P20240082"/>
        <s v="P20240084"/>
        <s v="P20240085"/>
        <s v="P20240086"/>
        <s v="P20240087"/>
        <s v="P20240088"/>
        <s v="P20240090"/>
        <s v="P20240091"/>
        <s v="P20240093"/>
        <s v="P20240094"/>
        <s v="P20240095"/>
        <s v="P20240096"/>
        <s v="P20240097"/>
        <s v="P20240098"/>
        <s v="P20240100"/>
        <s v="P20240101"/>
        <s v="P20240102"/>
        <s v="P20240105"/>
        <s v="P20240106"/>
        <s v="P20240108"/>
        <s v="P20240109"/>
        <s v="P20240111"/>
        <s v="P20240126"/>
        <s v="P20240127"/>
        <s v="P20240128"/>
        <s v="P20240133"/>
        <s v="P20240152"/>
        <s v="P20240157"/>
        <s v="P20240158"/>
        <s v="P20240159"/>
        <s v="P20240160"/>
        <s v="P20240161"/>
        <s v="P20240172"/>
        <s v="P20240173"/>
        <s v="P20240174"/>
        <s v="P20240176"/>
        <s v="P20240177"/>
        <s v="P20240178"/>
        <s v="P20240179"/>
        <s v="P20240180"/>
        <s v="P20240186"/>
        <s v="P20240187"/>
        <s v="P20240188"/>
        <s v="P20240189"/>
        <s v="P20240190"/>
        <s v="P20240191"/>
        <s v="P20240192"/>
        <s v="P20240193"/>
        <s v="P20240194"/>
        <s v="P20240195"/>
        <s v="P20240196"/>
        <s v="P20240197"/>
        <s v="P20240198"/>
        <s v="P20240199"/>
        <s v="P20240200"/>
        <s v="P20240201"/>
        <s v="P20240202"/>
        <s v="P20240203"/>
        <s v="P20240204"/>
        <s v="P20240205"/>
        <s v="P20240206"/>
        <s v="P20240207"/>
        <s v="P20240208"/>
        <s v="P20240209"/>
        <s v="P20240210"/>
        <s v="P20240211"/>
        <s v="P20240212"/>
        <s v="P20240213"/>
        <s v="P20240214"/>
        <s v="P20240215"/>
        <s v="P20240216"/>
        <s v="P20240217"/>
        <s v="P20240218"/>
        <s v="P20240219"/>
        <s v="P20240220"/>
        <s v="P20240222"/>
        <s v="P20240223"/>
        <s v="P20240224"/>
        <s v="P20240225"/>
        <s v="P20240226"/>
        <s v="P20240227"/>
        <s v="P20240228"/>
        <s v="P20240229"/>
        <s v="P20240230"/>
        <s v="P20240231"/>
        <s v="P20240232"/>
        <s v="P20240233"/>
        <s v="P20240234"/>
        <s v="P20240237"/>
        <s v="P20240238"/>
        <s v="P20240239"/>
        <s v="P20240240"/>
        <s v="P20240242"/>
        <s v="P20240245"/>
        <s v="P20240246"/>
        <s v="P20240247"/>
        <s v="P20240248"/>
        <s v="P20240249"/>
        <s v="P20240250"/>
        <s v="P20240251"/>
        <s v="P20240252"/>
        <s v="P20240254"/>
        <s v="P20240255"/>
        <s v="P20240256"/>
        <s v="P20240257"/>
        <s v="P20240258"/>
        <s v="P20240259"/>
        <s v="P20240260"/>
        <s v="P20240261"/>
        <s v="P20240262"/>
        <s v="P20240263"/>
        <s v="P20240265"/>
        <s v="P20240266"/>
        <s v="P20240267"/>
        <s v="P20240268"/>
        <s v="P20240269"/>
        <s v="P20240270"/>
        <s v="P20240271"/>
        <s v="P20240272"/>
        <s v="P20240273"/>
        <s v="P20240274"/>
        <s v="P20240275"/>
        <s v="P20240276"/>
        <s v="P20240277"/>
        <s v="P20240278"/>
        <s v="P20240279"/>
        <s v="P20240280"/>
        <s v="P20240281"/>
        <s v="P20240282"/>
        <s v="P20240283"/>
        <s v="P20240284"/>
        <s v="P20240285"/>
        <s v="P20240286"/>
        <s v="P20240287"/>
        <s v="P20240289"/>
        <s v="P20240290"/>
        <s v="P20240291"/>
        <s v="P20240292"/>
        <s v="P20240293"/>
        <s v="P20240295"/>
        <s v="P20240296"/>
        <s v="P20240297"/>
        <s v="P20240298"/>
        <s v="P20240299"/>
        <s v="P20240301"/>
        <s v="P20240302"/>
        <s v="P20240303"/>
        <s v="P20240305"/>
        <s v="P20240306"/>
        <s v="P20240307"/>
        <s v="P20240309"/>
        <s v="P20240310"/>
        <s v="P20240311"/>
        <s v="P20240312"/>
        <s v="P20240313"/>
        <s v="P20240314"/>
        <s v="P20240315"/>
        <s v="P20240316"/>
        <s v="P20240317"/>
        <s v="P20240318"/>
        <s v="P20240319"/>
        <s v="P20240321"/>
        <s v="P20240322"/>
        <s v="P20240324"/>
        <s v="P20240326"/>
        <s v="P20240327"/>
        <s v="P20240328"/>
        <s v="P20240329"/>
        <s v="P20240330"/>
        <s v="P20240331"/>
        <s v="P20240332"/>
        <s v="P20240333"/>
        <s v="P20240334"/>
        <s v="P20240337"/>
        <s v="P20240338"/>
        <s v="P20240340"/>
        <s v="P20240341"/>
        <s v="P20240342"/>
        <s v="P20240343"/>
        <s v="P20240344"/>
        <s v="P20240345"/>
        <s v="P20240346"/>
        <s v="P20240347"/>
        <s v="P20240348"/>
        <s v="P20240349"/>
        <s v="P20240350"/>
        <s v="P20240351"/>
        <s v="P20240352"/>
        <s v="P20240353"/>
        <s v="P20240357"/>
        <s v="P20240360"/>
        <s v="P20250003"/>
        <s v="P20250008"/>
        <s v="P20250009"/>
        <s v="WR25150002"/>
        <s v="WR25150003"/>
        <s v="WR25150004"/>
        <s v="WR25150005"/>
        <s v="WR25150006"/>
        <s v="WR25150007"/>
        <s v="WR25150008"/>
        <s v="WR25150009"/>
        <s v="WR25150013"/>
        <s v="WR25150014"/>
        <s v="WR25150016"/>
        <s v="WR25150017"/>
        <s v="WR25150018"/>
        <s v="WR25150019"/>
        <s v="WR25150020"/>
        <s v="WR25150021"/>
        <s v="WR25150023"/>
        <s v="WR25150026"/>
        <s v="WR25150027"/>
        <s v="WR25150028"/>
        <s v="WR25150029"/>
        <s v="WR25150030"/>
        <s v="WR25150031"/>
        <s v="WR25150032"/>
        <s v="WR25150033"/>
        <s v="WR25150035"/>
        <s v="WR25150036"/>
        <s v="WR25150037"/>
        <s v="WR25150038"/>
        <s v="WR25150041"/>
        <s v="WR25150042"/>
        <s v="WR25150043"/>
        <s v="WR25150044"/>
        <s v="WR25150045"/>
        <s v="WR25150046"/>
        <s v="WR25150049"/>
        <s v="WR25150050"/>
        <s v="WR25150051"/>
        <s v="WR25150052"/>
        <s v="WR25150053"/>
        <s v="WR25160003"/>
        <s v="WR25160008"/>
        <s v="WR25160012"/>
        <s v="WR25160019"/>
        <s v="WR25160020"/>
        <s v="WR25160021"/>
        <s v="WR25160024"/>
        <s v="WR25160026"/>
        <s v="WR25160028"/>
        <s v="WR25160029"/>
        <s v="WR25160030"/>
        <s v="WR25160035"/>
        <s v="WR25160044"/>
        <s v="WR25160045"/>
        <s v="WR25160046"/>
        <s v="WR25160050"/>
        <s v="OSD25130008"/>
        <s v="P20210034"/>
        <s v="WR25150001"/>
        <s v="WR25150010"/>
        <s v="WR25150048"/>
        <s v="WR25160006"/>
        <s v="WR25160007"/>
        <s v="WR25160011"/>
        <s v="WR25160013"/>
        <s v="WR25160014"/>
        <s v="WR25160016"/>
        <s v="WR25160025"/>
        <s v="WR25160032"/>
        <s v="WR25160036"/>
        <s v="WR25160040"/>
        <s v="WR25160042"/>
        <s v="WR25160043"/>
        <s v="WR25160049"/>
        <s v="WR25160051"/>
      </sharedItems>
    </cacheField>
    <cacheField name="Employee Name" numFmtId="0">
      <sharedItems/>
    </cacheField>
    <cacheField name="Department" numFmtId="0">
      <sharedItems count="24">
        <s v="DF"/>
        <s v="AU"/>
        <s v="ROUTER"/>
        <s v="AOI"/>
        <s v="CU"/>
        <s v="BBT"/>
        <s v="SM"/>
        <s v="DRILL"/>
        <s v="PACKING"/>
        <s v="MLB"/>
        <s v="EQUIPMENT"/>
        <s v="FACILITY"/>
        <s v="RODI"/>
        <s v="HS"/>
        <s v="WAREHOUSE"/>
        <s v="ENVIRONMENT"/>
        <s v="QUALITY"/>
        <s v="LASER"/>
        <s v="DESIGN"/>
        <s v="FVI"/>
        <s v="PRODUCTION CONTROL"/>
        <s v="CHAMFER"/>
        <s v="MAKE UP"/>
        <s v="NPI"/>
      </sharedItems>
    </cacheField>
    <cacheField name="Gender" numFmtId="0">
      <sharedItems count="2">
        <s v="M"/>
        <s v="F"/>
      </sharedItems>
    </cacheField>
    <cacheField name="Shift" numFmtId="0">
      <sharedItems count="5">
        <s v="SHIFT E"/>
        <s v="SHIFT A"/>
        <s v="SHIFT B"/>
        <s v="SHIFT C"/>
        <s v="SHIFT O"/>
      </sharedItems>
    </cacheField>
    <cacheField name="Chemical Handling" numFmtId="0">
      <sharedItems containsString="0" containsBlank="1" containsNumber="1" containsInteger="1" minValue="0" maxValue="1" count="3">
        <n v="0"/>
        <n v="1"/>
        <m/>
      </sharedItems>
    </cacheField>
    <cacheField name="Safety Ladder" numFmtId="0">
      <sharedItems containsString="0" containsBlank="1" containsNumber="1" containsInteger="1" minValue="0" maxValue="1" count="3">
        <n v="1"/>
        <n v="0"/>
        <m/>
      </sharedItems>
    </cacheField>
    <cacheField name="Eyes Safety" numFmtId="0">
      <sharedItems containsString="0" containsBlank="1" containsNumber="1" containsInteger="1" minValue="0" maxValue="1" count="3">
        <n v="0"/>
        <n v="1"/>
        <m/>
      </sharedItems>
    </cacheField>
    <cacheField name="Emergency Shower &amp; Eyewash" numFmtId="0">
      <sharedItems containsString="0" containsBlank="1" containsNumber="1" containsInteger="1" minValue="0" maxValue="1" count="3">
        <n v="1"/>
        <n v="0"/>
        <m/>
      </sharedItems>
    </cacheField>
    <cacheField name="LOTO" numFmtId="0">
      <sharedItems containsString="0" containsBlank="1" containsNumber="1" containsInteger="1" minValue="0" maxValue="1" count="3">
        <n v="1"/>
        <n v="0"/>
        <m/>
      </sharedItems>
    </cacheField>
    <cacheField name="Slip Trip and Fall" numFmtId="0">
      <sharedItems containsString="0" containsBlank="1" containsNumber="1" containsInteger="1" minValue="0" maxValue="1" count="3">
        <n v="0"/>
        <n v="1"/>
        <m/>
      </sharedItems>
    </cacheField>
    <cacheField name="Follow SOP" numFmtId="0">
      <sharedItems containsNonDate="0" containsString="0" containsBlank="1" count="1">
        <m/>
      </sharedItems>
    </cacheField>
    <cacheField name="Hearing Conversation" numFmtId="0">
      <sharedItems containsNonDate="0" containsString="0" containsBlank="1" count="1">
        <m/>
      </sharedItems>
    </cacheField>
    <cacheField name="Chemical hazard sign" numFmtId="0">
      <sharedItems containsNonDate="0" containsString="0" containsBlank="1" count="1">
        <m/>
      </sharedItems>
    </cacheField>
    <cacheField name="Machine Safety " numFmtId="0">
      <sharedItems containsNonDate="0" containsString="0" containsBlank="1" count="1">
        <m/>
      </sharedItems>
    </cacheField>
    <cacheField name="Safe use of tools and equipment" numFmtId="0">
      <sharedItems containsNonDate="0" containsString="0" containsBlank="1" count="1">
        <m/>
      </sharedItems>
    </cacheField>
    <cacheField name="Emergency spill response" numFmtId="0">
      <sharedItems containsNonDate="0" containsString="0" containsBlank="1" count="1">
        <m/>
      </sharedItems>
    </cacheField>
    <cacheField name="Importance of housekeeping" numFmtId="0">
      <sharedItems containsNonDate="0" containsString="0" containsBlank="1" count="1">
        <m/>
      </sharedItems>
    </cacheField>
    <cacheField name="Fire Safety" numFmtId="0">
      <sharedItems containsNonDate="0" containsString="0" containsBlank="1" count="1">
        <m/>
      </sharedItems>
    </cacheField>
    <cacheField name="Ergonomic" numFmtId="0">
      <sharedItems containsNonDate="0" containsString="0" containsBlank="1" count="1">
        <m/>
      </sharedItems>
    </cacheField>
  </cacheFields>
  <extLst>
    <ext xmlns:x14="http://schemas.microsoft.com/office/spreadsheetml/2009/9/main" uri="{725AE2AE-9491-48be-B2B4-4EB974FC3084}">
      <x14:pivotCacheDefinition pivotCacheId="1899096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x v="0"/>
    <s v="MUHAMAD HAFIZ BIN ABDULLAH"/>
    <x v="0"/>
    <x v="0"/>
    <x v="0"/>
    <x v="0"/>
    <x v="0"/>
    <x v="0"/>
    <x v="0"/>
    <x v="0"/>
    <x v="0"/>
    <x v="0"/>
    <x v="0"/>
    <x v="0"/>
    <x v="0"/>
    <x v="0"/>
    <x v="0"/>
    <x v="0"/>
    <x v="0"/>
    <x v="0"/>
  </r>
  <r>
    <x v="1"/>
    <s v="SYAZWAN BIN MOHD NOR AZMAN"/>
    <x v="1"/>
    <x v="0"/>
    <x v="0"/>
    <x v="0"/>
    <x v="0"/>
    <x v="1"/>
    <x v="1"/>
    <x v="1"/>
    <x v="1"/>
    <x v="0"/>
    <x v="0"/>
    <x v="0"/>
    <x v="0"/>
    <x v="0"/>
    <x v="0"/>
    <x v="0"/>
    <x v="0"/>
    <x v="0"/>
  </r>
  <r>
    <x v="2"/>
    <s v="MUHAMMAD SYAFIQ BIN MOHAMAD RAHMAT"/>
    <x v="2"/>
    <x v="0"/>
    <x v="1"/>
    <x v="1"/>
    <x v="0"/>
    <x v="1"/>
    <x v="0"/>
    <x v="0"/>
    <x v="1"/>
    <x v="0"/>
    <x v="0"/>
    <x v="0"/>
    <x v="0"/>
    <x v="0"/>
    <x v="0"/>
    <x v="0"/>
    <x v="0"/>
    <x v="0"/>
  </r>
  <r>
    <x v="3"/>
    <s v="MOHAMAD HAFIZ BIN ABDUL RAHMAN"/>
    <x v="3"/>
    <x v="0"/>
    <x v="0"/>
    <x v="0"/>
    <x v="0"/>
    <x v="1"/>
    <x v="0"/>
    <x v="0"/>
    <x v="0"/>
    <x v="0"/>
    <x v="0"/>
    <x v="0"/>
    <x v="0"/>
    <x v="0"/>
    <x v="0"/>
    <x v="0"/>
    <x v="0"/>
    <x v="0"/>
  </r>
  <r>
    <x v="4"/>
    <s v="MUHAMMAD SIRAJ MUNIR BIN MUBARAK"/>
    <x v="4"/>
    <x v="0"/>
    <x v="0"/>
    <x v="0"/>
    <x v="1"/>
    <x v="1"/>
    <x v="0"/>
    <x v="0"/>
    <x v="1"/>
    <x v="0"/>
    <x v="0"/>
    <x v="0"/>
    <x v="0"/>
    <x v="0"/>
    <x v="0"/>
    <x v="0"/>
    <x v="0"/>
    <x v="0"/>
  </r>
  <r>
    <x v="5"/>
    <s v="SYAHRUL IKHWAN BIN STAFFA"/>
    <x v="2"/>
    <x v="0"/>
    <x v="1"/>
    <x v="0"/>
    <x v="1"/>
    <x v="0"/>
    <x v="1"/>
    <x v="1"/>
    <x v="1"/>
    <x v="0"/>
    <x v="0"/>
    <x v="0"/>
    <x v="0"/>
    <x v="0"/>
    <x v="0"/>
    <x v="0"/>
    <x v="0"/>
    <x v="0"/>
  </r>
  <r>
    <x v="6"/>
    <s v="MUHAMMAD HAZIQ HAKIMI BIN MAHADIR"/>
    <x v="5"/>
    <x v="0"/>
    <x v="0"/>
    <x v="0"/>
    <x v="0"/>
    <x v="1"/>
    <x v="0"/>
    <x v="0"/>
    <x v="0"/>
    <x v="0"/>
    <x v="0"/>
    <x v="0"/>
    <x v="0"/>
    <x v="0"/>
    <x v="0"/>
    <x v="0"/>
    <x v="0"/>
    <x v="0"/>
  </r>
  <r>
    <x v="7"/>
    <s v="MUHAMAD AMIRULNAIM BIN ABU HASSAN"/>
    <x v="6"/>
    <x v="0"/>
    <x v="0"/>
    <x v="0"/>
    <x v="0"/>
    <x v="1"/>
    <x v="0"/>
    <x v="0"/>
    <x v="1"/>
    <x v="0"/>
    <x v="0"/>
    <x v="0"/>
    <x v="0"/>
    <x v="0"/>
    <x v="0"/>
    <x v="0"/>
    <x v="0"/>
    <x v="0"/>
  </r>
  <r>
    <x v="8"/>
    <s v="MOHAMMAD REDZUAN BIN MOHAMMAD NOOR"/>
    <x v="7"/>
    <x v="0"/>
    <x v="2"/>
    <x v="1"/>
    <x v="0"/>
    <x v="1"/>
    <x v="0"/>
    <x v="0"/>
    <x v="1"/>
    <x v="0"/>
    <x v="0"/>
    <x v="0"/>
    <x v="0"/>
    <x v="0"/>
    <x v="0"/>
    <x v="0"/>
    <x v="0"/>
    <x v="0"/>
  </r>
  <r>
    <x v="9"/>
    <s v="MUHAMMAD DANIAL HAIKAL BIN ISMAIL"/>
    <x v="6"/>
    <x v="0"/>
    <x v="0"/>
    <x v="0"/>
    <x v="0"/>
    <x v="1"/>
    <x v="0"/>
    <x v="0"/>
    <x v="0"/>
    <x v="0"/>
    <x v="0"/>
    <x v="0"/>
    <x v="0"/>
    <x v="0"/>
    <x v="0"/>
    <x v="0"/>
    <x v="0"/>
    <x v="0"/>
  </r>
  <r>
    <x v="10"/>
    <s v="MUHAMMAD ASYRAAF BIN ROMLI"/>
    <x v="1"/>
    <x v="0"/>
    <x v="0"/>
    <x v="0"/>
    <x v="1"/>
    <x v="1"/>
    <x v="0"/>
    <x v="0"/>
    <x v="1"/>
    <x v="0"/>
    <x v="0"/>
    <x v="0"/>
    <x v="0"/>
    <x v="0"/>
    <x v="0"/>
    <x v="0"/>
    <x v="0"/>
    <x v="0"/>
  </r>
  <r>
    <x v="11"/>
    <s v="MUHAMMAD TAUFIQ BIN KHALID"/>
    <x v="5"/>
    <x v="0"/>
    <x v="0"/>
    <x v="0"/>
    <x v="0"/>
    <x v="1"/>
    <x v="0"/>
    <x v="0"/>
    <x v="0"/>
    <x v="0"/>
    <x v="0"/>
    <x v="0"/>
    <x v="0"/>
    <x v="0"/>
    <x v="0"/>
    <x v="0"/>
    <x v="0"/>
    <x v="0"/>
  </r>
  <r>
    <x v="12"/>
    <s v="SYAIDATUL FATEHAH BINTI IBRAHIM"/>
    <x v="3"/>
    <x v="1"/>
    <x v="0"/>
    <x v="0"/>
    <x v="0"/>
    <x v="1"/>
    <x v="0"/>
    <x v="0"/>
    <x v="1"/>
    <x v="0"/>
    <x v="0"/>
    <x v="0"/>
    <x v="0"/>
    <x v="0"/>
    <x v="0"/>
    <x v="0"/>
    <x v="0"/>
    <x v="0"/>
  </r>
  <r>
    <x v="13"/>
    <s v="SITI RAHMAH BINTI ZAINAL ABIDIN"/>
    <x v="3"/>
    <x v="1"/>
    <x v="0"/>
    <x v="0"/>
    <x v="0"/>
    <x v="1"/>
    <x v="0"/>
    <x v="0"/>
    <x v="1"/>
    <x v="0"/>
    <x v="0"/>
    <x v="0"/>
    <x v="0"/>
    <x v="0"/>
    <x v="0"/>
    <x v="0"/>
    <x v="0"/>
    <x v="0"/>
  </r>
  <r>
    <x v="14"/>
    <s v="NUR SHAHFINAS BINTI MOHD AMIN"/>
    <x v="3"/>
    <x v="1"/>
    <x v="0"/>
    <x v="0"/>
    <x v="0"/>
    <x v="1"/>
    <x v="0"/>
    <x v="0"/>
    <x v="0"/>
    <x v="0"/>
    <x v="0"/>
    <x v="0"/>
    <x v="0"/>
    <x v="0"/>
    <x v="0"/>
    <x v="0"/>
    <x v="0"/>
    <x v="0"/>
  </r>
  <r>
    <x v="15"/>
    <s v="NURUL IZZAH BINTI ZAKARIA"/>
    <x v="3"/>
    <x v="1"/>
    <x v="0"/>
    <x v="0"/>
    <x v="0"/>
    <x v="1"/>
    <x v="0"/>
    <x v="0"/>
    <x v="0"/>
    <x v="0"/>
    <x v="0"/>
    <x v="0"/>
    <x v="0"/>
    <x v="0"/>
    <x v="0"/>
    <x v="0"/>
    <x v="0"/>
    <x v="0"/>
  </r>
  <r>
    <x v="16"/>
    <s v="NURSYAFIQAH BINTI YUZAIDI"/>
    <x v="8"/>
    <x v="1"/>
    <x v="2"/>
    <x v="1"/>
    <x v="0"/>
    <x v="1"/>
    <x v="0"/>
    <x v="0"/>
    <x v="1"/>
    <x v="0"/>
    <x v="0"/>
    <x v="0"/>
    <x v="0"/>
    <x v="0"/>
    <x v="0"/>
    <x v="0"/>
    <x v="0"/>
    <x v="0"/>
  </r>
  <r>
    <x v="17"/>
    <s v="ROSNANI BINTI MOHAMAD AJIME"/>
    <x v="6"/>
    <x v="1"/>
    <x v="0"/>
    <x v="0"/>
    <x v="0"/>
    <x v="1"/>
    <x v="0"/>
    <x v="0"/>
    <x v="0"/>
    <x v="0"/>
    <x v="0"/>
    <x v="0"/>
    <x v="0"/>
    <x v="0"/>
    <x v="0"/>
    <x v="0"/>
    <x v="0"/>
    <x v="0"/>
  </r>
  <r>
    <x v="18"/>
    <s v="NURUL AZWA BINTI ABDULLAH"/>
    <x v="3"/>
    <x v="1"/>
    <x v="0"/>
    <x v="0"/>
    <x v="0"/>
    <x v="1"/>
    <x v="0"/>
    <x v="0"/>
    <x v="0"/>
    <x v="0"/>
    <x v="0"/>
    <x v="0"/>
    <x v="0"/>
    <x v="0"/>
    <x v="0"/>
    <x v="0"/>
    <x v="0"/>
    <x v="0"/>
  </r>
  <r>
    <x v="19"/>
    <s v="NOR FAIZAH BINTI BAHARIJAN"/>
    <x v="7"/>
    <x v="1"/>
    <x v="1"/>
    <x v="1"/>
    <x v="0"/>
    <x v="1"/>
    <x v="0"/>
    <x v="0"/>
    <x v="1"/>
    <x v="0"/>
    <x v="0"/>
    <x v="0"/>
    <x v="0"/>
    <x v="0"/>
    <x v="0"/>
    <x v="0"/>
    <x v="0"/>
    <x v="0"/>
  </r>
  <r>
    <x v="20"/>
    <s v="NUR HAIFA ALISHA BINTI YUSOF"/>
    <x v="8"/>
    <x v="1"/>
    <x v="3"/>
    <x v="1"/>
    <x v="0"/>
    <x v="1"/>
    <x v="0"/>
    <x v="0"/>
    <x v="1"/>
    <x v="0"/>
    <x v="0"/>
    <x v="0"/>
    <x v="0"/>
    <x v="0"/>
    <x v="0"/>
    <x v="0"/>
    <x v="0"/>
    <x v="0"/>
  </r>
  <r>
    <x v="21"/>
    <s v="NORAISHA BINTI MOHD YANI"/>
    <x v="5"/>
    <x v="1"/>
    <x v="0"/>
    <x v="0"/>
    <x v="0"/>
    <x v="1"/>
    <x v="0"/>
    <x v="0"/>
    <x v="0"/>
    <x v="0"/>
    <x v="0"/>
    <x v="0"/>
    <x v="0"/>
    <x v="0"/>
    <x v="0"/>
    <x v="0"/>
    <x v="0"/>
    <x v="0"/>
  </r>
  <r>
    <x v="22"/>
    <s v="MUHAMAD HAIKAL BIN AHMAD FISOL"/>
    <x v="1"/>
    <x v="0"/>
    <x v="0"/>
    <x v="0"/>
    <x v="0"/>
    <x v="1"/>
    <x v="0"/>
    <x v="0"/>
    <x v="0"/>
    <x v="0"/>
    <x v="0"/>
    <x v="0"/>
    <x v="0"/>
    <x v="0"/>
    <x v="0"/>
    <x v="0"/>
    <x v="0"/>
    <x v="0"/>
  </r>
  <r>
    <x v="23"/>
    <s v="NORSAFUAN BIN ZULKIFLE"/>
    <x v="4"/>
    <x v="0"/>
    <x v="0"/>
    <x v="0"/>
    <x v="0"/>
    <x v="1"/>
    <x v="0"/>
    <x v="0"/>
    <x v="0"/>
    <x v="0"/>
    <x v="0"/>
    <x v="0"/>
    <x v="0"/>
    <x v="0"/>
    <x v="0"/>
    <x v="0"/>
    <x v="0"/>
    <x v="0"/>
  </r>
  <r>
    <x v="24"/>
    <s v="MUHAMMAD ZUFAYRI BIN RAFIDI"/>
    <x v="1"/>
    <x v="0"/>
    <x v="0"/>
    <x v="0"/>
    <x v="0"/>
    <x v="1"/>
    <x v="1"/>
    <x v="1"/>
    <x v="0"/>
    <x v="0"/>
    <x v="0"/>
    <x v="0"/>
    <x v="0"/>
    <x v="0"/>
    <x v="0"/>
    <x v="0"/>
    <x v="0"/>
    <x v="0"/>
  </r>
  <r>
    <x v="25"/>
    <s v="MUHAMMAD NUR AIMAN HAIQAL BIN MOHD SAAD"/>
    <x v="6"/>
    <x v="0"/>
    <x v="0"/>
    <x v="0"/>
    <x v="0"/>
    <x v="1"/>
    <x v="1"/>
    <x v="1"/>
    <x v="0"/>
    <x v="0"/>
    <x v="0"/>
    <x v="0"/>
    <x v="0"/>
    <x v="0"/>
    <x v="0"/>
    <x v="0"/>
    <x v="0"/>
    <x v="0"/>
  </r>
  <r>
    <x v="26"/>
    <s v="MUHAMAD AZRUL BIN ZAMBERI"/>
    <x v="4"/>
    <x v="0"/>
    <x v="0"/>
    <x v="0"/>
    <x v="1"/>
    <x v="1"/>
    <x v="0"/>
    <x v="0"/>
    <x v="0"/>
    <x v="0"/>
    <x v="0"/>
    <x v="0"/>
    <x v="0"/>
    <x v="0"/>
    <x v="0"/>
    <x v="0"/>
    <x v="0"/>
    <x v="0"/>
  </r>
  <r>
    <x v="27"/>
    <s v="ADIL LUQMAN BIN SAIMI"/>
    <x v="6"/>
    <x v="0"/>
    <x v="0"/>
    <x v="0"/>
    <x v="0"/>
    <x v="1"/>
    <x v="1"/>
    <x v="1"/>
    <x v="1"/>
    <x v="0"/>
    <x v="0"/>
    <x v="0"/>
    <x v="0"/>
    <x v="0"/>
    <x v="0"/>
    <x v="0"/>
    <x v="0"/>
    <x v="0"/>
  </r>
  <r>
    <x v="28"/>
    <s v="FAIZAL HAKIM BIN ABD LATIF"/>
    <x v="1"/>
    <x v="0"/>
    <x v="0"/>
    <x v="0"/>
    <x v="0"/>
    <x v="1"/>
    <x v="0"/>
    <x v="0"/>
    <x v="1"/>
    <x v="0"/>
    <x v="0"/>
    <x v="0"/>
    <x v="0"/>
    <x v="0"/>
    <x v="0"/>
    <x v="0"/>
    <x v="0"/>
    <x v="0"/>
  </r>
  <r>
    <x v="29"/>
    <s v="MUHAMAD NUR ARIF BIN NORDIN AHMAD"/>
    <x v="2"/>
    <x v="0"/>
    <x v="2"/>
    <x v="1"/>
    <x v="0"/>
    <x v="1"/>
    <x v="0"/>
    <x v="0"/>
    <x v="1"/>
    <x v="0"/>
    <x v="0"/>
    <x v="0"/>
    <x v="0"/>
    <x v="0"/>
    <x v="0"/>
    <x v="0"/>
    <x v="0"/>
    <x v="0"/>
  </r>
  <r>
    <x v="30"/>
    <s v="ABDUL RAHMANUL HAKIM BIN AB RAHIM"/>
    <x v="4"/>
    <x v="0"/>
    <x v="0"/>
    <x v="0"/>
    <x v="0"/>
    <x v="1"/>
    <x v="0"/>
    <x v="0"/>
    <x v="1"/>
    <x v="0"/>
    <x v="0"/>
    <x v="0"/>
    <x v="0"/>
    <x v="0"/>
    <x v="0"/>
    <x v="0"/>
    <x v="0"/>
    <x v="0"/>
  </r>
  <r>
    <x v="31"/>
    <s v="JULAINI BIN SHUKRI"/>
    <x v="4"/>
    <x v="0"/>
    <x v="0"/>
    <x v="0"/>
    <x v="0"/>
    <x v="1"/>
    <x v="0"/>
    <x v="0"/>
    <x v="0"/>
    <x v="0"/>
    <x v="0"/>
    <x v="0"/>
    <x v="0"/>
    <x v="0"/>
    <x v="0"/>
    <x v="0"/>
    <x v="0"/>
    <x v="0"/>
  </r>
  <r>
    <x v="32"/>
    <s v="MUHAMMAD AZRUL BIN ABDUL MUIN"/>
    <x v="7"/>
    <x v="0"/>
    <x v="1"/>
    <x v="1"/>
    <x v="0"/>
    <x v="1"/>
    <x v="0"/>
    <x v="0"/>
    <x v="1"/>
    <x v="0"/>
    <x v="0"/>
    <x v="0"/>
    <x v="0"/>
    <x v="0"/>
    <x v="0"/>
    <x v="0"/>
    <x v="0"/>
    <x v="0"/>
  </r>
  <r>
    <x v="33"/>
    <s v="MUHAMAD AZIZI BIN RAMLI"/>
    <x v="0"/>
    <x v="0"/>
    <x v="0"/>
    <x v="0"/>
    <x v="0"/>
    <x v="1"/>
    <x v="1"/>
    <x v="1"/>
    <x v="0"/>
    <x v="0"/>
    <x v="0"/>
    <x v="0"/>
    <x v="0"/>
    <x v="0"/>
    <x v="0"/>
    <x v="0"/>
    <x v="0"/>
    <x v="0"/>
  </r>
  <r>
    <x v="34"/>
    <s v="NABILA NATASHA BINTI JEMIDIN"/>
    <x v="3"/>
    <x v="1"/>
    <x v="2"/>
    <x v="1"/>
    <x v="0"/>
    <x v="1"/>
    <x v="0"/>
    <x v="0"/>
    <x v="1"/>
    <x v="0"/>
    <x v="0"/>
    <x v="0"/>
    <x v="0"/>
    <x v="0"/>
    <x v="0"/>
    <x v="0"/>
    <x v="0"/>
    <x v="0"/>
  </r>
  <r>
    <x v="35"/>
    <s v="RATNAPIRIYA A/P GANESAN"/>
    <x v="3"/>
    <x v="1"/>
    <x v="0"/>
    <x v="0"/>
    <x v="0"/>
    <x v="1"/>
    <x v="0"/>
    <x v="0"/>
    <x v="0"/>
    <x v="0"/>
    <x v="0"/>
    <x v="0"/>
    <x v="0"/>
    <x v="0"/>
    <x v="0"/>
    <x v="0"/>
    <x v="0"/>
    <x v="0"/>
  </r>
  <r>
    <x v="36"/>
    <s v="SITI AISHAH BINTI SHAMHAR"/>
    <x v="5"/>
    <x v="1"/>
    <x v="0"/>
    <x v="0"/>
    <x v="0"/>
    <x v="1"/>
    <x v="0"/>
    <x v="0"/>
    <x v="1"/>
    <x v="0"/>
    <x v="0"/>
    <x v="0"/>
    <x v="0"/>
    <x v="0"/>
    <x v="0"/>
    <x v="0"/>
    <x v="0"/>
    <x v="0"/>
  </r>
  <r>
    <x v="37"/>
    <s v="SITI ZULAIKHA BINTI SHAMHAR"/>
    <x v="6"/>
    <x v="1"/>
    <x v="0"/>
    <x v="0"/>
    <x v="0"/>
    <x v="1"/>
    <x v="1"/>
    <x v="1"/>
    <x v="0"/>
    <x v="0"/>
    <x v="0"/>
    <x v="0"/>
    <x v="0"/>
    <x v="0"/>
    <x v="0"/>
    <x v="0"/>
    <x v="0"/>
    <x v="0"/>
  </r>
  <r>
    <x v="38"/>
    <s v="SITI NOOR JANNAH BINTI HAMDAN"/>
    <x v="5"/>
    <x v="1"/>
    <x v="0"/>
    <x v="0"/>
    <x v="0"/>
    <x v="1"/>
    <x v="0"/>
    <x v="0"/>
    <x v="1"/>
    <x v="0"/>
    <x v="0"/>
    <x v="0"/>
    <x v="0"/>
    <x v="0"/>
    <x v="0"/>
    <x v="0"/>
    <x v="0"/>
    <x v="0"/>
  </r>
  <r>
    <x v="39"/>
    <s v="NURUL FATIN FARZANA BINTI BAHARUDIN"/>
    <x v="3"/>
    <x v="1"/>
    <x v="2"/>
    <x v="1"/>
    <x v="0"/>
    <x v="1"/>
    <x v="0"/>
    <x v="0"/>
    <x v="1"/>
    <x v="0"/>
    <x v="0"/>
    <x v="0"/>
    <x v="0"/>
    <x v="0"/>
    <x v="0"/>
    <x v="0"/>
    <x v="0"/>
    <x v="0"/>
  </r>
  <r>
    <x v="40"/>
    <s v="NUR IFFAH IZZATI BINTI MOHAMAD"/>
    <x v="7"/>
    <x v="1"/>
    <x v="3"/>
    <x v="1"/>
    <x v="0"/>
    <x v="1"/>
    <x v="0"/>
    <x v="0"/>
    <x v="1"/>
    <x v="0"/>
    <x v="0"/>
    <x v="0"/>
    <x v="0"/>
    <x v="0"/>
    <x v="0"/>
    <x v="0"/>
    <x v="0"/>
    <x v="0"/>
  </r>
  <r>
    <x v="41"/>
    <s v="NORHIDAYAH BINTI SULAIMAN"/>
    <x v="3"/>
    <x v="1"/>
    <x v="2"/>
    <x v="1"/>
    <x v="0"/>
    <x v="1"/>
    <x v="0"/>
    <x v="0"/>
    <x v="1"/>
    <x v="0"/>
    <x v="0"/>
    <x v="0"/>
    <x v="0"/>
    <x v="0"/>
    <x v="0"/>
    <x v="0"/>
    <x v="0"/>
    <x v="0"/>
  </r>
  <r>
    <x v="42"/>
    <s v="MUHAMMAD DANISH HAIKAL BIN ABDULLAH"/>
    <x v="3"/>
    <x v="0"/>
    <x v="3"/>
    <x v="1"/>
    <x v="0"/>
    <x v="1"/>
    <x v="0"/>
    <x v="0"/>
    <x v="1"/>
    <x v="0"/>
    <x v="0"/>
    <x v="0"/>
    <x v="0"/>
    <x v="0"/>
    <x v="0"/>
    <x v="0"/>
    <x v="0"/>
    <x v="0"/>
  </r>
  <r>
    <x v="43"/>
    <s v="DANISH ISKANDAR BIN ANUAR"/>
    <x v="6"/>
    <x v="0"/>
    <x v="0"/>
    <x v="0"/>
    <x v="0"/>
    <x v="1"/>
    <x v="0"/>
    <x v="0"/>
    <x v="1"/>
    <x v="0"/>
    <x v="0"/>
    <x v="0"/>
    <x v="0"/>
    <x v="0"/>
    <x v="0"/>
    <x v="0"/>
    <x v="0"/>
    <x v="0"/>
  </r>
  <r>
    <x v="44"/>
    <s v="MUHAMAD ALIF AIMAN BIN MOHD ZABIDI"/>
    <x v="7"/>
    <x v="0"/>
    <x v="2"/>
    <x v="1"/>
    <x v="0"/>
    <x v="1"/>
    <x v="0"/>
    <x v="0"/>
    <x v="1"/>
    <x v="0"/>
    <x v="0"/>
    <x v="0"/>
    <x v="0"/>
    <x v="0"/>
    <x v="0"/>
    <x v="0"/>
    <x v="0"/>
    <x v="0"/>
  </r>
  <r>
    <x v="45"/>
    <s v="MUHAMAD HIZAMI BIN YAHAYA"/>
    <x v="1"/>
    <x v="0"/>
    <x v="0"/>
    <x v="0"/>
    <x v="0"/>
    <x v="0"/>
    <x v="1"/>
    <x v="1"/>
    <x v="1"/>
    <x v="0"/>
    <x v="0"/>
    <x v="0"/>
    <x v="0"/>
    <x v="0"/>
    <x v="0"/>
    <x v="0"/>
    <x v="0"/>
    <x v="0"/>
  </r>
  <r>
    <x v="46"/>
    <s v="MOHAMMAD ARIF HAKIMI BIN AMIR"/>
    <x v="7"/>
    <x v="0"/>
    <x v="3"/>
    <x v="1"/>
    <x v="0"/>
    <x v="1"/>
    <x v="0"/>
    <x v="0"/>
    <x v="1"/>
    <x v="0"/>
    <x v="0"/>
    <x v="0"/>
    <x v="0"/>
    <x v="0"/>
    <x v="0"/>
    <x v="0"/>
    <x v="0"/>
    <x v="0"/>
  </r>
  <r>
    <x v="47"/>
    <s v="REZUANDEY SAIT"/>
    <x v="1"/>
    <x v="0"/>
    <x v="0"/>
    <x v="0"/>
    <x v="0"/>
    <x v="1"/>
    <x v="0"/>
    <x v="0"/>
    <x v="0"/>
    <x v="0"/>
    <x v="0"/>
    <x v="0"/>
    <x v="0"/>
    <x v="0"/>
    <x v="0"/>
    <x v="0"/>
    <x v="0"/>
    <x v="0"/>
  </r>
  <r>
    <x v="48"/>
    <s v="MUHAMMAD DANEIL IKMAL BIN ABDUL HALIM TAN"/>
    <x v="6"/>
    <x v="0"/>
    <x v="1"/>
    <x v="1"/>
    <x v="0"/>
    <x v="1"/>
    <x v="0"/>
    <x v="0"/>
    <x v="1"/>
    <x v="0"/>
    <x v="0"/>
    <x v="0"/>
    <x v="0"/>
    <x v="0"/>
    <x v="0"/>
    <x v="0"/>
    <x v="0"/>
    <x v="0"/>
  </r>
  <r>
    <x v="49"/>
    <s v="MUHAMMAD RIDZUAN BIN MASIRAN"/>
    <x v="2"/>
    <x v="0"/>
    <x v="3"/>
    <x v="1"/>
    <x v="0"/>
    <x v="1"/>
    <x v="0"/>
    <x v="0"/>
    <x v="1"/>
    <x v="0"/>
    <x v="0"/>
    <x v="0"/>
    <x v="0"/>
    <x v="0"/>
    <x v="0"/>
    <x v="0"/>
    <x v="0"/>
    <x v="0"/>
  </r>
  <r>
    <x v="50"/>
    <s v="MUHAMMAD ALIF HAIKAL BIN BASARUDIN"/>
    <x v="6"/>
    <x v="0"/>
    <x v="0"/>
    <x v="0"/>
    <x v="0"/>
    <x v="1"/>
    <x v="0"/>
    <x v="0"/>
    <x v="1"/>
    <x v="0"/>
    <x v="0"/>
    <x v="0"/>
    <x v="0"/>
    <x v="0"/>
    <x v="0"/>
    <x v="0"/>
    <x v="0"/>
    <x v="0"/>
  </r>
  <r>
    <x v="51"/>
    <s v="MUHAMMAD HIDAYAT BIN JAMALUDIN"/>
    <x v="3"/>
    <x v="0"/>
    <x v="0"/>
    <x v="0"/>
    <x v="0"/>
    <x v="1"/>
    <x v="0"/>
    <x v="0"/>
    <x v="0"/>
    <x v="0"/>
    <x v="0"/>
    <x v="0"/>
    <x v="0"/>
    <x v="0"/>
    <x v="0"/>
    <x v="0"/>
    <x v="0"/>
    <x v="0"/>
  </r>
  <r>
    <x v="52"/>
    <s v="MUHAMAD ZULHILMI BIN AHMAD RAFI"/>
    <x v="6"/>
    <x v="0"/>
    <x v="0"/>
    <x v="0"/>
    <x v="0"/>
    <x v="1"/>
    <x v="0"/>
    <x v="0"/>
    <x v="1"/>
    <x v="0"/>
    <x v="0"/>
    <x v="0"/>
    <x v="0"/>
    <x v="0"/>
    <x v="0"/>
    <x v="0"/>
    <x v="0"/>
    <x v="0"/>
  </r>
  <r>
    <x v="53"/>
    <s v="MUHAMMAD NABIL IKHWAN BIN AHMAD TAJUDDIN"/>
    <x v="0"/>
    <x v="0"/>
    <x v="0"/>
    <x v="0"/>
    <x v="0"/>
    <x v="1"/>
    <x v="0"/>
    <x v="0"/>
    <x v="0"/>
    <x v="0"/>
    <x v="0"/>
    <x v="0"/>
    <x v="0"/>
    <x v="0"/>
    <x v="0"/>
    <x v="0"/>
    <x v="0"/>
    <x v="0"/>
  </r>
  <r>
    <x v="54"/>
    <s v="MUHAMMAD AIMAN HANIF BIN BADERI"/>
    <x v="7"/>
    <x v="0"/>
    <x v="1"/>
    <x v="1"/>
    <x v="0"/>
    <x v="1"/>
    <x v="0"/>
    <x v="0"/>
    <x v="1"/>
    <x v="0"/>
    <x v="0"/>
    <x v="0"/>
    <x v="0"/>
    <x v="0"/>
    <x v="0"/>
    <x v="0"/>
    <x v="0"/>
    <x v="0"/>
  </r>
  <r>
    <x v="55"/>
    <s v="MUHAMMAD RIDZUAN HAKIM BIN MOHD ROSLAN"/>
    <x v="5"/>
    <x v="0"/>
    <x v="0"/>
    <x v="0"/>
    <x v="0"/>
    <x v="1"/>
    <x v="0"/>
    <x v="0"/>
    <x v="1"/>
    <x v="0"/>
    <x v="0"/>
    <x v="0"/>
    <x v="0"/>
    <x v="0"/>
    <x v="0"/>
    <x v="0"/>
    <x v="0"/>
    <x v="0"/>
  </r>
  <r>
    <x v="56"/>
    <s v="MOHAMAD ZAIRULL ZAIEDD BIN ROSIDI"/>
    <x v="0"/>
    <x v="0"/>
    <x v="0"/>
    <x v="0"/>
    <x v="0"/>
    <x v="1"/>
    <x v="0"/>
    <x v="0"/>
    <x v="0"/>
    <x v="0"/>
    <x v="0"/>
    <x v="0"/>
    <x v="0"/>
    <x v="0"/>
    <x v="0"/>
    <x v="0"/>
    <x v="0"/>
    <x v="0"/>
  </r>
  <r>
    <x v="57"/>
    <s v="HAMZAH BIN ZULKIFLEE"/>
    <x v="7"/>
    <x v="0"/>
    <x v="3"/>
    <x v="1"/>
    <x v="0"/>
    <x v="1"/>
    <x v="0"/>
    <x v="0"/>
    <x v="1"/>
    <x v="0"/>
    <x v="0"/>
    <x v="0"/>
    <x v="0"/>
    <x v="0"/>
    <x v="0"/>
    <x v="0"/>
    <x v="0"/>
    <x v="0"/>
  </r>
  <r>
    <x v="58"/>
    <s v="FADZLIYA SYOUBHATOULLAH BIN SAMSUDDIN"/>
    <x v="0"/>
    <x v="0"/>
    <x v="0"/>
    <x v="0"/>
    <x v="0"/>
    <x v="1"/>
    <x v="0"/>
    <x v="0"/>
    <x v="0"/>
    <x v="0"/>
    <x v="0"/>
    <x v="0"/>
    <x v="0"/>
    <x v="0"/>
    <x v="0"/>
    <x v="0"/>
    <x v="0"/>
    <x v="0"/>
  </r>
  <r>
    <x v="59"/>
    <s v="MUHAMMAD MU'AMMAR AFZAN BIN MOHD AZHAR"/>
    <x v="2"/>
    <x v="0"/>
    <x v="2"/>
    <x v="1"/>
    <x v="0"/>
    <x v="1"/>
    <x v="0"/>
    <x v="0"/>
    <x v="1"/>
    <x v="0"/>
    <x v="0"/>
    <x v="0"/>
    <x v="0"/>
    <x v="0"/>
    <x v="0"/>
    <x v="0"/>
    <x v="0"/>
    <x v="0"/>
  </r>
  <r>
    <x v="60"/>
    <s v="MOHAMAD ADIF ASYRAF BIN AHMAD SHUKOR"/>
    <x v="0"/>
    <x v="0"/>
    <x v="0"/>
    <x v="0"/>
    <x v="0"/>
    <x v="1"/>
    <x v="0"/>
    <x v="0"/>
    <x v="0"/>
    <x v="0"/>
    <x v="0"/>
    <x v="0"/>
    <x v="0"/>
    <x v="0"/>
    <x v="0"/>
    <x v="0"/>
    <x v="0"/>
    <x v="0"/>
  </r>
  <r>
    <x v="61"/>
    <s v="MUHAMMAD RIDZUWAN BIN ABD KARIM"/>
    <x v="4"/>
    <x v="0"/>
    <x v="0"/>
    <x v="0"/>
    <x v="0"/>
    <x v="1"/>
    <x v="0"/>
    <x v="0"/>
    <x v="0"/>
    <x v="0"/>
    <x v="0"/>
    <x v="0"/>
    <x v="0"/>
    <x v="0"/>
    <x v="0"/>
    <x v="0"/>
    <x v="0"/>
    <x v="0"/>
  </r>
  <r>
    <x v="62"/>
    <s v="MOHAMAD IQUAN ALIF BIN SAIDIN"/>
    <x v="2"/>
    <x v="0"/>
    <x v="3"/>
    <x v="1"/>
    <x v="0"/>
    <x v="1"/>
    <x v="0"/>
    <x v="0"/>
    <x v="1"/>
    <x v="0"/>
    <x v="0"/>
    <x v="0"/>
    <x v="0"/>
    <x v="0"/>
    <x v="0"/>
    <x v="0"/>
    <x v="0"/>
    <x v="0"/>
  </r>
  <r>
    <x v="63"/>
    <s v="MOHAMAD DANISH HAZIQ BIN BAHARUDDIN"/>
    <x v="3"/>
    <x v="0"/>
    <x v="0"/>
    <x v="0"/>
    <x v="0"/>
    <x v="1"/>
    <x v="0"/>
    <x v="0"/>
    <x v="1"/>
    <x v="0"/>
    <x v="0"/>
    <x v="0"/>
    <x v="0"/>
    <x v="0"/>
    <x v="0"/>
    <x v="0"/>
    <x v="0"/>
    <x v="0"/>
  </r>
  <r>
    <x v="64"/>
    <s v="SAIMIRAH BINTI LUKMAN MAIT"/>
    <x v="5"/>
    <x v="1"/>
    <x v="0"/>
    <x v="0"/>
    <x v="0"/>
    <x v="0"/>
    <x v="0"/>
    <x v="0"/>
    <x v="1"/>
    <x v="0"/>
    <x v="0"/>
    <x v="0"/>
    <x v="0"/>
    <x v="0"/>
    <x v="0"/>
    <x v="0"/>
    <x v="0"/>
    <x v="0"/>
  </r>
  <r>
    <x v="65"/>
    <s v="NUR ASYIKIN BINTI MOHD FAUZI"/>
    <x v="3"/>
    <x v="1"/>
    <x v="1"/>
    <x v="1"/>
    <x v="0"/>
    <x v="1"/>
    <x v="0"/>
    <x v="0"/>
    <x v="1"/>
    <x v="0"/>
    <x v="0"/>
    <x v="0"/>
    <x v="0"/>
    <x v="0"/>
    <x v="0"/>
    <x v="0"/>
    <x v="0"/>
    <x v="0"/>
  </r>
  <r>
    <x v="66"/>
    <s v="NUR SHAFIKAH BINTI MUHAMMAD THOHIMI"/>
    <x v="7"/>
    <x v="1"/>
    <x v="1"/>
    <x v="1"/>
    <x v="0"/>
    <x v="1"/>
    <x v="0"/>
    <x v="0"/>
    <x v="1"/>
    <x v="0"/>
    <x v="0"/>
    <x v="0"/>
    <x v="0"/>
    <x v="0"/>
    <x v="0"/>
    <x v="0"/>
    <x v="0"/>
    <x v="0"/>
  </r>
  <r>
    <x v="67"/>
    <s v="ALIF AIMAN BIN RUKININ"/>
    <x v="7"/>
    <x v="0"/>
    <x v="1"/>
    <x v="1"/>
    <x v="0"/>
    <x v="1"/>
    <x v="0"/>
    <x v="0"/>
    <x v="1"/>
    <x v="0"/>
    <x v="0"/>
    <x v="0"/>
    <x v="0"/>
    <x v="0"/>
    <x v="0"/>
    <x v="0"/>
    <x v="0"/>
    <x v="0"/>
  </r>
  <r>
    <x v="68"/>
    <s v="AMIRRUDDIN IBRAHIM"/>
    <x v="2"/>
    <x v="0"/>
    <x v="2"/>
    <x v="1"/>
    <x v="0"/>
    <x v="1"/>
    <x v="0"/>
    <x v="0"/>
    <x v="1"/>
    <x v="0"/>
    <x v="0"/>
    <x v="0"/>
    <x v="0"/>
    <x v="0"/>
    <x v="0"/>
    <x v="0"/>
    <x v="0"/>
    <x v="0"/>
  </r>
  <r>
    <x v="69"/>
    <s v="ALIF AKMAL BIN HASBULLAH"/>
    <x v="4"/>
    <x v="0"/>
    <x v="0"/>
    <x v="0"/>
    <x v="0"/>
    <x v="1"/>
    <x v="0"/>
    <x v="0"/>
    <x v="1"/>
    <x v="0"/>
    <x v="0"/>
    <x v="0"/>
    <x v="0"/>
    <x v="0"/>
    <x v="0"/>
    <x v="0"/>
    <x v="0"/>
    <x v="0"/>
  </r>
  <r>
    <x v="70"/>
    <s v="IKMAL ISKANDAR BIN HISYAMUDIN"/>
    <x v="7"/>
    <x v="0"/>
    <x v="2"/>
    <x v="1"/>
    <x v="0"/>
    <x v="1"/>
    <x v="0"/>
    <x v="0"/>
    <x v="1"/>
    <x v="0"/>
    <x v="0"/>
    <x v="0"/>
    <x v="0"/>
    <x v="0"/>
    <x v="0"/>
    <x v="0"/>
    <x v="0"/>
    <x v="0"/>
  </r>
  <r>
    <x v="71"/>
    <s v="MOHAMMAD SHAFIQ DANISH BIN SHAHARUDIN"/>
    <x v="2"/>
    <x v="0"/>
    <x v="1"/>
    <x v="1"/>
    <x v="0"/>
    <x v="1"/>
    <x v="0"/>
    <x v="0"/>
    <x v="1"/>
    <x v="0"/>
    <x v="0"/>
    <x v="0"/>
    <x v="0"/>
    <x v="0"/>
    <x v="0"/>
    <x v="0"/>
    <x v="0"/>
    <x v="0"/>
  </r>
  <r>
    <x v="72"/>
    <s v="MOHAMAD AL AMIN BIN MOHAMAD RADZI"/>
    <x v="3"/>
    <x v="0"/>
    <x v="2"/>
    <x v="1"/>
    <x v="0"/>
    <x v="1"/>
    <x v="0"/>
    <x v="0"/>
    <x v="1"/>
    <x v="0"/>
    <x v="0"/>
    <x v="0"/>
    <x v="0"/>
    <x v="0"/>
    <x v="0"/>
    <x v="0"/>
    <x v="0"/>
    <x v="0"/>
  </r>
  <r>
    <x v="73"/>
    <s v="MUHAMMAD AZAM AFIF BIN MOHAMAD HALMI"/>
    <x v="5"/>
    <x v="0"/>
    <x v="0"/>
    <x v="0"/>
    <x v="0"/>
    <x v="1"/>
    <x v="0"/>
    <x v="0"/>
    <x v="1"/>
    <x v="0"/>
    <x v="0"/>
    <x v="0"/>
    <x v="0"/>
    <x v="0"/>
    <x v="0"/>
    <x v="0"/>
    <x v="0"/>
    <x v="0"/>
  </r>
  <r>
    <x v="74"/>
    <s v="MOHAMAD AIMAN SYAFIK BIN HENDRY"/>
    <x v="1"/>
    <x v="0"/>
    <x v="0"/>
    <x v="0"/>
    <x v="0"/>
    <x v="1"/>
    <x v="0"/>
    <x v="0"/>
    <x v="1"/>
    <x v="0"/>
    <x v="0"/>
    <x v="0"/>
    <x v="0"/>
    <x v="0"/>
    <x v="0"/>
    <x v="0"/>
    <x v="0"/>
    <x v="0"/>
  </r>
  <r>
    <x v="75"/>
    <s v="MUHAMMAD KHAIRUL AMIR BIN A BAKAR"/>
    <x v="6"/>
    <x v="0"/>
    <x v="0"/>
    <x v="0"/>
    <x v="0"/>
    <x v="1"/>
    <x v="0"/>
    <x v="0"/>
    <x v="1"/>
    <x v="0"/>
    <x v="0"/>
    <x v="0"/>
    <x v="0"/>
    <x v="0"/>
    <x v="0"/>
    <x v="0"/>
    <x v="0"/>
    <x v="0"/>
  </r>
  <r>
    <x v="76"/>
    <s v="MOHD AIDIL FARID BIN MOHD NORDIN AZMAIN"/>
    <x v="0"/>
    <x v="0"/>
    <x v="0"/>
    <x v="0"/>
    <x v="0"/>
    <x v="1"/>
    <x v="0"/>
    <x v="0"/>
    <x v="0"/>
    <x v="0"/>
    <x v="0"/>
    <x v="0"/>
    <x v="0"/>
    <x v="0"/>
    <x v="0"/>
    <x v="0"/>
    <x v="0"/>
    <x v="0"/>
  </r>
  <r>
    <x v="77"/>
    <s v="MUHAMAD ZAQWAN BIN SALLEH"/>
    <x v="4"/>
    <x v="0"/>
    <x v="0"/>
    <x v="0"/>
    <x v="0"/>
    <x v="1"/>
    <x v="0"/>
    <x v="0"/>
    <x v="1"/>
    <x v="0"/>
    <x v="0"/>
    <x v="0"/>
    <x v="0"/>
    <x v="0"/>
    <x v="0"/>
    <x v="0"/>
    <x v="0"/>
    <x v="0"/>
  </r>
  <r>
    <x v="78"/>
    <s v="MUHAMMAD ASYRAF BIN AZMI"/>
    <x v="7"/>
    <x v="0"/>
    <x v="3"/>
    <x v="1"/>
    <x v="0"/>
    <x v="1"/>
    <x v="0"/>
    <x v="0"/>
    <x v="1"/>
    <x v="0"/>
    <x v="0"/>
    <x v="0"/>
    <x v="0"/>
    <x v="0"/>
    <x v="0"/>
    <x v="0"/>
    <x v="0"/>
    <x v="0"/>
  </r>
  <r>
    <x v="79"/>
    <s v="NUR NAZIFAH BINTI MOHAMAD AZAHARI"/>
    <x v="3"/>
    <x v="1"/>
    <x v="1"/>
    <x v="1"/>
    <x v="0"/>
    <x v="1"/>
    <x v="0"/>
    <x v="0"/>
    <x v="1"/>
    <x v="0"/>
    <x v="0"/>
    <x v="0"/>
    <x v="0"/>
    <x v="0"/>
    <x v="0"/>
    <x v="0"/>
    <x v="0"/>
    <x v="0"/>
  </r>
  <r>
    <x v="80"/>
    <s v="PUTRI NORAYUNI BINTI AZMI"/>
    <x v="3"/>
    <x v="1"/>
    <x v="0"/>
    <x v="0"/>
    <x v="0"/>
    <x v="1"/>
    <x v="0"/>
    <x v="0"/>
    <x v="1"/>
    <x v="0"/>
    <x v="0"/>
    <x v="0"/>
    <x v="0"/>
    <x v="0"/>
    <x v="0"/>
    <x v="0"/>
    <x v="0"/>
    <x v="0"/>
  </r>
  <r>
    <x v="81"/>
    <s v="UMAR ZUHDI BIN MOHAMAD NASIR"/>
    <x v="7"/>
    <x v="0"/>
    <x v="3"/>
    <x v="1"/>
    <x v="0"/>
    <x v="1"/>
    <x v="0"/>
    <x v="0"/>
    <x v="1"/>
    <x v="0"/>
    <x v="0"/>
    <x v="0"/>
    <x v="0"/>
    <x v="0"/>
    <x v="0"/>
    <x v="0"/>
    <x v="0"/>
    <x v="0"/>
  </r>
  <r>
    <x v="82"/>
    <s v="KAMALA KANNAN A/L KRISHNA DASS"/>
    <x v="6"/>
    <x v="0"/>
    <x v="3"/>
    <x v="1"/>
    <x v="0"/>
    <x v="1"/>
    <x v="0"/>
    <x v="0"/>
    <x v="1"/>
    <x v="0"/>
    <x v="0"/>
    <x v="0"/>
    <x v="0"/>
    <x v="0"/>
    <x v="0"/>
    <x v="0"/>
    <x v="0"/>
    <x v="0"/>
  </r>
  <r>
    <x v="83"/>
    <s v="MUHAMMAD SHAFIQ BIN HARRISSUPRIONO"/>
    <x v="9"/>
    <x v="0"/>
    <x v="1"/>
    <x v="1"/>
    <x v="0"/>
    <x v="1"/>
    <x v="0"/>
    <x v="0"/>
    <x v="1"/>
    <x v="0"/>
    <x v="0"/>
    <x v="0"/>
    <x v="0"/>
    <x v="0"/>
    <x v="0"/>
    <x v="0"/>
    <x v="0"/>
    <x v="0"/>
  </r>
  <r>
    <x v="84"/>
    <s v="MOHD FIRDAUS BIN AHMAD"/>
    <x v="10"/>
    <x v="0"/>
    <x v="3"/>
    <x v="1"/>
    <x v="0"/>
    <x v="1"/>
    <x v="0"/>
    <x v="1"/>
    <x v="0"/>
    <x v="0"/>
    <x v="0"/>
    <x v="0"/>
    <x v="0"/>
    <x v="0"/>
    <x v="0"/>
    <x v="0"/>
    <x v="0"/>
    <x v="0"/>
  </r>
  <r>
    <x v="85"/>
    <s v="CHANDRASEGARAN A/L MUNIANDY"/>
    <x v="11"/>
    <x v="0"/>
    <x v="2"/>
    <x v="1"/>
    <x v="0"/>
    <x v="1"/>
    <x v="0"/>
    <x v="0"/>
    <x v="0"/>
    <x v="0"/>
    <x v="0"/>
    <x v="0"/>
    <x v="0"/>
    <x v="0"/>
    <x v="0"/>
    <x v="0"/>
    <x v="0"/>
    <x v="0"/>
  </r>
  <r>
    <x v="86"/>
    <s v="MOHAMAD HANIFF BIN ATAN"/>
    <x v="10"/>
    <x v="0"/>
    <x v="3"/>
    <x v="1"/>
    <x v="0"/>
    <x v="1"/>
    <x v="0"/>
    <x v="0"/>
    <x v="1"/>
    <x v="0"/>
    <x v="0"/>
    <x v="0"/>
    <x v="0"/>
    <x v="0"/>
    <x v="0"/>
    <x v="0"/>
    <x v="0"/>
    <x v="0"/>
  </r>
  <r>
    <x v="87"/>
    <s v="REZUWAN BIN MOHAMAD YUSOF"/>
    <x v="12"/>
    <x v="0"/>
    <x v="2"/>
    <x v="1"/>
    <x v="0"/>
    <x v="1"/>
    <x v="0"/>
    <x v="0"/>
    <x v="1"/>
    <x v="0"/>
    <x v="0"/>
    <x v="0"/>
    <x v="0"/>
    <x v="0"/>
    <x v="0"/>
    <x v="0"/>
    <x v="0"/>
    <x v="0"/>
  </r>
  <r>
    <x v="88"/>
    <s v="MIMI AYUNI BINTI MAZLAN"/>
    <x v="13"/>
    <x v="1"/>
    <x v="3"/>
    <x v="1"/>
    <x v="0"/>
    <x v="1"/>
    <x v="0"/>
    <x v="0"/>
    <x v="1"/>
    <x v="0"/>
    <x v="0"/>
    <x v="0"/>
    <x v="0"/>
    <x v="0"/>
    <x v="0"/>
    <x v="0"/>
    <x v="0"/>
    <x v="0"/>
  </r>
  <r>
    <x v="89"/>
    <s v="MOHD NOR SHAHRIL BIN JEKERI"/>
    <x v="10"/>
    <x v="0"/>
    <x v="4"/>
    <x v="0"/>
    <x v="0"/>
    <x v="1"/>
    <x v="0"/>
    <x v="0"/>
    <x v="0"/>
    <x v="0"/>
    <x v="0"/>
    <x v="0"/>
    <x v="0"/>
    <x v="0"/>
    <x v="0"/>
    <x v="0"/>
    <x v="0"/>
    <x v="0"/>
  </r>
  <r>
    <x v="90"/>
    <s v="AHMAD SYUKRIE BIN ABDUL RAMAN"/>
    <x v="14"/>
    <x v="0"/>
    <x v="2"/>
    <x v="1"/>
    <x v="0"/>
    <x v="1"/>
    <x v="0"/>
    <x v="0"/>
    <x v="0"/>
    <x v="0"/>
    <x v="0"/>
    <x v="0"/>
    <x v="0"/>
    <x v="0"/>
    <x v="0"/>
    <x v="0"/>
    <x v="0"/>
    <x v="0"/>
  </r>
  <r>
    <x v="91"/>
    <s v="MUHAMMAD NOOR AMIRRUL BIN HASSAN"/>
    <x v="12"/>
    <x v="0"/>
    <x v="3"/>
    <x v="0"/>
    <x v="1"/>
    <x v="0"/>
    <x v="1"/>
    <x v="1"/>
    <x v="0"/>
    <x v="0"/>
    <x v="0"/>
    <x v="0"/>
    <x v="0"/>
    <x v="0"/>
    <x v="0"/>
    <x v="0"/>
    <x v="0"/>
    <x v="0"/>
  </r>
  <r>
    <x v="92"/>
    <s v="MUHAMMAD AKMAL BIN AZIZAN"/>
    <x v="12"/>
    <x v="0"/>
    <x v="1"/>
    <x v="1"/>
    <x v="0"/>
    <x v="1"/>
    <x v="0"/>
    <x v="0"/>
    <x v="1"/>
    <x v="0"/>
    <x v="0"/>
    <x v="0"/>
    <x v="0"/>
    <x v="0"/>
    <x v="0"/>
    <x v="0"/>
    <x v="0"/>
    <x v="0"/>
  </r>
  <r>
    <x v="93"/>
    <s v="MUHAMMAD ZULHELMY BIN HARDI"/>
    <x v="14"/>
    <x v="0"/>
    <x v="3"/>
    <x v="1"/>
    <x v="0"/>
    <x v="1"/>
    <x v="0"/>
    <x v="0"/>
    <x v="1"/>
    <x v="0"/>
    <x v="0"/>
    <x v="0"/>
    <x v="0"/>
    <x v="0"/>
    <x v="0"/>
    <x v="0"/>
    <x v="0"/>
    <x v="0"/>
  </r>
  <r>
    <x v="94"/>
    <s v="AMIR HASSANI BIN MOHAMAD ROSLI"/>
    <x v="13"/>
    <x v="0"/>
    <x v="2"/>
    <x v="1"/>
    <x v="0"/>
    <x v="1"/>
    <x v="0"/>
    <x v="0"/>
    <x v="1"/>
    <x v="0"/>
    <x v="0"/>
    <x v="0"/>
    <x v="0"/>
    <x v="0"/>
    <x v="0"/>
    <x v="0"/>
    <x v="0"/>
    <x v="0"/>
  </r>
  <r>
    <x v="95"/>
    <s v="MUHAMMAD HAFIZ BIN IBRAHIM"/>
    <x v="11"/>
    <x v="0"/>
    <x v="3"/>
    <x v="1"/>
    <x v="0"/>
    <x v="1"/>
    <x v="0"/>
    <x v="0"/>
    <x v="1"/>
    <x v="0"/>
    <x v="0"/>
    <x v="0"/>
    <x v="0"/>
    <x v="0"/>
    <x v="0"/>
    <x v="0"/>
    <x v="0"/>
    <x v="0"/>
  </r>
  <r>
    <x v="96"/>
    <s v="MOHD SYAHMI BIN SUID"/>
    <x v="15"/>
    <x v="0"/>
    <x v="2"/>
    <x v="1"/>
    <x v="0"/>
    <x v="1"/>
    <x v="0"/>
    <x v="0"/>
    <x v="1"/>
    <x v="0"/>
    <x v="0"/>
    <x v="0"/>
    <x v="0"/>
    <x v="0"/>
    <x v="0"/>
    <x v="0"/>
    <x v="0"/>
    <x v="0"/>
  </r>
  <r>
    <x v="97"/>
    <s v="NAZRIN BIN AHMAD POWAB"/>
    <x v="15"/>
    <x v="0"/>
    <x v="1"/>
    <x v="1"/>
    <x v="0"/>
    <x v="1"/>
    <x v="0"/>
    <x v="0"/>
    <x v="1"/>
    <x v="0"/>
    <x v="0"/>
    <x v="0"/>
    <x v="0"/>
    <x v="0"/>
    <x v="0"/>
    <x v="0"/>
    <x v="0"/>
    <x v="0"/>
  </r>
  <r>
    <x v="98"/>
    <s v="NURUL AISYA BINTI MOHAMAD SAKANA"/>
    <x v="13"/>
    <x v="1"/>
    <x v="2"/>
    <x v="1"/>
    <x v="0"/>
    <x v="1"/>
    <x v="0"/>
    <x v="0"/>
    <x v="1"/>
    <x v="0"/>
    <x v="0"/>
    <x v="0"/>
    <x v="0"/>
    <x v="0"/>
    <x v="0"/>
    <x v="0"/>
    <x v="0"/>
    <x v="0"/>
  </r>
  <r>
    <x v="99"/>
    <s v="LUQMAN HANIF BIN MHD ASLAN"/>
    <x v="13"/>
    <x v="0"/>
    <x v="2"/>
    <x v="1"/>
    <x v="0"/>
    <x v="1"/>
    <x v="0"/>
    <x v="0"/>
    <x v="1"/>
    <x v="0"/>
    <x v="0"/>
    <x v="0"/>
    <x v="0"/>
    <x v="0"/>
    <x v="0"/>
    <x v="0"/>
    <x v="0"/>
    <x v="0"/>
  </r>
  <r>
    <x v="100"/>
    <s v="NOR AMIRA BINTI ABIDIN"/>
    <x v="16"/>
    <x v="1"/>
    <x v="3"/>
    <x v="1"/>
    <x v="0"/>
    <x v="1"/>
    <x v="0"/>
    <x v="0"/>
    <x v="1"/>
    <x v="0"/>
    <x v="0"/>
    <x v="0"/>
    <x v="0"/>
    <x v="0"/>
    <x v="0"/>
    <x v="0"/>
    <x v="0"/>
    <x v="0"/>
  </r>
  <r>
    <x v="101"/>
    <s v="KAVILAN A/L ANNAMALAI"/>
    <x v="11"/>
    <x v="0"/>
    <x v="2"/>
    <x v="1"/>
    <x v="0"/>
    <x v="1"/>
    <x v="0"/>
    <x v="0"/>
    <x v="0"/>
    <x v="0"/>
    <x v="0"/>
    <x v="0"/>
    <x v="0"/>
    <x v="0"/>
    <x v="0"/>
    <x v="0"/>
    <x v="0"/>
    <x v="0"/>
  </r>
  <r>
    <x v="102"/>
    <s v="MUHAMMAD SHAMIER BIN AMEERDEEN"/>
    <x v="15"/>
    <x v="0"/>
    <x v="3"/>
    <x v="1"/>
    <x v="0"/>
    <x v="1"/>
    <x v="0"/>
    <x v="0"/>
    <x v="1"/>
    <x v="0"/>
    <x v="0"/>
    <x v="0"/>
    <x v="0"/>
    <x v="0"/>
    <x v="0"/>
    <x v="0"/>
    <x v="0"/>
    <x v="0"/>
  </r>
  <r>
    <x v="103"/>
    <s v="MOHD AFFENDY BIN MANAP"/>
    <x v="11"/>
    <x v="0"/>
    <x v="3"/>
    <x v="1"/>
    <x v="0"/>
    <x v="1"/>
    <x v="0"/>
    <x v="0"/>
    <x v="1"/>
    <x v="0"/>
    <x v="0"/>
    <x v="0"/>
    <x v="0"/>
    <x v="0"/>
    <x v="0"/>
    <x v="0"/>
    <x v="0"/>
    <x v="0"/>
  </r>
  <r>
    <x v="104"/>
    <s v="SHANGKAR A/L GUNASEELAN"/>
    <x v="11"/>
    <x v="0"/>
    <x v="1"/>
    <x v="1"/>
    <x v="0"/>
    <x v="1"/>
    <x v="0"/>
    <x v="0"/>
    <x v="1"/>
    <x v="0"/>
    <x v="0"/>
    <x v="0"/>
    <x v="0"/>
    <x v="0"/>
    <x v="0"/>
    <x v="0"/>
    <x v="0"/>
    <x v="0"/>
  </r>
  <r>
    <x v="105"/>
    <s v="MURUGES A/L THIAGARAJAN"/>
    <x v="11"/>
    <x v="0"/>
    <x v="3"/>
    <x v="1"/>
    <x v="0"/>
    <x v="1"/>
    <x v="0"/>
    <x v="0"/>
    <x v="1"/>
    <x v="0"/>
    <x v="0"/>
    <x v="0"/>
    <x v="0"/>
    <x v="0"/>
    <x v="0"/>
    <x v="0"/>
    <x v="0"/>
    <x v="0"/>
  </r>
  <r>
    <x v="106"/>
    <s v="MOHAMAD AMZAR BIN JAFRI"/>
    <x v="10"/>
    <x v="0"/>
    <x v="2"/>
    <x v="1"/>
    <x v="0"/>
    <x v="1"/>
    <x v="0"/>
    <x v="0"/>
    <x v="0"/>
    <x v="0"/>
    <x v="0"/>
    <x v="0"/>
    <x v="0"/>
    <x v="0"/>
    <x v="0"/>
    <x v="0"/>
    <x v="0"/>
    <x v="0"/>
  </r>
  <r>
    <x v="107"/>
    <s v="MOHAMAD AIMAN NADZMIE BIN YAHAYA"/>
    <x v="10"/>
    <x v="0"/>
    <x v="2"/>
    <x v="1"/>
    <x v="0"/>
    <x v="1"/>
    <x v="0"/>
    <x v="0"/>
    <x v="0"/>
    <x v="0"/>
    <x v="0"/>
    <x v="0"/>
    <x v="0"/>
    <x v="0"/>
    <x v="0"/>
    <x v="0"/>
    <x v="0"/>
    <x v="0"/>
  </r>
  <r>
    <x v="108"/>
    <s v="MOHD FAIZAL BIN ABD RAHIM"/>
    <x v="11"/>
    <x v="0"/>
    <x v="2"/>
    <x v="1"/>
    <x v="0"/>
    <x v="1"/>
    <x v="0"/>
    <x v="0"/>
    <x v="0"/>
    <x v="0"/>
    <x v="0"/>
    <x v="0"/>
    <x v="0"/>
    <x v="0"/>
    <x v="0"/>
    <x v="0"/>
    <x v="0"/>
    <x v="0"/>
  </r>
  <r>
    <x v="109"/>
    <s v="MUHAMMAD ADHHA BIN AYOB"/>
    <x v="10"/>
    <x v="0"/>
    <x v="2"/>
    <x v="1"/>
    <x v="0"/>
    <x v="1"/>
    <x v="0"/>
    <x v="0"/>
    <x v="0"/>
    <x v="0"/>
    <x v="0"/>
    <x v="0"/>
    <x v="0"/>
    <x v="0"/>
    <x v="0"/>
    <x v="0"/>
    <x v="0"/>
    <x v="0"/>
  </r>
  <r>
    <x v="110"/>
    <s v="N.SATKUNANATHAN A/L R.NAGANATHAN"/>
    <x v="14"/>
    <x v="0"/>
    <x v="1"/>
    <x v="1"/>
    <x v="0"/>
    <x v="1"/>
    <x v="0"/>
    <x v="0"/>
    <x v="1"/>
    <x v="0"/>
    <x v="0"/>
    <x v="0"/>
    <x v="0"/>
    <x v="0"/>
    <x v="0"/>
    <x v="0"/>
    <x v="0"/>
    <x v="0"/>
  </r>
  <r>
    <x v="111"/>
    <s v="MOHAMMAD NAJHAN BIN RUSLAN"/>
    <x v="13"/>
    <x v="0"/>
    <x v="1"/>
    <x v="0"/>
    <x v="1"/>
    <x v="1"/>
    <x v="0"/>
    <x v="0"/>
    <x v="0"/>
    <x v="0"/>
    <x v="0"/>
    <x v="0"/>
    <x v="0"/>
    <x v="0"/>
    <x v="0"/>
    <x v="0"/>
    <x v="0"/>
    <x v="0"/>
  </r>
  <r>
    <x v="112"/>
    <s v="AHMAD BADRUL AMIR BIN MOKHTAR"/>
    <x v="11"/>
    <x v="0"/>
    <x v="2"/>
    <x v="1"/>
    <x v="0"/>
    <x v="1"/>
    <x v="0"/>
    <x v="0"/>
    <x v="0"/>
    <x v="0"/>
    <x v="0"/>
    <x v="0"/>
    <x v="0"/>
    <x v="0"/>
    <x v="0"/>
    <x v="0"/>
    <x v="0"/>
    <x v="0"/>
  </r>
  <r>
    <x v="113"/>
    <s v="CHARRIN A/L AI SENG"/>
    <x v="15"/>
    <x v="0"/>
    <x v="1"/>
    <x v="1"/>
    <x v="0"/>
    <x v="1"/>
    <x v="0"/>
    <x v="0"/>
    <x v="1"/>
    <x v="0"/>
    <x v="0"/>
    <x v="0"/>
    <x v="0"/>
    <x v="0"/>
    <x v="0"/>
    <x v="0"/>
    <x v="0"/>
    <x v="0"/>
  </r>
  <r>
    <x v="114"/>
    <s v="PHUVANIT PHROMBANDID"/>
    <x v="15"/>
    <x v="0"/>
    <x v="3"/>
    <x v="1"/>
    <x v="0"/>
    <x v="1"/>
    <x v="0"/>
    <x v="0"/>
    <x v="1"/>
    <x v="0"/>
    <x v="0"/>
    <x v="0"/>
    <x v="0"/>
    <x v="0"/>
    <x v="0"/>
    <x v="0"/>
    <x v="0"/>
    <x v="0"/>
  </r>
  <r>
    <x v="115"/>
    <s v="MUHAMMAD SHAHRIL NASRIN BIN BAKARI"/>
    <x v="14"/>
    <x v="0"/>
    <x v="1"/>
    <x v="1"/>
    <x v="0"/>
    <x v="1"/>
    <x v="0"/>
    <x v="0"/>
    <x v="1"/>
    <x v="0"/>
    <x v="0"/>
    <x v="0"/>
    <x v="0"/>
    <x v="0"/>
    <x v="0"/>
    <x v="0"/>
    <x v="0"/>
    <x v="0"/>
  </r>
  <r>
    <x v="116"/>
    <s v="MUHAMMAD ALI BIN MOHD NAZRI"/>
    <x v="10"/>
    <x v="0"/>
    <x v="3"/>
    <x v="1"/>
    <x v="0"/>
    <x v="1"/>
    <x v="0"/>
    <x v="1"/>
    <x v="0"/>
    <x v="0"/>
    <x v="0"/>
    <x v="0"/>
    <x v="0"/>
    <x v="0"/>
    <x v="0"/>
    <x v="0"/>
    <x v="0"/>
    <x v="0"/>
  </r>
  <r>
    <x v="117"/>
    <s v="SITI NASHARIENIE NOERHANIE BINTI ABDUL AZIZ"/>
    <x v="13"/>
    <x v="1"/>
    <x v="3"/>
    <x v="1"/>
    <x v="0"/>
    <x v="1"/>
    <x v="0"/>
    <x v="0"/>
    <x v="1"/>
    <x v="0"/>
    <x v="0"/>
    <x v="0"/>
    <x v="0"/>
    <x v="0"/>
    <x v="0"/>
    <x v="0"/>
    <x v="0"/>
    <x v="0"/>
  </r>
  <r>
    <x v="118"/>
    <s v="MUHAMAD ASYRAF BIN ISMAIL"/>
    <x v="16"/>
    <x v="0"/>
    <x v="1"/>
    <x v="1"/>
    <x v="0"/>
    <x v="1"/>
    <x v="0"/>
    <x v="0"/>
    <x v="1"/>
    <x v="0"/>
    <x v="0"/>
    <x v="0"/>
    <x v="0"/>
    <x v="0"/>
    <x v="0"/>
    <x v="0"/>
    <x v="0"/>
    <x v="0"/>
  </r>
  <r>
    <x v="119"/>
    <s v="NORSAZRIN BIN CHE CHAN"/>
    <x v="10"/>
    <x v="0"/>
    <x v="3"/>
    <x v="1"/>
    <x v="0"/>
    <x v="1"/>
    <x v="1"/>
    <x v="0"/>
    <x v="1"/>
    <x v="0"/>
    <x v="0"/>
    <x v="0"/>
    <x v="0"/>
    <x v="0"/>
    <x v="0"/>
    <x v="0"/>
    <x v="0"/>
    <x v="0"/>
  </r>
  <r>
    <x v="120"/>
    <s v="HAZRUL HIQMAN BIN ABDUL WAHAB"/>
    <x v="10"/>
    <x v="0"/>
    <x v="1"/>
    <x v="1"/>
    <x v="0"/>
    <x v="1"/>
    <x v="0"/>
    <x v="0"/>
    <x v="1"/>
    <x v="0"/>
    <x v="0"/>
    <x v="0"/>
    <x v="0"/>
    <x v="0"/>
    <x v="0"/>
    <x v="0"/>
    <x v="0"/>
    <x v="0"/>
  </r>
  <r>
    <x v="121"/>
    <s v="THINESH A/L MANIMARAN"/>
    <x v="15"/>
    <x v="0"/>
    <x v="2"/>
    <x v="1"/>
    <x v="0"/>
    <x v="1"/>
    <x v="0"/>
    <x v="0"/>
    <x v="1"/>
    <x v="0"/>
    <x v="0"/>
    <x v="0"/>
    <x v="0"/>
    <x v="0"/>
    <x v="0"/>
    <x v="0"/>
    <x v="0"/>
    <x v="0"/>
  </r>
  <r>
    <x v="122"/>
    <s v="NOR AZLIFAH BINTI HASHIM"/>
    <x v="16"/>
    <x v="1"/>
    <x v="3"/>
    <x v="1"/>
    <x v="0"/>
    <x v="1"/>
    <x v="0"/>
    <x v="0"/>
    <x v="1"/>
    <x v="0"/>
    <x v="0"/>
    <x v="0"/>
    <x v="0"/>
    <x v="0"/>
    <x v="0"/>
    <x v="0"/>
    <x v="0"/>
    <x v="0"/>
  </r>
  <r>
    <x v="123"/>
    <s v="FARHAN BIN ROMMALI"/>
    <x v="15"/>
    <x v="0"/>
    <x v="1"/>
    <x v="1"/>
    <x v="0"/>
    <x v="1"/>
    <x v="0"/>
    <x v="0"/>
    <x v="1"/>
    <x v="0"/>
    <x v="0"/>
    <x v="0"/>
    <x v="0"/>
    <x v="0"/>
    <x v="0"/>
    <x v="0"/>
    <x v="0"/>
    <x v="0"/>
  </r>
  <r>
    <x v="124"/>
    <s v="MOHD ANIQ HAMZAH BIN MOKHTAR"/>
    <x v="10"/>
    <x v="0"/>
    <x v="1"/>
    <x v="1"/>
    <x v="0"/>
    <x v="1"/>
    <x v="0"/>
    <x v="0"/>
    <x v="1"/>
    <x v="0"/>
    <x v="0"/>
    <x v="0"/>
    <x v="0"/>
    <x v="0"/>
    <x v="0"/>
    <x v="0"/>
    <x v="0"/>
    <x v="0"/>
  </r>
  <r>
    <x v="125"/>
    <s v="SUTHARSAN A/L BHUARASEN"/>
    <x v="11"/>
    <x v="0"/>
    <x v="1"/>
    <x v="1"/>
    <x v="0"/>
    <x v="1"/>
    <x v="0"/>
    <x v="0"/>
    <x v="1"/>
    <x v="0"/>
    <x v="0"/>
    <x v="0"/>
    <x v="0"/>
    <x v="0"/>
    <x v="0"/>
    <x v="0"/>
    <x v="0"/>
    <x v="0"/>
  </r>
  <r>
    <x v="126"/>
    <s v="MOHD RAHMAT BIN MAT AKHIR"/>
    <x v="11"/>
    <x v="0"/>
    <x v="1"/>
    <x v="1"/>
    <x v="0"/>
    <x v="1"/>
    <x v="0"/>
    <x v="0"/>
    <x v="1"/>
    <x v="0"/>
    <x v="0"/>
    <x v="0"/>
    <x v="0"/>
    <x v="0"/>
    <x v="0"/>
    <x v="0"/>
    <x v="0"/>
    <x v="0"/>
  </r>
  <r>
    <x v="127"/>
    <s v="RUJHAN BIN MUHD NOOR"/>
    <x v="10"/>
    <x v="0"/>
    <x v="3"/>
    <x v="1"/>
    <x v="0"/>
    <x v="1"/>
    <x v="1"/>
    <x v="0"/>
    <x v="0"/>
    <x v="0"/>
    <x v="0"/>
    <x v="0"/>
    <x v="0"/>
    <x v="0"/>
    <x v="0"/>
    <x v="0"/>
    <x v="0"/>
    <x v="0"/>
  </r>
  <r>
    <x v="128"/>
    <s v="MOHAMAD KHAIRUDDIN BIN OTHMAN"/>
    <x v="10"/>
    <x v="0"/>
    <x v="1"/>
    <x v="1"/>
    <x v="0"/>
    <x v="1"/>
    <x v="0"/>
    <x v="0"/>
    <x v="1"/>
    <x v="0"/>
    <x v="0"/>
    <x v="0"/>
    <x v="0"/>
    <x v="0"/>
    <x v="0"/>
    <x v="0"/>
    <x v="0"/>
    <x v="0"/>
  </r>
  <r>
    <x v="129"/>
    <s v="NORADILA BINTI MOHD JAMNAI"/>
    <x v="3"/>
    <x v="1"/>
    <x v="3"/>
    <x v="1"/>
    <x v="0"/>
    <x v="1"/>
    <x v="0"/>
    <x v="0"/>
    <x v="1"/>
    <x v="0"/>
    <x v="0"/>
    <x v="0"/>
    <x v="0"/>
    <x v="0"/>
    <x v="0"/>
    <x v="0"/>
    <x v="0"/>
    <x v="0"/>
  </r>
  <r>
    <x v="130"/>
    <s v="MUHAMMAD RIDUAN BIN ADNAN"/>
    <x v="16"/>
    <x v="0"/>
    <x v="2"/>
    <x v="1"/>
    <x v="0"/>
    <x v="1"/>
    <x v="0"/>
    <x v="0"/>
    <x v="1"/>
    <x v="0"/>
    <x v="0"/>
    <x v="0"/>
    <x v="0"/>
    <x v="0"/>
    <x v="0"/>
    <x v="0"/>
    <x v="0"/>
    <x v="0"/>
  </r>
  <r>
    <x v="131"/>
    <s v="MUHAMMAD ZHAFIR BIN IBRAHIM"/>
    <x v="16"/>
    <x v="0"/>
    <x v="2"/>
    <x v="1"/>
    <x v="0"/>
    <x v="1"/>
    <x v="0"/>
    <x v="0"/>
    <x v="1"/>
    <x v="0"/>
    <x v="0"/>
    <x v="0"/>
    <x v="0"/>
    <x v="0"/>
    <x v="0"/>
    <x v="0"/>
    <x v="0"/>
    <x v="0"/>
  </r>
  <r>
    <x v="132"/>
    <s v="KAMAL ARIF BIN KAMARUDIN"/>
    <x v="16"/>
    <x v="0"/>
    <x v="3"/>
    <x v="1"/>
    <x v="0"/>
    <x v="1"/>
    <x v="0"/>
    <x v="0"/>
    <x v="1"/>
    <x v="0"/>
    <x v="0"/>
    <x v="0"/>
    <x v="0"/>
    <x v="0"/>
    <x v="0"/>
    <x v="0"/>
    <x v="0"/>
    <x v="0"/>
  </r>
  <r>
    <x v="133"/>
    <s v="SACITHARAN A/L THANGAMANI"/>
    <x v="16"/>
    <x v="0"/>
    <x v="2"/>
    <x v="1"/>
    <x v="0"/>
    <x v="1"/>
    <x v="0"/>
    <x v="0"/>
    <x v="1"/>
    <x v="0"/>
    <x v="0"/>
    <x v="0"/>
    <x v="0"/>
    <x v="0"/>
    <x v="0"/>
    <x v="0"/>
    <x v="0"/>
    <x v="0"/>
  </r>
  <r>
    <x v="134"/>
    <s v="ZAID OTHMAN BIN MISDAN"/>
    <x v="5"/>
    <x v="0"/>
    <x v="4"/>
    <x v="0"/>
    <x v="0"/>
    <x v="1"/>
    <x v="0"/>
    <x v="0"/>
    <x v="0"/>
    <x v="0"/>
    <x v="0"/>
    <x v="0"/>
    <x v="0"/>
    <x v="0"/>
    <x v="0"/>
    <x v="0"/>
    <x v="0"/>
    <x v="0"/>
  </r>
  <r>
    <x v="135"/>
    <s v="ISHAM BIN ISHAK"/>
    <x v="17"/>
    <x v="0"/>
    <x v="1"/>
    <x v="1"/>
    <x v="0"/>
    <x v="1"/>
    <x v="0"/>
    <x v="0"/>
    <x v="1"/>
    <x v="0"/>
    <x v="0"/>
    <x v="0"/>
    <x v="0"/>
    <x v="0"/>
    <x v="0"/>
    <x v="0"/>
    <x v="0"/>
    <x v="0"/>
  </r>
  <r>
    <x v="136"/>
    <s v="ABDUL HAKIM BIN ABDULLAH"/>
    <x v="18"/>
    <x v="0"/>
    <x v="3"/>
    <x v="1"/>
    <x v="0"/>
    <x v="1"/>
    <x v="0"/>
    <x v="0"/>
    <x v="1"/>
    <x v="0"/>
    <x v="0"/>
    <x v="0"/>
    <x v="0"/>
    <x v="0"/>
    <x v="0"/>
    <x v="0"/>
    <x v="0"/>
    <x v="0"/>
  </r>
  <r>
    <x v="137"/>
    <s v="NORLY ZULAIKHA BINTI ABU"/>
    <x v="18"/>
    <x v="1"/>
    <x v="1"/>
    <x v="1"/>
    <x v="0"/>
    <x v="1"/>
    <x v="0"/>
    <x v="0"/>
    <x v="1"/>
    <x v="0"/>
    <x v="0"/>
    <x v="0"/>
    <x v="0"/>
    <x v="0"/>
    <x v="0"/>
    <x v="0"/>
    <x v="0"/>
    <x v="0"/>
  </r>
  <r>
    <x v="138"/>
    <s v="NUR FATIN NABILAH BINTI DINO"/>
    <x v="18"/>
    <x v="1"/>
    <x v="3"/>
    <x v="1"/>
    <x v="0"/>
    <x v="1"/>
    <x v="0"/>
    <x v="0"/>
    <x v="1"/>
    <x v="0"/>
    <x v="0"/>
    <x v="0"/>
    <x v="0"/>
    <x v="0"/>
    <x v="0"/>
    <x v="0"/>
    <x v="0"/>
    <x v="0"/>
  </r>
  <r>
    <x v="139"/>
    <s v="SITI ZURINAPUTRI BINTI OSMAN"/>
    <x v="18"/>
    <x v="1"/>
    <x v="1"/>
    <x v="1"/>
    <x v="0"/>
    <x v="1"/>
    <x v="0"/>
    <x v="0"/>
    <x v="1"/>
    <x v="0"/>
    <x v="0"/>
    <x v="0"/>
    <x v="0"/>
    <x v="0"/>
    <x v="0"/>
    <x v="0"/>
    <x v="0"/>
    <x v="0"/>
  </r>
  <r>
    <x v="140"/>
    <s v="SITI NURUL HAWA BINTI MOHD RADZI"/>
    <x v="18"/>
    <x v="1"/>
    <x v="2"/>
    <x v="1"/>
    <x v="0"/>
    <x v="1"/>
    <x v="0"/>
    <x v="0"/>
    <x v="1"/>
    <x v="0"/>
    <x v="0"/>
    <x v="0"/>
    <x v="0"/>
    <x v="0"/>
    <x v="0"/>
    <x v="0"/>
    <x v="0"/>
    <x v="0"/>
  </r>
  <r>
    <x v="141"/>
    <s v="MUHAMAD AMIN BIN SHUKRI"/>
    <x v="18"/>
    <x v="0"/>
    <x v="1"/>
    <x v="1"/>
    <x v="0"/>
    <x v="1"/>
    <x v="0"/>
    <x v="0"/>
    <x v="0"/>
    <x v="0"/>
    <x v="0"/>
    <x v="0"/>
    <x v="0"/>
    <x v="0"/>
    <x v="0"/>
    <x v="0"/>
    <x v="0"/>
    <x v="0"/>
  </r>
  <r>
    <x v="142"/>
    <s v="AZLAN BIN MAHMOOD"/>
    <x v="3"/>
    <x v="0"/>
    <x v="1"/>
    <x v="1"/>
    <x v="0"/>
    <x v="1"/>
    <x v="0"/>
    <x v="0"/>
    <x v="1"/>
    <x v="0"/>
    <x v="0"/>
    <x v="0"/>
    <x v="0"/>
    <x v="0"/>
    <x v="0"/>
    <x v="0"/>
    <x v="0"/>
    <x v="0"/>
  </r>
  <r>
    <x v="143"/>
    <s v="MUHAMMAD SYAZWAN BIN ISMAIL"/>
    <x v="1"/>
    <x v="0"/>
    <x v="1"/>
    <x v="1"/>
    <x v="0"/>
    <x v="1"/>
    <x v="0"/>
    <x v="0"/>
    <x v="1"/>
    <x v="0"/>
    <x v="0"/>
    <x v="0"/>
    <x v="0"/>
    <x v="0"/>
    <x v="0"/>
    <x v="0"/>
    <x v="0"/>
    <x v="0"/>
  </r>
  <r>
    <x v="144"/>
    <s v="MOHD NOOR AZLI BIN OTHMAN"/>
    <x v="5"/>
    <x v="0"/>
    <x v="2"/>
    <x v="1"/>
    <x v="0"/>
    <x v="1"/>
    <x v="0"/>
    <x v="0"/>
    <x v="1"/>
    <x v="0"/>
    <x v="0"/>
    <x v="0"/>
    <x v="0"/>
    <x v="0"/>
    <x v="0"/>
    <x v="0"/>
    <x v="0"/>
    <x v="0"/>
  </r>
  <r>
    <x v="145"/>
    <s v="SITI SARAH BINTI RAHIM"/>
    <x v="1"/>
    <x v="1"/>
    <x v="1"/>
    <x v="1"/>
    <x v="0"/>
    <x v="1"/>
    <x v="0"/>
    <x v="0"/>
    <x v="1"/>
    <x v="0"/>
    <x v="0"/>
    <x v="0"/>
    <x v="0"/>
    <x v="0"/>
    <x v="0"/>
    <x v="0"/>
    <x v="0"/>
    <x v="0"/>
  </r>
  <r>
    <x v="146"/>
    <s v="MUHAMMAD HAFIZUL FAIZ BIN HASHIM"/>
    <x v="17"/>
    <x v="0"/>
    <x v="2"/>
    <x v="1"/>
    <x v="0"/>
    <x v="1"/>
    <x v="0"/>
    <x v="0"/>
    <x v="1"/>
    <x v="0"/>
    <x v="0"/>
    <x v="0"/>
    <x v="0"/>
    <x v="0"/>
    <x v="0"/>
    <x v="0"/>
    <x v="0"/>
    <x v="0"/>
  </r>
  <r>
    <x v="147"/>
    <s v="NURUL HASANAH BINTI A'SHARUDDIN"/>
    <x v="8"/>
    <x v="1"/>
    <x v="2"/>
    <x v="1"/>
    <x v="0"/>
    <x v="1"/>
    <x v="0"/>
    <x v="0"/>
    <x v="1"/>
    <x v="0"/>
    <x v="0"/>
    <x v="0"/>
    <x v="0"/>
    <x v="0"/>
    <x v="0"/>
    <x v="0"/>
    <x v="0"/>
    <x v="0"/>
  </r>
  <r>
    <x v="148"/>
    <s v="NUR SHAHIRAH BINTI MOHD ARIFF NOR FADZLI"/>
    <x v="8"/>
    <x v="1"/>
    <x v="2"/>
    <x v="1"/>
    <x v="0"/>
    <x v="1"/>
    <x v="0"/>
    <x v="0"/>
    <x v="1"/>
    <x v="0"/>
    <x v="0"/>
    <x v="0"/>
    <x v="0"/>
    <x v="0"/>
    <x v="0"/>
    <x v="0"/>
    <x v="0"/>
    <x v="0"/>
  </r>
  <r>
    <x v="149"/>
    <s v="MUHAMMAD AMIRUL SHAHIR BIN SHAHARUDIN"/>
    <x v="18"/>
    <x v="0"/>
    <x v="1"/>
    <x v="1"/>
    <x v="0"/>
    <x v="1"/>
    <x v="0"/>
    <x v="0"/>
    <x v="1"/>
    <x v="0"/>
    <x v="0"/>
    <x v="0"/>
    <x v="0"/>
    <x v="0"/>
    <x v="0"/>
    <x v="0"/>
    <x v="0"/>
    <x v="0"/>
  </r>
  <r>
    <x v="150"/>
    <s v="THANUSHA A/P KRISHNANSAMY"/>
    <x v="8"/>
    <x v="1"/>
    <x v="3"/>
    <x v="1"/>
    <x v="0"/>
    <x v="1"/>
    <x v="0"/>
    <x v="0"/>
    <x v="1"/>
    <x v="0"/>
    <x v="0"/>
    <x v="0"/>
    <x v="0"/>
    <x v="0"/>
    <x v="0"/>
    <x v="0"/>
    <x v="0"/>
    <x v="0"/>
  </r>
  <r>
    <x v="151"/>
    <s v="YUSOFF KHUZAIRI BIN CHE HARUN"/>
    <x v="2"/>
    <x v="0"/>
    <x v="3"/>
    <x v="1"/>
    <x v="0"/>
    <x v="1"/>
    <x v="0"/>
    <x v="0"/>
    <x v="1"/>
    <x v="0"/>
    <x v="0"/>
    <x v="0"/>
    <x v="0"/>
    <x v="0"/>
    <x v="0"/>
    <x v="0"/>
    <x v="0"/>
    <x v="0"/>
  </r>
  <r>
    <x v="152"/>
    <s v="HASSAN IZZUDDIN SALAM BIN KHALID HASSAN"/>
    <x v="1"/>
    <x v="0"/>
    <x v="3"/>
    <x v="1"/>
    <x v="0"/>
    <x v="1"/>
    <x v="0"/>
    <x v="0"/>
    <x v="1"/>
    <x v="0"/>
    <x v="0"/>
    <x v="0"/>
    <x v="0"/>
    <x v="0"/>
    <x v="0"/>
    <x v="0"/>
    <x v="0"/>
    <x v="0"/>
  </r>
  <r>
    <x v="153"/>
    <s v="MUHAMMAD AZRA ASHRAF BIN ABDUL RASHID"/>
    <x v="16"/>
    <x v="0"/>
    <x v="2"/>
    <x v="1"/>
    <x v="0"/>
    <x v="1"/>
    <x v="0"/>
    <x v="0"/>
    <x v="1"/>
    <x v="0"/>
    <x v="0"/>
    <x v="0"/>
    <x v="0"/>
    <x v="0"/>
    <x v="0"/>
    <x v="0"/>
    <x v="0"/>
    <x v="0"/>
  </r>
  <r>
    <x v="154"/>
    <s v="MUHAMMAD AFIQ AIZUDDIN BIN MOHD JALIL"/>
    <x v="5"/>
    <x v="0"/>
    <x v="1"/>
    <x v="1"/>
    <x v="0"/>
    <x v="1"/>
    <x v="0"/>
    <x v="0"/>
    <x v="1"/>
    <x v="0"/>
    <x v="0"/>
    <x v="0"/>
    <x v="0"/>
    <x v="0"/>
    <x v="0"/>
    <x v="0"/>
    <x v="0"/>
    <x v="0"/>
  </r>
  <r>
    <x v="155"/>
    <s v="MUHAMAD FARET BIN ALIAS"/>
    <x v="5"/>
    <x v="0"/>
    <x v="3"/>
    <x v="1"/>
    <x v="0"/>
    <x v="1"/>
    <x v="0"/>
    <x v="0"/>
    <x v="1"/>
    <x v="0"/>
    <x v="0"/>
    <x v="0"/>
    <x v="0"/>
    <x v="0"/>
    <x v="0"/>
    <x v="0"/>
    <x v="0"/>
    <x v="0"/>
  </r>
  <r>
    <x v="156"/>
    <s v="AHMAD ZAKI BIN SAUAT"/>
    <x v="0"/>
    <x v="0"/>
    <x v="3"/>
    <x v="1"/>
    <x v="0"/>
    <x v="1"/>
    <x v="0"/>
    <x v="0"/>
    <x v="1"/>
    <x v="0"/>
    <x v="0"/>
    <x v="0"/>
    <x v="0"/>
    <x v="0"/>
    <x v="0"/>
    <x v="0"/>
    <x v="0"/>
    <x v="0"/>
  </r>
  <r>
    <x v="157"/>
    <s v="MOHAMMAD HAKIMIN BIN AMRAN"/>
    <x v="5"/>
    <x v="0"/>
    <x v="3"/>
    <x v="1"/>
    <x v="0"/>
    <x v="1"/>
    <x v="0"/>
    <x v="0"/>
    <x v="1"/>
    <x v="0"/>
    <x v="0"/>
    <x v="0"/>
    <x v="0"/>
    <x v="0"/>
    <x v="0"/>
    <x v="0"/>
    <x v="0"/>
    <x v="0"/>
  </r>
  <r>
    <x v="158"/>
    <s v="MUHAMAD FITRI BIN MOHD ZAINI"/>
    <x v="18"/>
    <x v="0"/>
    <x v="2"/>
    <x v="1"/>
    <x v="0"/>
    <x v="1"/>
    <x v="0"/>
    <x v="0"/>
    <x v="1"/>
    <x v="0"/>
    <x v="0"/>
    <x v="0"/>
    <x v="0"/>
    <x v="0"/>
    <x v="0"/>
    <x v="0"/>
    <x v="0"/>
    <x v="0"/>
  </r>
  <r>
    <x v="159"/>
    <s v="MUHAMMAD IZZAT BIN JAMHARI"/>
    <x v="1"/>
    <x v="0"/>
    <x v="1"/>
    <x v="1"/>
    <x v="0"/>
    <x v="1"/>
    <x v="1"/>
    <x v="0"/>
    <x v="1"/>
    <x v="0"/>
    <x v="0"/>
    <x v="0"/>
    <x v="0"/>
    <x v="0"/>
    <x v="0"/>
    <x v="0"/>
    <x v="0"/>
    <x v="0"/>
  </r>
  <r>
    <x v="160"/>
    <s v="NADIA HAZREEN BINTI MORAD"/>
    <x v="18"/>
    <x v="1"/>
    <x v="3"/>
    <x v="1"/>
    <x v="0"/>
    <x v="1"/>
    <x v="0"/>
    <x v="0"/>
    <x v="1"/>
    <x v="0"/>
    <x v="0"/>
    <x v="0"/>
    <x v="0"/>
    <x v="0"/>
    <x v="0"/>
    <x v="0"/>
    <x v="0"/>
    <x v="0"/>
  </r>
  <r>
    <x v="161"/>
    <s v="NUR IRADATUL FARIHA BINTI AZIZAN"/>
    <x v="5"/>
    <x v="1"/>
    <x v="3"/>
    <x v="1"/>
    <x v="0"/>
    <x v="1"/>
    <x v="0"/>
    <x v="0"/>
    <x v="1"/>
    <x v="0"/>
    <x v="0"/>
    <x v="0"/>
    <x v="0"/>
    <x v="0"/>
    <x v="0"/>
    <x v="0"/>
    <x v="0"/>
    <x v="0"/>
  </r>
  <r>
    <x v="162"/>
    <s v="MUHAMMAD AIDIL AZRI BIN ZAMBERI"/>
    <x v="18"/>
    <x v="0"/>
    <x v="3"/>
    <x v="1"/>
    <x v="0"/>
    <x v="1"/>
    <x v="0"/>
    <x v="0"/>
    <x v="1"/>
    <x v="0"/>
    <x v="0"/>
    <x v="0"/>
    <x v="0"/>
    <x v="0"/>
    <x v="0"/>
    <x v="0"/>
    <x v="0"/>
    <x v="0"/>
  </r>
  <r>
    <x v="163"/>
    <s v="ZHARIF LUQMAN BIN MOHD ZAIHAM"/>
    <x v="3"/>
    <x v="0"/>
    <x v="1"/>
    <x v="1"/>
    <x v="0"/>
    <x v="1"/>
    <x v="0"/>
    <x v="0"/>
    <x v="1"/>
    <x v="0"/>
    <x v="0"/>
    <x v="0"/>
    <x v="0"/>
    <x v="0"/>
    <x v="0"/>
    <x v="0"/>
    <x v="0"/>
    <x v="0"/>
  </r>
  <r>
    <x v="164"/>
    <s v="MOHD REDHWAN BASRI BIN ROMLI"/>
    <x v="5"/>
    <x v="0"/>
    <x v="3"/>
    <x v="1"/>
    <x v="0"/>
    <x v="1"/>
    <x v="0"/>
    <x v="0"/>
    <x v="1"/>
    <x v="0"/>
    <x v="0"/>
    <x v="0"/>
    <x v="0"/>
    <x v="0"/>
    <x v="0"/>
    <x v="0"/>
    <x v="0"/>
    <x v="0"/>
  </r>
  <r>
    <x v="165"/>
    <s v="MUHAMAD YUSMAN BIN OMAR"/>
    <x v="3"/>
    <x v="0"/>
    <x v="3"/>
    <x v="1"/>
    <x v="0"/>
    <x v="1"/>
    <x v="0"/>
    <x v="0"/>
    <x v="1"/>
    <x v="0"/>
    <x v="0"/>
    <x v="0"/>
    <x v="0"/>
    <x v="0"/>
    <x v="0"/>
    <x v="0"/>
    <x v="0"/>
    <x v="0"/>
  </r>
  <r>
    <x v="166"/>
    <s v="MOHD NURUL HAFIS BIN MOHD NOR"/>
    <x v="1"/>
    <x v="0"/>
    <x v="0"/>
    <x v="0"/>
    <x v="0"/>
    <x v="1"/>
    <x v="0"/>
    <x v="0"/>
    <x v="1"/>
    <x v="0"/>
    <x v="0"/>
    <x v="0"/>
    <x v="0"/>
    <x v="0"/>
    <x v="0"/>
    <x v="0"/>
    <x v="0"/>
    <x v="0"/>
  </r>
  <r>
    <x v="167"/>
    <s v="NURUL NAJWA BINTI JOHARI"/>
    <x v="8"/>
    <x v="1"/>
    <x v="1"/>
    <x v="1"/>
    <x v="0"/>
    <x v="1"/>
    <x v="0"/>
    <x v="0"/>
    <x v="1"/>
    <x v="0"/>
    <x v="0"/>
    <x v="0"/>
    <x v="0"/>
    <x v="0"/>
    <x v="0"/>
    <x v="0"/>
    <x v="0"/>
    <x v="0"/>
  </r>
  <r>
    <x v="168"/>
    <s v="MUHAMMAD AMAL ZIKRY BIN RAZALI"/>
    <x v="17"/>
    <x v="0"/>
    <x v="3"/>
    <x v="1"/>
    <x v="0"/>
    <x v="1"/>
    <x v="0"/>
    <x v="0"/>
    <x v="1"/>
    <x v="0"/>
    <x v="0"/>
    <x v="0"/>
    <x v="0"/>
    <x v="0"/>
    <x v="0"/>
    <x v="0"/>
    <x v="0"/>
    <x v="0"/>
  </r>
  <r>
    <x v="169"/>
    <s v="MOHAMAD AZRUL AMIR BIN KHAIRUL"/>
    <x v="16"/>
    <x v="0"/>
    <x v="2"/>
    <x v="1"/>
    <x v="0"/>
    <x v="1"/>
    <x v="0"/>
    <x v="0"/>
    <x v="1"/>
    <x v="0"/>
    <x v="0"/>
    <x v="0"/>
    <x v="0"/>
    <x v="0"/>
    <x v="0"/>
    <x v="0"/>
    <x v="0"/>
    <x v="0"/>
  </r>
  <r>
    <x v="170"/>
    <s v="NUR IZATUL RAIHANA BINTI MOHMAD YUSRI"/>
    <x v="19"/>
    <x v="1"/>
    <x v="4"/>
    <x v="0"/>
    <x v="0"/>
    <x v="1"/>
    <x v="0"/>
    <x v="0"/>
    <x v="1"/>
    <x v="0"/>
    <x v="0"/>
    <x v="0"/>
    <x v="0"/>
    <x v="0"/>
    <x v="0"/>
    <x v="0"/>
    <x v="0"/>
    <x v="0"/>
  </r>
  <r>
    <x v="171"/>
    <s v="FAIRUZ BINTI MUHAMAD KHALIL"/>
    <x v="19"/>
    <x v="1"/>
    <x v="1"/>
    <x v="0"/>
    <x v="0"/>
    <x v="1"/>
    <x v="0"/>
    <x v="0"/>
    <x v="1"/>
    <x v="0"/>
    <x v="0"/>
    <x v="0"/>
    <x v="0"/>
    <x v="0"/>
    <x v="0"/>
    <x v="0"/>
    <x v="0"/>
    <x v="0"/>
  </r>
  <r>
    <x v="172"/>
    <s v="MOHAMAD FITRY BIN MOHD HALIB"/>
    <x v="6"/>
    <x v="0"/>
    <x v="1"/>
    <x v="0"/>
    <x v="0"/>
    <x v="1"/>
    <x v="0"/>
    <x v="0"/>
    <x v="1"/>
    <x v="0"/>
    <x v="0"/>
    <x v="0"/>
    <x v="0"/>
    <x v="0"/>
    <x v="0"/>
    <x v="0"/>
    <x v="0"/>
    <x v="0"/>
  </r>
  <r>
    <x v="173"/>
    <s v="MOHAMAD NOOR AKBAR BIN MOHAMAD ZAINI"/>
    <x v="19"/>
    <x v="0"/>
    <x v="2"/>
    <x v="1"/>
    <x v="0"/>
    <x v="1"/>
    <x v="0"/>
    <x v="0"/>
    <x v="1"/>
    <x v="0"/>
    <x v="0"/>
    <x v="0"/>
    <x v="0"/>
    <x v="0"/>
    <x v="0"/>
    <x v="0"/>
    <x v="0"/>
    <x v="0"/>
  </r>
  <r>
    <x v="174"/>
    <s v="MOHAMAD SHUKOR BIN IDRIS"/>
    <x v="16"/>
    <x v="0"/>
    <x v="3"/>
    <x v="1"/>
    <x v="0"/>
    <x v="1"/>
    <x v="0"/>
    <x v="0"/>
    <x v="1"/>
    <x v="0"/>
    <x v="0"/>
    <x v="0"/>
    <x v="0"/>
    <x v="0"/>
    <x v="0"/>
    <x v="0"/>
    <x v="0"/>
    <x v="0"/>
  </r>
  <r>
    <x v="175"/>
    <s v="NURSAFIANATUL HUDA BINTI AZMAN"/>
    <x v="16"/>
    <x v="1"/>
    <x v="3"/>
    <x v="1"/>
    <x v="0"/>
    <x v="1"/>
    <x v="0"/>
    <x v="0"/>
    <x v="1"/>
    <x v="0"/>
    <x v="0"/>
    <x v="0"/>
    <x v="0"/>
    <x v="0"/>
    <x v="0"/>
    <x v="0"/>
    <x v="0"/>
    <x v="0"/>
  </r>
  <r>
    <x v="176"/>
    <s v="HAFIZ AKMAL BIN BAKAR"/>
    <x v="10"/>
    <x v="0"/>
    <x v="1"/>
    <x v="1"/>
    <x v="0"/>
    <x v="1"/>
    <x v="0"/>
    <x v="0"/>
    <x v="1"/>
    <x v="0"/>
    <x v="0"/>
    <x v="0"/>
    <x v="0"/>
    <x v="0"/>
    <x v="0"/>
    <x v="0"/>
    <x v="0"/>
    <x v="0"/>
  </r>
  <r>
    <x v="177"/>
    <s v="NURUL BASHIRDA RAHMA BINTI BACIK"/>
    <x v="16"/>
    <x v="1"/>
    <x v="2"/>
    <x v="1"/>
    <x v="0"/>
    <x v="1"/>
    <x v="0"/>
    <x v="0"/>
    <x v="1"/>
    <x v="0"/>
    <x v="0"/>
    <x v="0"/>
    <x v="0"/>
    <x v="0"/>
    <x v="0"/>
    <x v="0"/>
    <x v="0"/>
    <x v="0"/>
  </r>
  <r>
    <x v="178"/>
    <s v="MUHAMMAD FIRDAUS BIN AHMAD"/>
    <x v="10"/>
    <x v="0"/>
    <x v="2"/>
    <x v="1"/>
    <x v="0"/>
    <x v="1"/>
    <x v="0"/>
    <x v="0"/>
    <x v="0"/>
    <x v="0"/>
    <x v="0"/>
    <x v="0"/>
    <x v="0"/>
    <x v="0"/>
    <x v="0"/>
    <x v="0"/>
    <x v="0"/>
    <x v="0"/>
  </r>
  <r>
    <x v="179"/>
    <s v="NUR SYAZWANNIZA BINTI RAZALI"/>
    <x v="5"/>
    <x v="1"/>
    <x v="2"/>
    <x v="1"/>
    <x v="0"/>
    <x v="1"/>
    <x v="0"/>
    <x v="0"/>
    <x v="1"/>
    <x v="0"/>
    <x v="0"/>
    <x v="0"/>
    <x v="0"/>
    <x v="0"/>
    <x v="0"/>
    <x v="0"/>
    <x v="0"/>
    <x v="0"/>
  </r>
  <r>
    <x v="180"/>
    <s v="NOOR AZIRA BINTI NANYAN"/>
    <x v="19"/>
    <x v="1"/>
    <x v="2"/>
    <x v="1"/>
    <x v="0"/>
    <x v="1"/>
    <x v="0"/>
    <x v="0"/>
    <x v="1"/>
    <x v="0"/>
    <x v="0"/>
    <x v="0"/>
    <x v="0"/>
    <x v="0"/>
    <x v="0"/>
    <x v="0"/>
    <x v="0"/>
    <x v="0"/>
  </r>
  <r>
    <x v="181"/>
    <s v="NUR IZZATI BINTI MOHAMAD SANUSI"/>
    <x v="19"/>
    <x v="1"/>
    <x v="3"/>
    <x v="1"/>
    <x v="0"/>
    <x v="1"/>
    <x v="0"/>
    <x v="0"/>
    <x v="1"/>
    <x v="0"/>
    <x v="0"/>
    <x v="0"/>
    <x v="0"/>
    <x v="0"/>
    <x v="0"/>
    <x v="0"/>
    <x v="0"/>
    <x v="0"/>
  </r>
  <r>
    <x v="182"/>
    <s v="MUHAMMAD AIZUDDIN BIN IBRAHIM"/>
    <x v="19"/>
    <x v="0"/>
    <x v="3"/>
    <x v="1"/>
    <x v="0"/>
    <x v="1"/>
    <x v="0"/>
    <x v="0"/>
    <x v="1"/>
    <x v="0"/>
    <x v="0"/>
    <x v="0"/>
    <x v="0"/>
    <x v="0"/>
    <x v="0"/>
    <x v="0"/>
    <x v="0"/>
    <x v="0"/>
  </r>
  <r>
    <x v="183"/>
    <s v="RAPHELLA SACHARISSA ANAK SALIM"/>
    <x v="1"/>
    <x v="1"/>
    <x v="2"/>
    <x v="1"/>
    <x v="0"/>
    <x v="1"/>
    <x v="0"/>
    <x v="0"/>
    <x v="1"/>
    <x v="0"/>
    <x v="0"/>
    <x v="0"/>
    <x v="0"/>
    <x v="0"/>
    <x v="0"/>
    <x v="0"/>
    <x v="0"/>
    <x v="0"/>
  </r>
  <r>
    <x v="184"/>
    <s v="AHMAD MU'IZZ LUQMAN BIN ZAINOL ABIDIN"/>
    <x v="9"/>
    <x v="0"/>
    <x v="2"/>
    <x v="1"/>
    <x v="0"/>
    <x v="1"/>
    <x v="0"/>
    <x v="0"/>
    <x v="1"/>
    <x v="0"/>
    <x v="0"/>
    <x v="0"/>
    <x v="0"/>
    <x v="0"/>
    <x v="0"/>
    <x v="0"/>
    <x v="0"/>
    <x v="0"/>
  </r>
  <r>
    <x v="185"/>
    <s v="MOHAMMAD UZAIR BIN AHMAD"/>
    <x v="19"/>
    <x v="0"/>
    <x v="1"/>
    <x v="1"/>
    <x v="1"/>
    <x v="1"/>
    <x v="1"/>
    <x v="1"/>
    <x v="1"/>
    <x v="0"/>
    <x v="0"/>
    <x v="0"/>
    <x v="0"/>
    <x v="0"/>
    <x v="0"/>
    <x v="0"/>
    <x v="0"/>
    <x v="0"/>
  </r>
  <r>
    <x v="186"/>
    <s v="MUHAMAD ADHAM BIN SHARIFF"/>
    <x v="9"/>
    <x v="0"/>
    <x v="1"/>
    <x v="0"/>
    <x v="0"/>
    <x v="1"/>
    <x v="0"/>
    <x v="0"/>
    <x v="1"/>
    <x v="0"/>
    <x v="0"/>
    <x v="0"/>
    <x v="0"/>
    <x v="0"/>
    <x v="0"/>
    <x v="0"/>
    <x v="0"/>
    <x v="0"/>
  </r>
  <r>
    <x v="187"/>
    <s v="MUHAMMAD MASLAN BIN MAHSUN"/>
    <x v="8"/>
    <x v="0"/>
    <x v="1"/>
    <x v="1"/>
    <x v="0"/>
    <x v="1"/>
    <x v="0"/>
    <x v="0"/>
    <x v="1"/>
    <x v="0"/>
    <x v="0"/>
    <x v="0"/>
    <x v="0"/>
    <x v="0"/>
    <x v="0"/>
    <x v="0"/>
    <x v="0"/>
    <x v="0"/>
  </r>
  <r>
    <x v="188"/>
    <s v="NAZIRAH BINTI ABDUL NIZAM"/>
    <x v="19"/>
    <x v="1"/>
    <x v="2"/>
    <x v="1"/>
    <x v="0"/>
    <x v="1"/>
    <x v="0"/>
    <x v="0"/>
    <x v="1"/>
    <x v="0"/>
    <x v="0"/>
    <x v="0"/>
    <x v="0"/>
    <x v="0"/>
    <x v="0"/>
    <x v="0"/>
    <x v="0"/>
    <x v="0"/>
  </r>
  <r>
    <x v="189"/>
    <s v="MUHAMMAD HAKIM BIN AZMI"/>
    <x v="2"/>
    <x v="0"/>
    <x v="1"/>
    <x v="1"/>
    <x v="0"/>
    <x v="1"/>
    <x v="0"/>
    <x v="0"/>
    <x v="1"/>
    <x v="0"/>
    <x v="0"/>
    <x v="0"/>
    <x v="0"/>
    <x v="0"/>
    <x v="0"/>
    <x v="0"/>
    <x v="0"/>
    <x v="0"/>
  </r>
  <r>
    <x v="190"/>
    <s v="NURUL NAJIHA BINTI MD ISA"/>
    <x v="19"/>
    <x v="1"/>
    <x v="1"/>
    <x v="1"/>
    <x v="0"/>
    <x v="0"/>
    <x v="1"/>
    <x v="1"/>
    <x v="1"/>
    <x v="0"/>
    <x v="0"/>
    <x v="0"/>
    <x v="0"/>
    <x v="0"/>
    <x v="0"/>
    <x v="0"/>
    <x v="0"/>
    <x v="0"/>
  </r>
  <r>
    <x v="191"/>
    <s v="RAIDAH BINTI OMAR"/>
    <x v="20"/>
    <x v="1"/>
    <x v="1"/>
    <x v="1"/>
    <x v="0"/>
    <x v="1"/>
    <x v="0"/>
    <x v="0"/>
    <x v="0"/>
    <x v="0"/>
    <x v="0"/>
    <x v="0"/>
    <x v="0"/>
    <x v="0"/>
    <x v="0"/>
    <x v="0"/>
    <x v="0"/>
    <x v="0"/>
  </r>
  <r>
    <x v="192"/>
    <s v="NUR SUFINA BINTI NIZAN"/>
    <x v="19"/>
    <x v="1"/>
    <x v="4"/>
    <x v="0"/>
    <x v="0"/>
    <x v="1"/>
    <x v="0"/>
    <x v="0"/>
    <x v="1"/>
    <x v="0"/>
    <x v="0"/>
    <x v="0"/>
    <x v="0"/>
    <x v="0"/>
    <x v="0"/>
    <x v="0"/>
    <x v="0"/>
    <x v="0"/>
  </r>
  <r>
    <x v="193"/>
    <s v="NUR ANIS NAJWA BINTI AHMAD NOOR"/>
    <x v="21"/>
    <x v="1"/>
    <x v="3"/>
    <x v="1"/>
    <x v="0"/>
    <x v="1"/>
    <x v="0"/>
    <x v="0"/>
    <x v="1"/>
    <x v="0"/>
    <x v="0"/>
    <x v="0"/>
    <x v="0"/>
    <x v="0"/>
    <x v="0"/>
    <x v="0"/>
    <x v="0"/>
    <x v="0"/>
  </r>
  <r>
    <x v="194"/>
    <s v="MOHAMAD AIZAD BIN MAT ABU"/>
    <x v="2"/>
    <x v="0"/>
    <x v="2"/>
    <x v="1"/>
    <x v="0"/>
    <x v="1"/>
    <x v="0"/>
    <x v="0"/>
    <x v="1"/>
    <x v="0"/>
    <x v="0"/>
    <x v="0"/>
    <x v="0"/>
    <x v="0"/>
    <x v="0"/>
    <x v="0"/>
    <x v="0"/>
    <x v="0"/>
  </r>
  <r>
    <x v="195"/>
    <s v="MUHAMMAD RIDZUAN BIN ABDUL HAMID"/>
    <x v="19"/>
    <x v="0"/>
    <x v="3"/>
    <x v="1"/>
    <x v="0"/>
    <x v="1"/>
    <x v="0"/>
    <x v="0"/>
    <x v="1"/>
    <x v="0"/>
    <x v="0"/>
    <x v="0"/>
    <x v="0"/>
    <x v="0"/>
    <x v="0"/>
    <x v="0"/>
    <x v="0"/>
    <x v="0"/>
  </r>
  <r>
    <x v="196"/>
    <s v="MUHAMMAD ARIF MUQRI BIN IDRUS"/>
    <x v="2"/>
    <x v="0"/>
    <x v="1"/>
    <x v="1"/>
    <x v="0"/>
    <x v="1"/>
    <x v="0"/>
    <x v="0"/>
    <x v="1"/>
    <x v="0"/>
    <x v="0"/>
    <x v="0"/>
    <x v="0"/>
    <x v="0"/>
    <x v="0"/>
    <x v="0"/>
    <x v="0"/>
    <x v="0"/>
  </r>
  <r>
    <x v="197"/>
    <s v="MUHAMMAD BIN MOHAMAD FADZIL"/>
    <x v="19"/>
    <x v="0"/>
    <x v="2"/>
    <x v="1"/>
    <x v="0"/>
    <x v="1"/>
    <x v="0"/>
    <x v="0"/>
    <x v="1"/>
    <x v="0"/>
    <x v="0"/>
    <x v="0"/>
    <x v="0"/>
    <x v="0"/>
    <x v="0"/>
    <x v="0"/>
    <x v="0"/>
    <x v="0"/>
  </r>
  <r>
    <x v="198"/>
    <s v="MUHAMMAD NOR IRFAN BIN AZHAR"/>
    <x v="19"/>
    <x v="0"/>
    <x v="2"/>
    <x v="1"/>
    <x v="0"/>
    <x v="1"/>
    <x v="0"/>
    <x v="0"/>
    <x v="1"/>
    <x v="0"/>
    <x v="0"/>
    <x v="0"/>
    <x v="0"/>
    <x v="0"/>
    <x v="0"/>
    <x v="0"/>
    <x v="0"/>
    <x v="0"/>
  </r>
  <r>
    <x v="199"/>
    <s v="MUHAMMAD HAFIZZUDIN NAJMI BIN SHAHRUL"/>
    <x v="6"/>
    <x v="0"/>
    <x v="1"/>
    <x v="1"/>
    <x v="0"/>
    <x v="1"/>
    <x v="0"/>
    <x v="0"/>
    <x v="1"/>
    <x v="0"/>
    <x v="0"/>
    <x v="0"/>
    <x v="0"/>
    <x v="0"/>
    <x v="0"/>
    <x v="0"/>
    <x v="0"/>
    <x v="0"/>
  </r>
  <r>
    <x v="200"/>
    <s v="ATIKAH SYAZWANI BINTI ALIAS"/>
    <x v="16"/>
    <x v="1"/>
    <x v="1"/>
    <x v="1"/>
    <x v="0"/>
    <x v="1"/>
    <x v="0"/>
    <x v="0"/>
    <x v="1"/>
    <x v="0"/>
    <x v="0"/>
    <x v="0"/>
    <x v="0"/>
    <x v="0"/>
    <x v="0"/>
    <x v="0"/>
    <x v="0"/>
    <x v="0"/>
  </r>
  <r>
    <x v="201"/>
    <s v="SITI AMINAH BINTI SHARIFF"/>
    <x v="19"/>
    <x v="1"/>
    <x v="3"/>
    <x v="1"/>
    <x v="0"/>
    <x v="1"/>
    <x v="0"/>
    <x v="0"/>
    <x v="1"/>
    <x v="0"/>
    <x v="0"/>
    <x v="0"/>
    <x v="0"/>
    <x v="0"/>
    <x v="0"/>
    <x v="0"/>
    <x v="0"/>
    <x v="0"/>
  </r>
  <r>
    <x v="202"/>
    <s v="SITI NUR HAYATI BINTI BAHAROM"/>
    <x v="19"/>
    <x v="1"/>
    <x v="3"/>
    <x v="1"/>
    <x v="0"/>
    <x v="1"/>
    <x v="0"/>
    <x v="0"/>
    <x v="1"/>
    <x v="0"/>
    <x v="0"/>
    <x v="0"/>
    <x v="0"/>
    <x v="0"/>
    <x v="0"/>
    <x v="0"/>
    <x v="0"/>
    <x v="0"/>
  </r>
  <r>
    <x v="203"/>
    <s v="MOHAMAD RAZIF BIN JELANI"/>
    <x v="2"/>
    <x v="0"/>
    <x v="1"/>
    <x v="1"/>
    <x v="0"/>
    <x v="1"/>
    <x v="0"/>
    <x v="0"/>
    <x v="1"/>
    <x v="0"/>
    <x v="0"/>
    <x v="0"/>
    <x v="0"/>
    <x v="0"/>
    <x v="0"/>
    <x v="0"/>
    <x v="0"/>
    <x v="0"/>
  </r>
  <r>
    <x v="204"/>
    <s v="MUHAMMAD SAFARIN BIN SHAMSOL ALBAR"/>
    <x v="2"/>
    <x v="0"/>
    <x v="3"/>
    <x v="1"/>
    <x v="0"/>
    <x v="1"/>
    <x v="0"/>
    <x v="0"/>
    <x v="1"/>
    <x v="0"/>
    <x v="0"/>
    <x v="0"/>
    <x v="0"/>
    <x v="0"/>
    <x v="0"/>
    <x v="0"/>
    <x v="0"/>
    <x v="0"/>
  </r>
  <r>
    <x v="205"/>
    <s v="MOHAMAD IDRIS BIN AHMAD FADZIL"/>
    <x v="19"/>
    <x v="0"/>
    <x v="1"/>
    <x v="1"/>
    <x v="0"/>
    <x v="1"/>
    <x v="0"/>
    <x v="0"/>
    <x v="1"/>
    <x v="0"/>
    <x v="0"/>
    <x v="0"/>
    <x v="0"/>
    <x v="0"/>
    <x v="0"/>
    <x v="0"/>
    <x v="0"/>
    <x v="0"/>
  </r>
  <r>
    <x v="206"/>
    <s v="MOHAMAD FAIZ BIN AZHAR"/>
    <x v="6"/>
    <x v="0"/>
    <x v="2"/>
    <x v="1"/>
    <x v="0"/>
    <x v="1"/>
    <x v="0"/>
    <x v="0"/>
    <x v="1"/>
    <x v="0"/>
    <x v="0"/>
    <x v="0"/>
    <x v="0"/>
    <x v="0"/>
    <x v="0"/>
    <x v="0"/>
    <x v="0"/>
    <x v="0"/>
  </r>
  <r>
    <x v="207"/>
    <s v="MUHAMMAD DINIE BIN HASHIMI"/>
    <x v="6"/>
    <x v="0"/>
    <x v="0"/>
    <x v="0"/>
    <x v="0"/>
    <x v="0"/>
    <x v="0"/>
    <x v="0"/>
    <x v="1"/>
    <x v="0"/>
    <x v="0"/>
    <x v="0"/>
    <x v="0"/>
    <x v="0"/>
    <x v="0"/>
    <x v="0"/>
    <x v="0"/>
    <x v="0"/>
  </r>
  <r>
    <x v="208"/>
    <s v="ADAM FITRI BIN JEFFREY"/>
    <x v="22"/>
    <x v="0"/>
    <x v="4"/>
    <x v="0"/>
    <x v="1"/>
    <x v="1"/>
    <x v="0"/>
    <x v="0"/>
    <x v="0"/>
    <x v="0"/>
    <x v="0"/>
    <x v="0"/>
    <x v="0"/>
    <x v="0"/>
    <x v="0"/>
    <x v="0"/>
    <x v="0"/>
    <x v="0"/>
  </r>
  <r>
    <x v="209"/>
    <s v="NORSYAFIRAH BINTI SHAFFIE"/>
    <x v="3"/>
    <x v="1"/>
    <x v="1"/>
    <x v="1"/>
    <x v="0"/>
    <x v="1"/>
    <x v="0"/>
    <x v="0"/>
    <x v="1"/>
    <x v="0"/>
    <x v="0"/>
    <x v="0"/>
    <x v="0"/>
    <x v="0"/>
    <x v="0"/>
    <x v="0"/>
    <x v="0"/>
    <x v="0"/>
  </r>
  <r>
    <x v="210"/>
    <s v="AMIRUL ASHRAF BIN ROPIE"/>
    <x v="5"/>
    <x v="0"/>
    <x v="0"/>
    <x v="0"/>
    <x v="0"/>
    <x v="1"/>
    <x v="0"/>
    <x v="0"/>
    <x v="1"/>
    <x v="0"/>
    <x v="0"/>
    <x v="0"/>
    <x v="0"/>
    <x v="0"/>
    <x v="0"/>
    <x v="0"/>
    <x v="0"/>
    <x v="0"/>
  </r>
  <r>
    <x v="211"/>
    <s v="MUHAMMAD RIDZUAN BIN MAT ISA"/>
    <x v="17"/>
    <x v="0"/>
    <x v="1"/>
    <x v="0"/>
    <x v="0"/>
    <x v="1"/>
    <x v="0"/>
    <x v="0"/>
    <x v="1"/>
    <x v="0"/>
    <x v="0"/>
    <x v="0"/>
    <x v="0"/>
    <x v="0"/>
    <x v="0"/>
    <x v="0"/>
    <x v="0"/>
    <x v="0"/>
  </r>
  <r>
    <x v="212"/>
    <s v="CHE MUHAMMAD SYAZWAN BIN CHE ZOLLKEFLI"/>
    <x v="10"/>
    <x v="0"/>
    <x v="3"/>
    <x v="1"/>
    <x v="0"/>
    <x v="1"/>
    <x v="0"/>
    <x v="1"/>
    <x v="0"/>
    <x v="0"/>
    <x v="0"/>
    <x v="0"/>
    <x v="0"/>
    <x v="0"/>
    <x v="0"/>
    <x v="0"/>
    <x v="0"/>
    <x v="0"/>
  </r>
  <r>
    <x v="213"/>
    <s v="MOHAMAD IKMAL HAKIM BIN ZAINOL ABIDIN"/>
    <x v="7"/>
    <x v="0"/>
    <x v="3"/>
    <x v="1"/>
    <x v="0"/>
    <x v="1"/>
    <x v="0"/>
    <x v="0"/>
    <x v="1"/>
    <x v="0"/>
    <x v="0"/>
    <x v="0"/>
    <x v="0"/>
    <x v="0"/>
    <x v="0"/>
    <x v="0"/>
    <x v="0"/>
    <x v="0"/>
  </r>
  <r>
    <x v="214"/>
    <s v="MOHD HAFIZ BIN SULAIMAN"/>
    <x v="6"/>
    <x v="0"/>
    <x v="0"/>
    <x v="0"/>
    <x v="0"/>
    <x v="1"/>
    <x v="0"/>
    <x v="0"/>
    <x v="0"/>
    <x v="0"/>
    <x v="0"/>
    <x v="0"/>
    <x v="0"/>
    <x v="0"/>
    <x v="0"/>
    <x v="0"/>
    <x v="0"/>
    <x v="0"/>
  </r>
  <r>
    <x v="215"/>
    <s v="MUHAMMAD ANIS RAHIMI BIN MOHD SOBRI"/>
    <x v="9"/>
    <x v="0"/>
    <x v="2"/>
    <x v="1"/>
    <x v="0"/>
    <x v="1"/>
    <x v="0"/>
    <x v="0"/>
    <x v="1"/>
    <x v="0"/>
    <x v="0"/>
    <x v="0"/>
    <x v="0"/>
    <x v="0"/>
    <x v="0"/>
    <x v="0"/>
    <x v="0"/>
    <x v="0"/>
  </r>
  <r>
    <x v="216"/>
    <s v="MUHAMMAD AMIRUL BIN NAGOR GANI"/>
    <x v="14"/>
    <x v="0"/>
    <x v="3"/>
    <x v="1"/>
    <x v="0"/>
    <x v="1"/>
    <x v="0"/>
    <x v="0"/>
    <x v="1"/>
    <x v="0"/>
    <x v="0"/>
    <x v="0"/>
    <x v="0"/>
    <x v="0"/>
    <x v="0"/>
    <x v="0"/>
    <x v="0"/>
    <x v="0"/>
  </r>
  <r>
    <x v="217"/>
    <s v="NURUL ATIKAH BINTI ZAKARIA"/>
    <x v="16"/>
    <x v="1"/>
    <x v="1"/>
    <x v="0"/>
    <x v="0"/>
    <x v="1"/>
    <x v="0"/>
    <x v="0"/>
    <x v="1"/>
    <x v="0"/>
    <x v="0"/>
    <x v="0"/>
    <x v="0"/>
    <x v="0"/>
    <x v="0"/>
    <x v="0"/>
    <x v="0"/>
    <x v="0"/>
  </r>
  <r>
    <x v="218"/>
    <s v="NURUL NADIA BINTI AZIZ"/>
    <x v="16"/>
    <x v="1"/>
    <x v="3"/>
    <x v="1"/>
    <x v="0"/>
    <x v="1"/>
    <x v="0"/>
    <x v="0"/>
    <x v="1"/>
    <x v="0"/>
    <x v="0"/>
    <x v="0"/>
    <x v="0"/>
    <x v="0"/>
    <x v="0"/>
    <x v="0"/>
    <x v="0"/>
    <x v="0"/>
  </r>
  <r>
    <x v="219"/>
    <s v="MOHD HASBI BIN BADROL SHAM"/>
    <x v="16"/>
    <x v="0"/>
    <x v="2"/>
    <x v="1"/>
    <x v="0"/>
    <x v="1"/>
    <x v="0"/>
    <x v="0"/>
    <x v="1"/>
    <x v="0"/>
    <x v="0"/>
    <x v="0"/>
    <x v="0"/>
    <x v="0"/>
    <x v="0"/>
    <x v="0"/>
    <x v="0"/>
    <x v="0"/>
  </r>
  <r>
    <x v="220"/>
    <s v="NUR ATIKAH FARHANA BINTI SUHARDI"/>
    <x v="16"/>
    <x v="1"/>
    <x v="4"/>
    <x v="0"/>
    <x v="0"/>
    <x v="1"/>
    <x v="0"/>
    <x v="0"/>
    <x v="0"/>
    <x v="0"/>
    <x v="0"/>
    <x v="0"/>
    <x v="0"/>
    <x v="0"/>
    <x v="0"/>
    <x v="0"/>
    <x v="0"/>
    <x v="0"/>
  </r>
  <r>
    <x v="221"/>
    <s v="HAFIZAL FITRI BIN RAZALI"/>
    <x v="18"/>
    <x v="0"/>
    <x v="1"/>
    <x v="1"/>
    <x v="0"/>
    <x v="1"/>
    <x v="0"/>
    <x v="0"/>
    <x v="1"/>
    <x v="0"/>
    <x v="0"/>
    <x v="0"/>
    <x v="0"/>
    <x v="0"/>
    <x v="0"/>
    <x v="0"/>
    <x v="0"/>
    <x v="0"/>
  </r>
  <r>
    <x v="222"/>
    <s v="ZHAFRI BIN MOHD NASAIR"/>
    <x v="2"/>
    <x v="0"/>
    <x v="3"/>
    <x v="1"/>
    <x v="0"/>
    <x v="1"/>
    <x v="0"/>
    <x v="0"/>
    <x v="1"/>
    <x v="0"/>
    <x v="0"/>
    <x v="0"/>
    <x v="0"/>
    <x v="0"/>
    <x v="0"/>
    <x v="0"/>
    <x v="0"/>
    <x v="0"/>
  </r>
  <r>
    <x v="223"/>
    <s v="MUHAMMAD ZAKWAN BIN HAMID"/>
    <x v="7"/>
    <x v="0"/>
    <x v="1"/>
    <x v="1"/>
    <x v="0"/>
    <x v="1"/>
    <x v="0"/>
    <x v="0"/>
    <x v="1"/>
    <x v="0"/>
    <x v="0"/>
    <x v="0"/>
    <x v="0"/>
    <x v="0"/>
    <x v="0"/>
    <x v="0"/>
    <x v="0"/>
    <x v="0"/>
  </r>
  <r>
    <x v="224"/>
    <s v="AHMAD AQIL AKMAL BIN AHMAD ZUKI"/>
    <x v="1"/>
    <x v="0"/>
    <x v="0"/>
    <x v="0"/>
    <x v="0"/>
    <x v="1"/>
    <x v="0"/>
    <x v="0"/>
    <x v="0"/>
    <x v="0"/>
    <x v="0"/>
    <x v="0"/>
    <x v="0"/>
    <x v="0"/>
    <x v="0"/>
    <x v="0"/>
    <x v="0"/>
    <x v="0"/>
  </r>
  <r>
    <x v="225"/>
    <s v="MUHAMMAD FAIZ HAIKAL BIN AHMAD RADZI"/>
    <x v="2"/>
    <x v="0"/>
    <x v="1"/>
    <x v="1"/>
    <x v="0"/>
    <x v="1"/>
    <x v="0"/>
    <x v="0"/>
    <x v="1"/>
    <x v="0"/>
    <x v="0"/>
    <x v="0"/>
    <x v="0"/>
    <x v="0"/>
    <x v="0"/>
    <x v="0"/>
    <x v="0"/>
    <x v="0"/>
  </r>
  <r>
    <x v="226"/>
    <s v="NUR MUHAMMAD ASYRAF BIN JAHAYA"/>
    <x v="14"/>
    <x v="0"/>
    <x v="3"/>
    <x v="1"/>
    <x v="0"/>
    <x v="1"/>
    <x v="0"/>
    <x v="0"/>
    <x v="1"/>
    <x v="0"/>
    <x v="0"/>
    <x v="0"/>
    <x v="0"/>
    <x v="0"/>
    <x v="0"/>
    <x v="0"/>
    <x v="0"/>
    <x v="0"/>
  </r>
  <r>
    <x v="227"/>
    <s v="MOHAMMAD TASNIM BIN ARBAIN"/>
    <x v="8"/>
    <x v="0"/>
    <x v="3"/>
    <x v="1"/>
    <x v="0"/>
    <x v="1"/>
    <x v="0"/>
    <x v="0"/>
    <x v="1"/>
    <x v="0"/>
    <x v="0"/>
    <x v="0"/>
    <x v="0"/>
    <x v="0"/>
    <x v="0"/>
    <x v="0"/>
    <x v="0"/>
    <x v="0"/>
  </r>
  <r>
    <x v="228"/>
    <s v="MUHAMMAD HANIF BIN AZNI"/>
    <x v="1"/>
    <x v="0"/>
    <x v="0"/>
    <x v="0"/>
    <x v="0"/>
    <x v="0"/>
    <x v="1"/>
    <x v="1"/>
    <x v="1"/>
    <x v="0"/>
    <x v="0"/>
    <x v="0"/>
    <x v="0"/>
    <x v="0"/>
    <x v="0"/>
    <x v="0"/>
    <x v="0"/>
    <x v="0"/>
  </r>
  <r>
    <x v="229"/>
    <s v="ABDULLAH BIN SAID"/>
    <x v="2"/>
    <x v="0"/>
    <x v="3"/>
    <x v="1"/>
    <x v="0"/>
    <x v="1"/>
    <x v="0"/>
    <x v="0"/>
    <x v="1"/>
    <x v="0"/>
    <x v="0"/>
    <x v="0"/>
    <x v="0"/>
    <x v="0"/>
    <x v="0"/>
    <x v="0"/>
    <x v="0"/>
    <x v="0"/>
  </r>
  <r>
    <x v="230"/>
    <s v="KHAIRUNNISA BINTI MOHD SABELI"/>
    <x v="1"/>
    <x v="1"/>
    <x v="2"/>
    <x v="1"/>
    <x v="0"/>
    <x v="1"/>
    <x v="0"/>
    <x v="0"/>
    <x v="1"/>
    <x v="0"/>
    <x v="0"/>
    <x v="0"/>
    <x v="0"/>
    <x v="0"/>
    <x v="0"/>
    <x v="0"/>
    <x v="0"/>
    <x v="0"/>
  </r>
  <r>
    <x v="231"/>
    <s v="SHANGARI A/P SIVAKUMAR"/>
    <x v="9"/>
    <x v="1"/>
    <x v="3"/>
    <x v="1"/>
    <x v="0"/>
    <x v="1"/>
    <x v="0"/>
    <x v="0"/>
    <x v="1"/>
    <x v="0"/>
    <x v="0"/>
    <x v="0"/>
    <x v="0"/>
    <x v="0"/>
    <x v="0"/>
    <x v="0"/>
    <x v="0"/>
    <x v="0"/>
  </r>
  <r>
    <x v="232"/>
    <s v="MUHAMMAD ADAM VIJAYA BIN NADARAJAH"/>
    <x v="11"/>
    <x v="0"/>
    <x v="3"/>
    <x v="1"/>
    <x v="0"/>
    <x v="1"/>
    <x v="0"/>
    <x v="0"/>
    <x v="1"/>
    <x v="0"/>
    <x v="0"/>
    <x v="0"/>
    <x v="0"/>
    <x v="0"/>
    <x v="0"/>
    <x v="0"/>
    <x v="0"/>
    <x v="0"/>
  </r>
  <r>
    <x v="233"/>
    <s v="MUHAMMAD DANIAL HANIS BIN AZMAN"/>
    <x v="14"/>
    <x v="0"/>
    <x v="2"/>
    <x v="1"/>
    <x v="0"/>
    <x v="1"/>
    <x v="0"/>
    <x v="0"/>
    <x v="0"/>
    <x v="0"/>
    <x v="0"/>
    <x v="0"/>
    <x v="0"/>
    <x v="0"/>
    <x v="0"/>
    <x v="0"/>
    <x v="0"/>
    <x v="0"/>
  </r>
  <r>
    <x v="234"/>
    <s v="MUHAMMAD MUSTAQIM BIN MAZLAN"/>
    <x v="3"/>
    <x v="0"/>
    <x v="1"/>
    <x v="0"/>
    <x v="0"/>
    <x v="1"/>
    <x v="0"/>
    <x v="0"/>
    <x v="1"/>
    <x v="0"/>
    <x v="0"/>
    <x v="0"/>
    <x v="0"/>
    <x v="0"/>
    <x v="0"/>
    <x v="0"/>
    <x v="0"/>
    <x v="0"/>
  </r>
  <r>
    <x v="235"/>
    <s v="NURUL BALQIS BINTI ARSHAD"/>
    <x v="3"/>
    <x v="1"/>
    <x v="0"/>
    <x v="0"/>
    <x v="0"/>
    <x v="1"/>
    <x v="0"/>
    <x v="0"/>
    <x v="1"/>
    <x v="0"/>
    <x v="0"/>
    <x v="0"/>
    <x v="0"/>
    <x v="0"/>
    <x v="0"/>
    <x v="0"/>
    <x v="0"/>
    <x v="0"/>
  </r>
  <r>
    <x v="236"/>
    <s v="MOHAMAD AZMIR BIN MOHD SHAARI"/>
    <x v="6"/>
    <x v="0"/>
    <x v="0"/>
    <x v="0"/>
    <x v="0"/>
    <x v="1"/>
    <x v="0"/>
    <x v="0"/>
    <x v="1"/>
    <x v="0"/>
    <x v="0"/>
    <x v="0"/>
    <x v="0"/>
    <x v="0"/>
    <x v="0"/>
    <x v="0"/>
    <x v="0"/>
    <x v="0"/>
  </r>
  <r>
    <x v="237"/>
    <s v="SITI ZUNIKAPUTRI BINTI OSMAN"/>
    <x v="1"/>
    <x v="1"/>
    <x v="1"/>
    <x v="1"/>
    <x v="0"/>
    <x v="1"/>
    <x v="0"/>
    <x v="0"/>
    <x v="1"/>
    <x v="0"/>
    <x v="0"/>
    <x v="0"/>
    <x v="0"/>
    <x v="0"/>
    <x v="0"/>
    <x v="0"/>
    <x v="0"/>
    <x v="0"/>
  </r>
  <r>
    <x v="238"/>
    <s v="NOR SYAZWANI BINTI RAMLI"/>
    <x v="1"/>
    <x v="1"/>
    <x v="3"/>
    <x v="1"/>
    <x v="0"/>
    <x v="1"/>
    <x v="0"/>
    <x v="0"/>
    <x v="1"/>
    <x v="0"/>
    <x v="0"/>
    <x v="0"/>
    <x v="0"/>
    <x v="0"/>
    <x v="0"/>
    <x v="0"/>
    <x v="0"/>
    <x v="0"/>
  </r>
  <r>
    <x v="239"/>
    <s v="MUHAMMAD SYAFIQ BIN SAHAK"/>
    <x v="1"/>
    <x v="0"/>
    <x v="0"/>
    <x v="0"/>
    <x v="0"/>
    <x v="0"/>
    <x v="0"/>
    <x v="0"/>
    <x v="0"/>
    <x v="0"/>
    <x v="0"/>
    <x v="0"/>
    <x v="0"/>
    <x v="0"/>
    <x v="0"/>
    <x v="0"/>
    <x v="0"/>
    <x v="0"/>
  </r>
  <r>
    <x v="240"/>
    <s v="CHE WAN MUHAMMAD HAZFADHIL BIN CHE WAN AZLAN"/>
    <x v="10"/>
    <x v="0"/>
    <x v="1"/>
    <x v="1"/>
    <x v="0"/>
    <x v="1"/>
    <x v="0"/>
    <x v="0"/>
    <x v="1"/>
    <x v="0"/>
    <x v="0"/>
    <x v="0"/>
    <x v="0"/>
    <x v="0"/>
    <x v="0"/>
    <x v="0"/>
    <x v="0"/>
    <x v="0"/>
  </r>
  <r>
    <x v="241"/>
    <s v="KARTHIK A/L BALAKRISHNAN"/>
    <x v="1"/>
    <x v="0"/>
    <x v="2"/>
    <x v="1"/>
    <x v="0"/>
    <x v="1"/>
    <x v="0"/>
    <x v="0"/>
    <x v="1"/>
    <x v="0"/>
    <x v="0"/>
    <x v="0"/>
    <x v="0"/>
    <x v="0"/>
    <x v="0"/>
    <x v="0"/>
    <x v="0"/>
    <x v="0"/>
  </r>
  <r>
    <x v="242"/>
    <s v="KHAIRUNNISA AMANI BINTI SUMARDI"/>
    <x v="5"/>
    <x v="1"/>
    <x v="2"/>
    <x v="1"/>
    <x v="0"/>
    <x v="1"/>
    <x v="0"/>
    <x v="0"/>
    <x v="1"/>
    <x v="0"/>
    <x v="0"/>
    <x v="0"/>
    <x v="0"/>
    <x v="0"/>
    <x v="0"/>
    <x v="0"/>
    <x v="0"/>
    <x v="0"/>
  </r>
  <r>
    <x v="243"/>
    <s v="MOHAMAD HAFIZUDIN BIN RAZALI"/>
    <x v="18"/>
    <x v="0"/>
    <x v="1"/>
    <x v="1"/>
    <x v="0"/>
    <x v="1"/>
    <x v="0"/>
    <x v="0"/>
    <x v="1"/>
    <x v="0"/>
    <x v="0"/>
    <x v="0"/>
    <x v="0"/>
    <x v="0"/>
    <x v="0"/>
    <x v="0"/>
    <x v="0"/>
    <x v="0"/>
  </r>
  <r>
    <x v="244"/>
    <s v="MUHAMMAD AMIRUL SYAZWAN BIN ROZINO"/>
    <x v="14"/>
    <x v="0"/>
    <x v="3"/>
    <x v="1"/>
    <x v="0"/>
    <x v="1"/>
    <x v="0"/>
    <x v="0"/>
    <x v="1"/>
    <x v="0"/>
    <x v="0"/>
    <x v="0"/>
    <x v="0"/>
    <x v="0"/>
    <x v="0"/>
    <x v="0"/>
    <x v="0"/>
    <x v="0"/>
  </r>
  <r>
    <x v="245"/>
    <s v="MOHAMAD AMIRUL IZZAT BIN JAMALUDIN"/>
    <x v="0"/>
    <x v="0"/>
    <x v="2"/>
    <x v="1"/>
    <x v="0"/>
    <x v="1"/>
    <x v="0"/>
    <x v="0"/>
    <x v="1"/>
    <x v="0"/>
    <x v="0"/>
    <x v="0"/>
    <x v="0"/>
    <x v="0"/>
    <x v="0"/>
    <x v="0"/>
    <x v="0"/>
    <x v="0"/>
  </r>
  <r>
    <x v="246"/>
    <s v="MUAZ IZZUDDIN BIN MOHD KHAIRI"/>
    <x v="0"/>
    <x v="0"/>
    <x v="3"/>
    <x v="1"/>
    <x v="0"/>
    <x v="1"/>
    <x v="0"/>
    <x v="0"/>
    <x v="1"/>
    <x v="0"/>
    <x v="0"/>
    <x v="0"/>
    <x v="0"/>
    <x v="0"/>
    <x v="0"/>
    <x v="0"/>
    <x v="0"/>
    <x v="0"/>
  </r>
  <r>
    <x v="247"/>
    <s v="MUHAMMAD SYAKIR BIN JAAFAR"/>
    <x v="9"/>
    <x v="0"/>
    <x v="2"/>
    <x v="1"/>
    <x v="0"/>
    <x v="1"/>
    <x v="0"/>
    <x v="0"/>
    <x v="1"/>
    <x v="0"/>
    <x v="0"/>
    <x v="0"/>
    <x v="0"/>
    <x v="0"/>
    <x v="0"/>
    <x v="0"/>
    <x v="0"/>
    <x v="0"/>
  </r>
  <r>
    <x v="248"/>
    <s v="MUHAMAD SOBRI BIN CHEE YEOP"/>
    <x v="3"/>
    <x v="0"/>
    <x v="0"/>
    <x v="0"/>
    <x v="0"/>
    <x v="1"/>
    <x v="0"/>
    <x v="0"/>
    <x v="0"/>
    <x v="0"/>
    <x v="0"/>
    <x v="0"/>
    <x v="0"/>
    <x v="0"/>
    <x v="0"/>
    <x v="0"/>
    <x v="0"/>
    <x v="0"/>
  </r>
  <r>
    <x v="249"/>
    <s v="SHAMSUL AKMAL BIN MUSTAFA KAMAL"/>
    <x v="6"/>
    <x v="0"/>
    <x v="0"/>
    <x v="0"/>
    <x v="0"/>
    <x v="1"/>
    <x v="0"/>
    <x v="0"/>
    <x v="0"/>
    <x v="0"/>
    <x v="0"/>
    <x v="0"/>
    <x v="0"/>
    <x v="0"/>
    <x v="0"/>
    <x v="0"/>
    <x v="0"/>
    <x v="0"/>
  </r>
  <r>
    <x v="250"/>
    <s v="ROKIAH BINTI ISMAIL"/>
    <x v="5"/>
    <x v="1"/>
    <x v="1"/>
    <x v="1"/>
    <x v="0"/>
    <x v="1"/>
    <x v="0"/>
    <x v="0"/>
    <x v="1"/>
    <x v="0"/>
    <x v="0"/>
    <x v="0"/>
    <x v="0"/>
    <x v="0"/>
    <x v="0"/>
    <x v="0"/>
    <x v="0"/>
    <x v="0"/>
  </r>
  <r>
    <x v="251"/>
    <s v="MUHAMAD AMIRUDDIN BIN MOHD FAUZI"/>
    <x v="6"/>
    <x v="0"/>
    <x v="3"/>
    <x v="1"/>
    <x v="0"/>
    <x v="1"/>
    <x v="0"/>
    <x v="0"/>
    <x v="1"/>
    <x v="0"/>
    <x v="0"/>
    <x v="0"/>
    <x v="0"/>
    <x v="0"/>
    <x v="0"/>
    <x v="0"/>
    <x v="0"/>
    <x v="0"/>
  </r>
  <r>
    <x v="252"/>
    <s v="NUR ASFARAHIN BINTI MUHAMAD RAMLI"/>
    <x v="21"/>
    <x v="1"/>
    <x v="3"/>
    <x v="1"/>
    <x v="0"/>
    <x v="1"/>
    <x v="0"/>
    <x v="0"/>
    <x v="1"/>
    <x v="0"/>
    <x v="0"/>
    <x v="0"/>
    <x v="0"/>
    <x v="0"/>
    <x v="0"/>
    <x v="0"/>
    <x v="0"/>
    <x v="0"/>
  </r>
  <r>
    <x v="253"/>
    <s v="AMIR HAKIMI BIN MOHD NOOR"/>
    <x v="10"/>
    <x v="0"/>
    <x v="3"/>
    <x v="1"/>
    <x v="0"/>
    <x v="1"/>
    <x v="0"/>
    <x v="0"/>
    <x v="1"/>
    <x v="0"/>
    <x v="0"/>
    <x v="0"/>
    <x v="0"/>
    <x v="0"/>
    <x v="0"/>
    <x v="0"/>
    <x v="0"/>
    <x v="0"/>
  </r>
  <r>
    <x v="254"/>
    <s v="NAQIB BIN ROSLAN"/>
    <x v="10"/>
    <x v="0"/>
    <x v="2"/>
    <x v="1"/>
    <x v="0"/>
    <x v="1"/>
    <x v="0"/>
    <x v="0"/>
    <x v="0"/>
    <x v="0"/>
    <x v="0"/>
    <x v="0"/>
    <x v="0"/>
    <x v="0"/>
    <x v="0"/>
    <x v="0"/>
    <x v="0"/>
    <x v="0"/>
  </r>
  <r>
    <x v="255"/>
    <s v="MOHAMAD ANWAR FARHAN BIN ZAINUDIN"/>
    <x v="10"/>
    <x v="0"/>
    <x v="1"/>
    <x v="1"/>
    <x v="0"/>
    <x v="1"/>
    <x v="0"/>
    <x v="0"/>
    <x v="1"/>
    <x v="0"/>
    <x v="0"/>
    <x v="0"/>
    <x v="0"/>
    <x v="0"/>
    <x v="0"/>
    <x v="0"/>
    <x v="0"/>
    <x v="0"/>
  </r>
  <r>
    <x v="256"/>
    <s v="MOHAMMAD AMIRRUL BIN AZIZ"/>
    <x v="19"/>
    <x v="0"/>
    <x v="2"/>
    <x v="1"/>
    <x v="0"/>
    <x v="1"/>
    <x v="0"/>
    <x v="0"/>
    <x v="1"/>
    <x v="0"/>
    <x v="0"/>
    <x v="0"/>
    <x v="0"/>
    <x v="0"/>
    <x v="0"/>
    <x v="0"/>
    <x v="0"/>
    <x v="0"/>
  </r>
  <r>
    <x v="257"/>
    <s v="MUHAMMAD RADUAN BIN LATIB"/>
    <x v="19"/>
    <x v="0"/>
    <x v="2"/>
    <x v="1"/>
    <x v="0"/>
    <x v="1"/>
    <x v="0"/>
    <x v="0"/>
    <x v="1"/>
    <x v="0"/>
    <x v="0"/>
    <x v="0"/>
    <x v="0"/>
    <x v="0"/>
    <x v="0"/>
    <x v="0"/>
    <x v="0"/>
    <x v="0"/>
  </r>
  <r>
    <x v="258"/>
    <s v="MUHAMMAD FAIZ BIN ZAINOL"/>
    <x v="5"/>
    <x v="0"/>
    <x v="0"/>
    <x v="0"/>
    <x v="1"/>
    <x v="1"/>
    <x v="0"/>
    <x v="0"/>
    <x v="1"/>
    <x v="0"/>
    <x v="0"/>
    <x v="0"/>
    <x v="0"/>
    <x v="0"/>
    <x v="0"/>
    <x v="0"/>
    <x v="0"/>
    <x v="0"/>
  </r>
  <r>
    <x v="259"/>
    <s v="NURUL FARISSHA IRWAYU BINTI MUHAMMAD"/>
    <x v="7"/>
    <x v="1"/>
    <x v="2"/>
    <x v="1"/>
    <x v="0"/>
    <x v="1"/>
    <x v="0"/>
    <x v="0"/>
    <x v="1"/>
    <x v="0"/>
    <x v="0"/>
    <x v="0"/>
    <x v="0"/>
    <x v="0"/>
    <x v="0"/>
    <x v="0"/>
    <x v="0"/>
    <x v="0"/>
  </r>
  <r>
    <x v="260"/>
    <s v="JESSICA JUBILIN"/>
    <x v="3"/>
    <x v="1"/>
    <x v="1"/>
    <x v="1"/>
    <x v="0"/>
    <x v="1"/>
    <x v="0"/>
    <x v="0"/>
    <x v="1"/>
    <x v="0"/>
    <x v="0"/>
    <x v="0"/>
    <x v="0"/>
    <x v="0"/>
    <x v="0"/>
    <x v="0"/>
    <x v="0"/>
    <x v="0"/>
  </r>
  <r>
    <x v="261"/>
    <s v="MUHAMMAD SYAMIM ASYRAF BIN MAT SALIM"/>
    <x v="6"/>
    <x v="0"/>
    <x v="1"/>
    <x v="1"/>
    <x v="0"/>
    <x v="1"/>
    <x v="0"/>
    <x v="0"/>
    <x v="1"/>
    <x v="0"/>
    <x v="0"/>
    <x v="0"/>
    <x v="0"/>
    <x v="0"/>
    <x v="0"/>
    <x v="0"/>
    <x v="0"/>
    <x v="0"/>
  </r>
  <r>
    <x v="262"/>
    <s v="MOHAMAD ZUL FIKRI BIN AZMAN"/>
    <x v="2"/>
    <x v="0"/>
    <x v="3"/>
    <x v="1"/>
    <x v="0"/>
    <x v="1"/>
    <x v="0"/>
    <x v="0"/>
    <x v="1"/>
    <x v="0"/>
    <x v="0"/>
    <x v="0"/>
    <x v="0"/>
    <x v="0"/>
    <x v="0"/>
    <x v="0"/>
    <x v="0"/>
    <x v="0"/>
  </r>
  <r>
    <x v="263"/>
    <s v="MOHAMAD AIMAN HAKIM BIN SHAFIE"/>
    <x v="0"/>
    <x v="0"/>
    <x v="2"/>
    <x v="1"/>
    <x v="0"/>
    <x v="1"/>
    <x v="0"/>
    <x v="0"/>
    <x v="1"/>
    <x v="0"/>
    <x v="0"/>
    <x v="0"/>
    <x v="0"/>
    <x v="0"/>
    <x v="0"/>
    <x v="0"/>
    <x v="0"/>
    <x v="0"/>
  </r>
  <r>
    <x v="264"/>
    <s v="MUHAMMAD BADRUN AMIN BIN ROSHIDI"/>
    <x v="1"/>
    <x v="0"/>
    <x v="2"/>
    <x v="1"/>
    <x v="0"/>
    <x v="1"/>
    <x v="0"/>
    <x v="0"/>
    <x v="1"/>
    <x v="0"/>
    <x v="0"/>
    <x v="0"/>
    <x v="0"/>
    <x v="0"/>
    <x v="0"/>
    <x v="0"/>
    <x v="0"/>
    <x v="0"/>
  </r>
  <r>
    <x v="265"/>
    <s v="INTAN NURJANNAH BINTI AZMAN"/>
    <x v="16"/>
    <x v="1"/>
    <x v="2"/>
    <x v="1"/>
    <x v="0"/>
    <x v="1"/>
    <x v="0"/>
    <x v="0"/>
    <x v="1"/>
    <x v="0"/>
    <x v="0"/>
    <x v="0"/>
    <x v="0"/>
    <x v="0"/>
    <x v="0"/>
    <x v="0"/>
    <x v="0"/>
    <x v="0"/>
  </r>
  <r>
    <x v="266"/>
    <s v="NURSYAZWANI BINTI HANIZAM"/>
    <x v="16"/>
    <x v="1"/>
    <x v="1"/>
    <x v="1"/>
    <x v="0"/>
    <x v="1"/>
    <x v="0"/>
    <x v="0"/>
    <x v="1"/>
    <x v="0"/>
    <x v="0"/>
    <x v="0"/>
    <x v="0"/>
    <x v="0"/>
    <x v="0"/>
    <x v="0"/>
    <x v="0"/>
    <x v="0"/>
  </r>
  <r>
    <x v="267"/>
    <s v="MUHAMMAD FAZLI BIN MOHD SAIMI"/>
    <x v="14"/>
    <x v="0"/>
    <x v="1"/>
    <x v="1"/>
    <x v="0"/>
    <x v="1"/>
    <x v="0"/>
    <x v="0"/>
    <x v="1"/>
    <x v="0"/>
    <x v="0"/>
    <x v="0"/>
    <x v="0"/>
    <x v="0"/>
    <x v="0"/>
    <x v="0"/>
    <x v="0"/>
    <x v="0"/>
  </r>
  <r>
    <x v="268"/>
    <s v="HASNIZAM BIN MD DESA"/>
    <x v="15"/>
    <x v="0"/>
    <x v="3"/>
    <x v="0"/>
    <x v="1"/>
    <x v="1"/>
    <x v="0"/>
    <x v="0"/>
    <x v="1"/>
    <x v="0"/>
    <x v="0"/>
    <x v="0"/>
    <x v="0"/>
    <x v="0"/>
    <x v="0"/>
    <x v="0"/>
    <x v="0"/>
    <x v="0"/>
  </r>
  <r>
    <x v="269"/>
    <s v="AHMAD SAFIROL BIN RAMLI"/>
    <x v="15"/>
    <x v="0"/>
    <x v="2"/>
    <x v="1"/>
    <x v="0"/>
    <x v="1"/>
    <x v="0"/>
    <x v="0"/>
    <x v="1"/>
    <x v="0"/>
    <x v="0"/>
    <x v="0"/>
    <x v="0"/>
    <x v="0"/>
    <x v="0"/>
    <x v="0"/>
    <x v="0"/>
    <x v="0"/>
  </r>
  <r>
    <x v="270"/>
    <s v="MOHD HELMI BIN SAARONI"/>
    <x v="8"/>
    <x v="0"/>
    <x v="1"/>
    <x v="1"/>
    <x v="0"/>
    <x v="1"/>
    <x v="0"/>
    <x v="0"/>
    <x v="1"/>
    <x v="0"/>
    <x v="0"/>
    <x v="0"/>
    <x v="0"/>
    <x v="0"/>
    <x v="0"/>
    <x v="0"/>
    <x v="0"/>
    <x v="0"/>
  </r>
  <r>
    <x v="271"/>
    <s v="MOHD FAUZI BIN CHE AP"/>
    <x v="15"/>
    <x v="0"/>
    <x v="2"/>
    <x v="1"/>
    <x v="0"/>
    <x v="1"/>
    <x v="0"/>
    <x v="0"/>
    <x v="1"/>
    <x v="0"/>
    <x v="0"/>
    <x v="0"/>
    <x v="0"/>
    <x v="0"/>
    <x v="0"/>
    <x v="0"/>
    <x v="0"/>
    <x v="0"/>
  </r>
  <r>
    <x v="272"/>
    <s v="NOR NASUHA BINTI ZAID"/>
    <x v="16"/>
    <x v="1"/>
    <x v="1"/>
    <x v="1"/>
    <x v="0"/>
    <x v="1"/>
    <x v="1"/>
    <x v="1"/>
    <x v="1"/>
    <x v="0"/>
    <x v="0"/>
    <x v="0"/>
    <x v="0"/>
    <x v="0"/>
    <x v="0"/>
    <x v="0"/>
    <x v="0"/>
    <x v="0"/>
  </r>
  <r>
    <x v="273"/>
    <s v="MUHAMAD ADI HAKIMI BIN MOHD RASHID"/>
    <x v="10"/>
    <x v="0"/>
    <x v="1"/>
    <x v="1"/>
    <x v="0"/>
    <x v="1"/>
    <x v="0"/>
    <x v="0"/>
    <x v="1"/>
    <x v="0"/>
    <x v="0"/>
    <x v="0"/>
    <x v="0"/>
    <x v="0"/>
    <x v="0"/>
    <x v="0"/>
    <x v="0"/>
    <x v="0"/>
  </r>
  <r>
    <x v="274"/>
    <s v="AHMAD IDIL HAIKAL BIN AHMAD ISHAK"/>
    <x v="12"/>
    <x v="0"/>
    <x v="3"/>
    <x v="1"/>
    <x v="0"/>
    <x v="1"/>
    <x v="0"/>
    <x v="1"/>
    <x v="1"/>
    <x v="0"/>
    <x v="0"/>
    <x v="0"/>
    <x v="0"/>
    <x v="0"/>
    <x v="0"/>
    <x v="0"/>
    <x v="0"/>
    <x v="0"/>
  </r>
  <r>
    <x v="275"/>
    <s v="MUHAMMAD ALIFF FARHAN BIN ANUAR"/>
    <x v="11"/>
    <x v="0"/>
    <x v="3"/>
    <x v="1"/>
    <x v="0"/>
    <x v="1"/>
    <x v="0"/>
    <x v="0"/>
    <x v="1"/>
    <x v="0"/>
    <x v="0"/>
    <x v="0"/>
    <x v="0"/>
    <x v="0"/>
    <x v="0"/>
    <x v="0"/>
    <x v="0"/>
    <x v="0"/>
  </r>
  <r>
    <x v="276"/>
    <s v="AMIT KUMAR JHA"/>
    <x v="3"/>
    <x v="0"/>
    <x v="2"/>
    <x v="1"/>
    <x v="0"/>
    <x v="1"/>
    <x v="0"/>
    <x v="0"/>
    <x v="1"/>
    <x v="0"/>
    <x v="0"/>
    <x v="0"/>
    <x v="0"/>
    <x v="0"/>
    <x v="0"/>
    <x v="0"/>
    <x v="0"/>
    <x v="0"/>
  </r>
  <r>
    <x v="277"/>
    <s v="ARJUN B K"/>
    <x v="17"/>
    <x v="0"/>
    <x v="1"/>
    <x v="1"/>
    <x v="0"/>
    <x v="1"/>
    <x v="0"/>
    <x v="0"/>
    <x v="1"/>
    <x v="0"/>
    <x v="0"/>
    <x v="0"/>
    <x v="0"/>
    <x v="0"/>
    <x v="0"/>
    <x v="0"/>
    <x v="0"/>
    <x v="0"/>
  </r>
  <r>
    <x v="278"/>
    <s v="ARJUN LOPCHAN"/>
    <x v="0"/>
    <x v="0"/>
    <x v="1"/>
    <x v="1"/>
    <x v="0"/>
    <x v="1"/>
    <x v="0"/>
    <x v="0"/>
    <x v="1"/>
    <x v="0"/>
    <x v="0"/>
    <x v="0"/>
    <x v="0"/>
    <x v="0"/>
    <x v="0"/>
    <x v="0"/>
    <x v="0"/>
    <x v="0"/>
  </r>
  <r>
    <x v="279"/>
    <s v="BASANTARAJ PARAJULI"/>
    <x v="7"/>
    <x v="0"/>
    <x v="1"/>
    <x v="1"/>
    <x v="0"/>
    <x v="1"/>
    <x v="0"/>
    <x v="0"/>
    <x v="1"/>
    <x v="0"/>
    <x v="0"/>
    <x v="0"/>
    <x v="0"/>
    <x v="0"/>
    <x v="0"/>
    <x v="0"/>
    <x v="0"/>
    <x v="0"/>
  </r>
  <r>
    <x v="280"/>
    <s v="BHESRAJ DANGAL"/>
    <x v="9"/>
    <x v="0"/>
    <x v="1"/>
    <x v="1"/>
    <x v="0"/>
    <x v="1"/>
    <x v="0"/>
    <x v="0"/>
    <x v="1"/>
    <x v="0"/>
    <x v="0"/>
    <x v="0"/>
    <x v="0"/>
    <x v="0"/>
    <x v="0"/>
    <x v="0"/>
    <x v="0"/>
    <x v="0"/>
  </r>
  <r>
    <x v="281"/>
    <s v="BIJAY KUMAR MANDAL"/>
    <x v="0"/>
    <x v="0"/>
    <x v="2"/>
    <x v="1"/>
    <x v="0"/>
    <x v="1"/>
    <x v="0"/>
    <x v="0"/>
    <x v="1"/>
    <x v="0"/>
    <x v="0"/>
    <x v="0"/>
    <x v="0"/>
    <x v="0"/>
    <x v="0"/>
    <x v="0"/>
    <x v="0"/>
    <x v="0"/>
  </r>
  <r>
    <x v="282"/>
    <s v="BIJAY KUMAR SAH"/>
    <x v="2"/>
    <x v="0"/>
    <x v="2"/>
    <x v="1"/>
    <x v="0"/>
    <x v="1"/>
    <x v="0"/>
    <x v="0"/>
    <x v="1"/>
    <x v="0"/>
    <x v="0"/>
    <x v="0"/>
    <x v="0"/>
    <x v="0"/>
    <x v="0"/>
    <x v="0"/>
    <x v="0"/>
    <x v="0"/>
  </r>
  <r>
    <x v="283"/>
    <s v="BIRAJ PRASAD CHAUDHARY"/>
    <x v="9"/>
    <x v="0"/>
    <x v="2"/>
    <x v="1"/>
    <x v="0"/>
    <x v="1"/>
    <x v="0"/>
    <x v="0"/>
    <x v="1"/>
    <x v="0"/>
    <x v="0"/>
    <x v="0"/>
    <x v="0"/>
    <x v="0"/>
    <x v="0"/>
    <x v="0"/>
    <x v="0"/>
    <x v="0"/>
  </r>
  <r>
    <x v="284"/>
    <s v="DEEWASH THAPA"/>
    <x v="4"/>
    <x v="0"/>
    <x v="1"/>
    <x v="1"/>
    <x v="0"/>
    <x v="1"/>
    <x v="1"/>
    <x v="0"/>
    <x v="1"/>
    <x v="0"/>
    <x v="0"/>
    <x v="0"/>
    <x v="0"/>
    <x v="0"/>
    <x v="0"/>
    <x v="0"/>
    <x v="0"/>
    <x v="0"/>
  </r>
  <r>
    <x v="285"/>
    <s v="DEV SING THAPA"/>
    <x v="9"/>
    <x v="0"/>
    <x v="3"/>
    <x v="1"/>
    <x v="0"/>
    <x v="1"/>
    <x v="0"/>
    <x v="0"/>
    <x v="1"/>
    <x v="0"/>
    <x v="0"/>
    <x v="0"/>
    <x v="0"/>
    <x v="0"/>
    <x v="0"/>
    <x v="0"/>
    <x v="0"/>
    <x v="0"/>
  </r>
  <r>
    <x v="286"/>
    <s v="DEVENDRA PRASAD SAH"/>
    <x v="9"/>
    <x v="0"/>
    <x v="2"/>
    <x v="1"/>
    <x v="0"/>
    <x v="1"/>
    <x v="0"/>
    <x v="0"/>
    <x v="1"/>
    <x v="0"/>
    <x v="0"/>
    <x v="0"/>
    <x v="0"/>
    <x v="0"/>
    <x v="0"/>
    <x v="0"/>
    <x v="0"/>
    <x v="0"/>
  </r>
  <r>
    <x v="287"/>
    <s v="DHANASHYAM YADAV"/>
    <x v="4"/>
    <x v="0"/>
    <x v="1"/>
    <x v="1"/>
    <x v="0"/>
    <x v="1"/>
    <x v="0"/>
    <x v="0"/>
    <x v="1"/>
    <x v="0"/>
    <x v="0"/>
    <x v="0"/>
    <x v="0"/>
    <x v="0"/>
    <x v="0"/>
    <x v="0"/>
    <x v="0"/>
    <x v="0"/>
  </r>
  <r>
    <x v="288"/>
    <s v="DHIRAJ BISHWOKARMA"/>
    <x v="6"/>
    <x v="0"/>
    <x v="3"/>
    <x v="1"/>
    <x v="0"/>
    <x v="1"/>
    <x v="0"/>
    <x v="0"/>
    <x v="1"/>
    <x v="0"/>
    <x v="0"/>
    <x v="0"/>
    <x v="0"/>
    <x v="0"/>
    <x v="0"/>
    <x v="0"/>
    <x v="0"/>
    <x v="0"/>
  </r>
  <r>
    <x v="289"/>
    <s v="DILESWAR PRASAD SAH"/>
    <x v="6"/>
    <x v="0"/>
    <x v="3"/>
    <x v="1"/>
    <x v="0"/>
    <x v="1"/>
    <x v="0"/>
    <x v="0"/>
    <x v="1"/>
    <x v="0"/>
    <x v="0"/>
    <x v="0"/>
    <x v="0"/>
    <x v="0"/>
    <x v="0"/>
    <x v="0"/>
    <x v="0"/>
    <x v="0"/>
  </r>
  <r>
    <x v="290"/>
    <s v="DIPAK BHOLAN"/>
    <x v="7"/>
    <x v="0"/>
    <x v="3"/>
    <x v="1"/>
    <x v="0"/>
    <x v="1"/>
    <x v="0"/>
    <x v="0"/>
    <x v="1"/>
    <x v="0"/>
    <x v="0"/>
    <x v="0"/>
    <x v="0"/>
    <x v="0"/>
    <x v="0"/>
    <x v="0"/>
    <x v="0"/>
    <x v="0"/>
  </r>
  <r>
    <x v="291"/>
    <s v="GANESH BAHADUR LIMBU"/>
    <x v="4"/>
    <x v="0"/>
    <x v="3"/>
    <x v="1"/>
    <x v="0"/>
    <x v="1"/>
    <x v="0"/>
    <x v="0"/>
    <x v="1"/>
    <x v="0"/>
    <x v="0"/>
    <x v="0"/>
    <x v="0"/>
    <x v="0"/>
    <x v="0"/>
    <x v="0"/>
    <x v="0"/>
    <x v="0"/>
  </r>
  <r>
    <x v="292"/>
    <s v="GANESH KUMAR GADAL"/>
    <x v="6"/>
    <x v="0"/>
    <x v="2"/>
    <x v="1"/>
    <x v="0"/>
    <x v="1"/>
    <x v="0"/>
    <x v="0"/>
    <x v="1"/>
    <x v="0"/>
    <x v="0"/>
    <x v="0"/>
    <x v="0"/>
    <x v="0"/>
    <x v="0"/>
    <x v="0"/>
    <x v="0"/>
    <x v="0"/>
  </r>
  <r>
    <x v="293"/>
    <s v="GOPAL PRASAD SAH"/>
    <x v="0"/>
    <x v="0"/>
    <x v="2"/>
    <x v="1"/>
    <x v="0"/>
    <x v="1"/>
    <x v="0"/>
    <x v="0"/>
    <x v="1"/>
    <x v="0"/>
    <x v="0"/>
    <x v="0"/>
    <x v="0"/>
    <x v="0"/>
    <x v="0"/>
    <x v="0"/>
    <x v="0"/>
    <x v="0"/>
  </r>
  <r>
    <x v="294"/>
    <s v="HARI BAHADUR SHRESTHA"/>
    <x v="4"/>
    <x v="0"/>
    <x v="2"/>
    <x v="1"/>
    <x v="0"/>
    <x v="1"/>
    <x v="0"/>
    <x v="0"/>
    <x v="1"/>
    <x v="0"/>
    <x v="0"/>
    <x v="0"/>
    <x v="0"/>
    <x v="0"/>
    <x v="0"/>
    <x v="0"/>
    <x v="0"/>
    <x v="0"/>
  </r>
  <r>
    <x v="295"/>
    <s v="HEM BAHADUR TAMANG"/>
    <x v="4"/>
    <x v="0"/>
    <x v="1"/>
    <x v="1"/>
    <x v="0"/>
    <x v="1"/>
    <x v="0"/>
    <x v="0"/>
    <x v="0"/>
    <x v="0"/>
    <x v="0"/>
    <x v="0"/>
    <x v="0"/>
    <x v="0"/>
    <x v="0"/>
    <x v="0"/>
    <x v="0"/>
    <x v="0"/>
  </r>
  <r>
    <x v="296"/>
    <s v="JAYAPRAKASH RAM"/>
    <x v="4"/>
    <x v="0"/>
    <x v="0"/>
    <x v="0"/>
    <x v="1"/>
    <x v="1"/>
    <x v="0"/>
    <x v="0"/>
    <x v="0"/>
    <x v="0"/>
    <x v="0"/>
    <x v="0"/>
    <x v="0"/>
    <x v="0"/>
    <x v="0"/>
    <x v="0"/>
    <x v="0"/>
    <x v="0"/>
  </r>
  <r>
    <x v="297"/>
    <s v="JEEVAN GURUNG"/>
    <x v="6"/>
    <x v="0"/>
    <x v="1"/>
    <x v="1"/>
    <x v="0"/>
    <x v="1"/>
    <x v="0"/>
    <x v="0"/>
    <x v="1"/>
    <x v="0"/>
    <x v="0"/>
    <x v="0"/>
    <x v="0"/>
    <x v="0"/>
    <x v="0"/>
    <x v="0"/>
    <x v="0"/>
    <x v="0"/>
  </r>
  <r>
    <x v="298"/>
    <s v="KAMAL GURUNG"/>
    <x v="4"/>
    <x v="0"/>
    <x v="3"/>
    <x v="1"/>
    <x v="0"/>
    <x v="1"/>
    <x v="0"/>
    <x v="0"/>
    <x v="1"/>
    <x v="0"/>
    <x v="0"/>
    <x v="0"/>
    <x v="0"/>
    <x v="0"/>
    <x v="0"/>
    <x v="0"/>
    <x v="0"/>
    <x v="0"/>
  </r>
  <r>
    <x v="299"/>
    <s v="KAMAL SUNAR"/>
    <x v="2"/>
    <x v="0"/>
    <x v="1"/>
    <x v="1"/>
    <x v="0"/>
    <x v="1"/>
    <x v="0"/>
    <x v="0"/>
    <x v="1"/>
    <x v="0"/>
    <x v="0"/>
    <x v="0"/>
    <x v="0"/>
    <x v="0"/>
    <x v="0"/>
    <x v="0"/>
    <x v="0"/>
    <x v="0"/>
  </r>
  <r>
    <x v="300"/>
    <s v="KHADANANDA GHIMIRE"/>
    <x v="4"/>
    <x v="0"/>
    <x v="0"/>
    <x v="0"/>
    <x v="0"/>
    <x v="1"/>
    <x v="0"/>
    <x v="0"/>
    <x v="0"/>
    <x v="0"/>
    <x v="0"/>
    <x v="0"/>
    <x v="0"/>
    <x v="0"/>
    <x v="0"/>
    <x v="0"/>
    <x v="0"/>
    <x v="0"/>
  </r>
  <r>
    <x v="301"/>
    <s v="LILA BAHADUR SARU"/>
    <x v="17"/>
    <x v="0"/>
    <x v="1"/>
    <x v="0"/>
    <x v="1"/>
    <x v="1"/>
    <x v="0"/>
    <x v="0"/>
    <x v="1"/>
    <x v="0"/>
    <x v="0"/>
    <x v="0"/>
    <x v="0"/>
    <x v="0"/>
    <x v="0"/>
    <x v="0"/>
    <x v="0"/>
    <x v="0"/>
  </r>
  <r>
    <x v="302"/>
    <s v="MAHESH KUMAR SAH"/>
    <x v="6"/>
    <x v="0"/>
    <x v="1"/>
    <x v="1"/>
    <x v="0"/>
    <x v="1"/>
    <x v="0"/>
    <x v="0"/>
    <x v="1"/>
    <x v="0"/>
    <x v="0"/>
    <x v="0"/>
    <x v="0"/>
    <x v="0"/>
    <x v="0"/>
    <x v="0"/>
    <x v="0"/>
    <x v="0"/>
  </r>
  <r>
    <x v="303"/>
    <s v="NABIN BAHADUR AIR"/>
    <x v="6"/>
    <x v="0"/>
    <x v="0"/>
    <x v="0"/>
    <x v="0"/>
    <x v="1"/>
    <x v="0"/>
    <x v="0"/>
    <x v="0"/>
    <x v="0"/>
    <x v="0"/>
    <x v="0"/>
    <x v="0"/>
    <x v="0"/>
    <x v="0"/>
    <x v="0"/>
    <x v="0"/>
    <x v="0"/>
  </r>
  <r>
    <x v="304"/>
    <s v="NAND KISHOR MUKHIYA"/>
    <x v="9"/>
    <x v="0"/>
    <x v="3"/>
    <x v="1"/>
    <x v="0"/>
    <x v="1"/>
    <x v="0"/>
    <x v="0"/>
    <x v="1"/>
    <x v="0"/>
    <x v="0"/>
    <x v="0"/>
    <x v="0"/>
    <x v="0"/>
    <x v="0"/>
    <x v="0"/>
    <x v="0"/>
    <x v="0"/>
  </r>
  <r>
    <x v="305"/>
    <s v="PRABHU MAHATO"/>
    <x v="6"/>
    <x v="0"/>
    <x v="2"/>
    <x v="1"/>
    <x v="0"/>
    <x v="1"/>
    <x v="0"/>
    <x v="0"/>
    <x v="1"/>
    <x v="0"/>
    <x v="0"/>
    <x v="0"/>
    <x v="0"/>
    <x v="0"/>
    <x v="0"/>
    <x v="0"/>
    <x v="0"/>
    <x v="0"/>
  </r>
  <r>
    <x v="306"/>
    <s v="PRAKASH PARAJULI"/>
    <x v="9"/>
    <x v="0"/>
    <x v="2"/>
    <x v="1"/>
    <x v="0"/>
    <x v="1"/>
    <x v="0"/>
    <x v="0"/>
    <x v="1"/>
    <x v="0"/>
    <x v="0"/>
    <x v="0"/>
    <x v="0"/>
    <x v="0"/>
    <x v="0"/>
    <x v="0"/>
    <x v="0"/>
    <x v="0"/>
  </r>
  <r>
    <x v="307"/>
    <s v="PRAMOD KUMAR MANDAL"/>
    <x v="0"/>
    <x v="0"/>
    <x v="3"/>
    <x v="1"/>
    <x v="0"/>
    <x v="1"/>
    <x v="0"/>
    <x v="0"/>
    <x v="0"/>
    <x v="0"/>
    <x v="0"/>
    <x v="0"/>
    <x v="0"/>
    <x v="0"/>
    <x v="0"/>
    <x v="0"/>
    <x v="0"/>
    <x v="0"/>
  </r>
  <r>
    <x v="308"/>
    <s v="PURAN BAHADUR KHASU THAPA"/>
    <x v="0"/>
    <x v="0"/>
    <x v="2"/>
    <x v="1"/>
    <x v="0"/>
    <x v="1"/>
    <x v="0"/>
    <x v="0"/>
    <x v="1"/>
    <x v="0"/>
    <x v="0"/>
    <x v="0"/>
    <x v="0"/>
    <x v="0"/>
    <x v="0"/>
    <x v="0"/>
    <x v="0"/>
    <x v="0"/>
  </r>
  <r>
    <x v="309"/>
    <s v="RAM SHARAN NEUPANE"/>
    <x v="9"/>
    <x v="0"/>
    <x v="1"/>
    <x v="1"/>
    <x v="1"/>
    <x v="1"/>
    <x v="0"/>
    <x v="0"/>
    <x v="1"/>
    <x v="0"/>
    <x v="0"/>
    <x v="0"/>
    <x v="0"/>
    <x v="0"/>
    <x v="0"/>
    <x v="0"/>
    <x v="0"/>
    <x v="0"/>
  </r>
  <r>
    <x v="310"/>
    <s v="RAMKALASH PRASAD KUSHWAHA"/>
    <x v="4"/>
    <x v="0"/>
    <x v="2"/>
    <x v="1"/>
    <x v="0"/>
    <x v="1"/>
    <x v="0"/>
    <x v="0"/>
    <x v="1"/>
    <x v="0"/>
    <x v="0"/>
    <x v="0"/>
    <x v="0"/>
    <x v="0"/>
    <x v="0"/>
    <x v="0"/>
    <x v="0"/>
    <x v="0"/>
  </r>
  <r>
    <x v="311"/>
    <s v="ROHAN NEPALI"/>
    <x v="7"/>
    <x v="0"/>
    <x v="1"/>
    <x v="1"/>
    <x v="1"/>
    <x v="1"/>
    <x v="0"/>
    <x v="0"/>
    <x v="1"/>
    <x v="0"/>
    <x v="0"/>
    <x v="0"/>
    <x v="0"/>
    <x v="0"/>
    <x v="0"/>
    <x v="0"/>
    <x v="0"/>
    <x v="0"/>
  </r>
  <r>
    <x v="312"/>
    <s v="SANJIVE RAI"/>
    <x v="23"/>
    <x v="0"/>
    <x v="3"/>
    <x v="1"/>
    <x v="0"/>
    <x v="1"/>
    <x v="0"/>
    <x v="0"/>
    <x v="0"/>
    <x v="0"/>
    <x v="0"/>
    <x v="0"/>
    <x v="0"/>
    <x v="0"/>
    <x v="0"/>
    <x v="0"/>
    <x v="0"/>
    <x v="0"/>
  </r>
  <r>
    <x v="313"/>
    <s v="SHAMSER RAI"/>
    <x v="2"/>
    <x v="0"/>
    <x v="2"/>
    <x v="1"/>
    <x v="0"/>
    <x v="1"/>
    <x v="0"/>
    <x v="0"/>
    <x v="1"/>
    <x v="0"/>
    <x v="0"/>
    <x v="0"/>
    <x v="0"/>
    <x v="0"/>
    <x v="0"/>
    <x v="0"/>
    <x v="0"/>
    <x v="0"/>
  </r>
  <r>
    <x v="314"/>
    <s v="SHANKAR MAN SHRESTHA"/>
    <x v="7"/>
    <x v="0"/>
    <x v="2"/>
    <x v="1"/>
    <x v="0"/>
    <x v="1"/>
    <x v="0"/>
    <x v="0"/>
    <x v="1"/>
    <x v="0"/>
    <x v="0"/>
    <x v="0"/>
    <x v="0"/>
    <x v="0"/>
    <x v="0"/>
    <x v="0"/>
    <x v="0"/>
    <x v="0"/>
  </r>
  <r>
    <x v="315"/>
    <s v="SHAYAD BK"/>
    <x v="1"/>
    <x v="0"/>
    <x v="1"/>
    <x v="1"/>
    <x v="0"/>
    <x v="1"/>
    <x v="0"/>
    <x v="0"/>
    <x v="1"/>
    <x v="0"/>
    <x v="0"/>
    <x v="0"/>
    <x v="0"/>
    <x v="0"/>
    <x v="0"/>
    <x v="0"/>
    <x v="0"/>
    <x v="0"/>
  </r>
  <r>
    <x v="316"/>
    <s v="SHYAM KUMAR KAUCHA"/>
    <x v="7"/>
    <x v="0"/>
    <x v="2"/>
    <x v="1"/>
    <x v="0"/>
    <x v="1"/>
    <x v="0"/>
    <x v="0"/>
    <x v="1"/>
    <x v="0"/>
    <x v="0"/>
    <x v="0"/>
    <x v="0"/>
    <x v="0"/>
    <x v="0"/>
    <x v="0"/>
    <x v="0"/>
    <x v="0"/>
  </r>
  <r>
    <x v="317"/>
    <s v="SUNIL KUMAR YADAV"/>
    <x v="7"/>
    <x v="0"/>
    <x v="3"/>
    <x v="1"/>
    <x v="0"/>
    <x v="1"/>
    <x v="0"/>
    <x v="0"/>
    <x v="1"/>
    <x v="0"/>
    <x v="0"/>
    <x v="0"/>
    <x v="0"/>
    <x v="0"/>
    <x v="0"/>
    <x v="0"/>
    <x v="0"/>
    <x v="0"/>
  </r>
  <r>
    <x v="318"/>
    <s v="SURAT B K"/>
    <x v="0"/>
    <x v="0"/>
    <x v="0"/>
    <x v="0"/>
    <x v="0"/>
    <x v="0"/>
    <x v="0"/>
    <x v="0"/>
    <x v="0"/>
    <x v="0"/>
    <x v="0"/>
    <x v="0"/>
    <x v="0"/>
    <x v="0"/>
    <x v="0"/>
    <x v="0"/>
    <x v="0"/>
    <x v="0"/>
  </r>
  <r>
    <x v="319"/>
    <s v="TEK NARAYAN SHRESTHA"/>
    <x v="2"/>
    <x v="0"/>
    <x v="3"/>
    <x v="1"/>
    <x v="0"/>
    <x v="1"/>
    <x v="0"/>
    <x v="0"/>
    <x v="1"/>
    <x v="0"/>
    <x v="0"/>
    <x v="0"/>
    <x v="0"/>
    <x v="0"/>
    <x v="0"/>
    <x v="0"/>
    <x v="0"/>
    <x v="0"/>
  </r>
  <r>
    <x v="320"/>
    <s v="UMESH KUMAR MAHATO"/>
    <x v="1"/>
    <x v="0"/>
    <x v="2"/>
    <x v="1"/>
    <x v="0"/>
    <x v="1"/>
    <x v="0"/>
    <x v="0"/>
    <x v="1"/>
    <x v="0"/>
    <x v="0"/>
    <x v="0"/>
    <x v="0"/>
    <x v="0"/>
    <x v="0"/>
    <x v="0"/>
    <x v="0"/>
    <x v="0"/>
  </r>
  <r>
    <x v="321"/>
    <s v="YAM BAHADUR DHENGA"/>
    <x v="19"/>
    <x v="0"/>
    <x v="3"/>
    <x v="1"/>
    <x v="0"/>
    <x v="1"/>
    <x v="0"/>
    <x v="0"/>
    <x v="1"/>
    <x v="0"/>
    <x v="0"/>
    <x v="0"/>
    <x v="0"/>
    <x v="0"/>
    <x v="0"/>
    <x v="0"/>
    <x v="0"/>
    <x v="0"/>
  </r>
  <r>
    <x v="322"/>
    <s v="BIJAY KUMAR SAH"/>
    <x v="7"/>
    <x v="0"/>
    <x v="1"/>
    <x v="1"/>
    <x v="0"/>
    <x v="1"/>
    <x v="0"/>
    <x v="0"/>
    <x v="1"/>
    <x v="0"/>
    <x v="0"/>
    <x v="0"/>
    <x v="0"/>
    <x v="0"/>
    <x v="0"/>
    <x v="0"/>
    <x v="0"/>
    <x v="0"/>
  </r>
  <r>
    <x v="323"/>
    <s v="MOHAMAD AZMIR BIN JAMAL"/>
    <x v="11"/>
    <x v="0"/>
    <x v="2"/>
    <x v="1"/>
    <x v="0"/>
    <x v="1"/>
    <x v="0"/>
    <x v="0"/>
    <x v="0"/>
    <x v="0"/>
    <x v="0"/>
    <x v="0"/>
    <x v="0"/>
    <x v="0"/>
    <x v="0"/>
    <x v="0"/>
    <x v="0"/>
    <x v="0"/>
  </r>
  <r>
    <x v="324"/>
    <s v="ANNA ARITONANG"/>
    <x v="21"/>
    <x v="1"/>
    <x v="3"/>
    <x v="1"/>
    <x v="0"/>
    <x v="1"/>
    <x v="0"/>
    <x v="0"/>
    <x v="1"/>
    <x v="0"/>
    <x v="0"/>
    <x v="0"/>
    <x v="0"/>
    <x v="0"/>
    <x v="0"/>
    <x v="0"/>
    <x v="0"/>
    <x v="0"/>
  </r>
  <r>
    <x v="325"/>
    <s v="AURIA AMELIA HUTAGAOL"/>
    <x v="19"/>
    <x v="1"/>
    <x v="1"/>
    <x v="1"/>
    <x v="0"/>
    <x v="1"/>
    <x v="0"/>
    <x v="0"/>
    <x v="1"/>
    <x v="0"/>
    <x v="0"/>
    <x v="0"/>
    <x v="0"/>
    <x v="0"/>
    <x v="0"/>
    <x v="0"/>
    <x v="0"/>
    <x v="0"/>
  </r>
  <r>
    <x v="326"/>
    <s v="CHANTIKA MANJORANG"/>
    <x v="21"/>
    <x v="1"/>
    <x v="2"/>
    <x v="1"/>
    <x v="0"/>
    <x v="1"/>
    <x v="0"/>
    <x v="0"/>
    <x v="1"/>
    <x v="0"/>
    <x v="0"/>
    <x v="0"/>
    <x v="0"/>
    <x v="0"/>
    <x v="0"/>
    <x v="0"/>
    <x v="0"/>
    <x v="0"/>
  </r>
  <r>
    <x v="327"/>
    <s v="DEPI MARIA SIMANUNGKALIT"/>
    <x v="19"/>
    <x v="1"/>
    <x v="2"/>
    <x v="1"/>
    <x v="0"/>
    <x v="1"/>
    <x v="0"/>
    <x v="0"/>
    <x v="1"/>
    <x v="0"/>
    <x v="0"/>
    <x v="0"/>
    <x v="0"/>
    <x v="0"/>
    <x v="0"/>
    <x v="0"/>
    <x v="0"/>
    <x v="0"/>
  </r>
  <r>
    <x v="328"/>
    <s v="ELISA SESARIAN SIANTURI"/>
    <x v="9"/>
    <x v="1"/>
    <x v="1"/>
    <x v="1"/>
    <x v="0"/>
    <x v="0"/>
    <x v="0"/>
    <x v="0"/>
    <x v="1"/>
    <x v="0"/>
    <x v="0"/>
    <x v="0"/>
    <x v="0"/>
    <x v="0"/>
    <x v="0"/>
    <x v="0"/>
    <x v="0"/>
    <x v="0"/>
  </r>
  <r>
    <x v="329"/>
    <s v="EPI SEPTIANA PARAPAT"/>
    <x v="19"/>
    <x v="1"/>
    <x v="1"/>
    <x v="1"/>
    <x v="0"/>
    <x v="1"/>
    <x v="0"/>
    <x v="0"/>
    <x v="1"/>
    <x v="0"/>
    <x v="0"/>
    <x v="0"/>
    <x v="0"/>
    <x v="0"/>
    <x v="0"/>
    <x v="0"/>
    <x v="0"/>
    <x v="0"/>
  </r>
  <r>
    <x v="330"/>
    <s v="FITRI HANDAYANI NASUTION"/>
    <x v="19"/>
    <x v="1"/>
    <x v="1"/>
    <x v="1"/>
    <x v="0"/>
    <x v="1"/>
    <x v="0"/>
    <x v="0"/>
    <x v="1"/>
    <x v="0"/>
    <x v="0"/>
    <x v="0"/>
    <x v="0"/>
    <x v="0"/>
    <x v="0"/>
    <x v="0"/>
    <x v="0"/>
    <x v="0"/>
  </r>
  <r>
    <x v="331"/>
    <s v="FRETI ANASTASIA TAMPUBOLON"/>
    <x v="3"/>
    <x v="1"/>
    <x v="1"/>
    <x v="0"/>
    <x v="0"/>
    <x v="1"/>
    <x v="0"/>
    <x v="0"/>
    <x v="1"/>
    <x v="0"/>
    <x v="0"/>
    <x v="0"/>
    <x v="0"/>
    <x v="0"/>
    <x v="0"/>
    <x v="0"/>
    <x v="0"/>
    <x v="0"/>
  </r>
  <r>
    <x v="332"/>
    <s v="HENNI PRISKA SIHOMBING"/>
    <x v="19"/>
    <x v="1"/>
    <x v="1"/>
    <x v="1"/>
    <x v="0"/>
    <x v="1"/>
    <x v="0"/>
    <x v="0"/>
    <x v="1"/>
    <x v="0"/>
    <x v="0"/>
    <x v="0"/>
    <x v="0"/>
    <x v="0"/>
    <x v="0"/>
    <x v="0"/>
    <x v="0"/>
    <x v="0"/>
  </r>
  <r>
    <x v="333"/>
    <s v="HENNITA SIMANGUNSONG"/>
    <x v="19"/>
    <x v="1"/>
    <x v="1"/>
    <x v="1"/>
    <x v="0"/>
    <x v="1"/>
    <x v="0"/>
    <x v="0"/>
    <x v="1"/>
    <x v="0"/>
    <x v="0"/>
    <x v="0"/>
    <x v="0"/>
    <x v="0"/>
    <x v="0"/>
    <x v="0"/>
    <x v="0"/>
    <x v="0"/>
  </r>
  <r>
    <x v="334"/>
    <s v="HENNY TITI SUSARNI MANURUNG"/>
    <x v="19"/>
    <x v="1"/>
    <x v="2"/>
    <x v="1"/>
    <x v="0"/>
    <x v="1"/>
    <x v="0"/>
    <x v="0"/>
    <x v="1"/>
    <x v="0"/>
    <x v="0"/>
    <x v="0"/>
    <x v="0"/>
    <x v="0"/>
    <x v="0"/>
    <x v="0"/>
    <x v="0"/>
    <x v="0"/>
  </r>
  <r>
    <x v="335"/>
    <s v="INDRI APRILIA PARINDURI"/>
    <x v="6"/>
    <x v="1"/>
    <x v="3"/>
    <x v="1"/>
    <x v="0"/>
    <x v="1"/>
    <x v="0"/>
    <x v="0"/>
    <x v="0"/>
    <x v="0"/>
    <x v="0"/>
    <x v="0"/>
    <x v="0"/>
    <x v="0"/>
    <x v="0"/>
    <x v="0"/>
    <x v="0"/>
    <x v="0"/>
  </r>
  <r>
    <x v="336"/>
    <s v="INTAN MORANA HALOHO"/>
    <x v="19"/>
    <x v="1"/>
    <x v="2"/>
    <x v="1"/>
    <x v="0"/>
    <x v="1"/>
    <x v="0"/>
    <x v="0"/>
    <x v="1"/>
    <x v="0"/>
    <x v="0"/>
    <x v="0"/>
    <x v="0"/>
    <x v="0"/>
    <x v="0"/>
    <x v="0"/>
    <x v="0"/>
    <x v="0"/>
  </r>
  <r>
    <x v="337"/>
    <s v="JENNYFER PARHUSIP"/>
    <x v="9"/>
    <x v="1"/>
    <x v="3"/>
    <x v="1"/>
    <x v="0"/>
    <x v="1"/>
    <x v="0"/>
    <x v="0"/>
    <x v="1"/>
    <x v="0"/>
    <x v="0"/>
    <x v="0"/>
    <x v="0"/>
    <x v="0"/>
    <x v="0"/>
    <x v="0"/>
    <x v="0"/>
    <x v="0"/>
  </r>
  <r>
    <x v="338"/>
    <s v="JESICA ANASTHASYA SARAGIH"/>
    <x v="7"/>
    <x v="1"/>
    <x v="2"/>
    <x v="1"/>
    <x v="0"/>
    <x v="1"/>
    <x v="0"/>
    <x v="0"/>
    <x v="1"/>
    <x v="0"/>
    <x v="0"/>
    <x v="0"/>
    <x v="0"/>
    <x v="0"/>
    <x v="0"/>
    <x v="0"/>
    <x v="0"/>
    <x v="0"/>
  </r>
  <r>
    <x v="339"/>
    <s v="JESIKA SURYANTI SIREGAR"/>
    <x v="3"/>
    <x v="1"/>
    <x v="2"/>
    <x v="1"/>
    <x v="0"/>
    <x v="1"/>
    <x v="0"/>
    <x v="0"/>
    <x v="1"/>
    <x v="0"/>
    <x v="0"/>
    <x v="0"/>
    <x v="0"/>
    <x v="0"/>
    <x v="0"/>
    <x v="0"/>
    <x v="0"/>
    <x v="0"/>
  </r>
  <r>
    <x v="340"/>
    <s v="LASMARCAHAYA SIBORO"/>
    <x v="6"/>
    <x v="1"/>
    <x v="0"/>
    <x v="0"/>
    <x v="0"/>
    <x v="1"/>
    <x v="1"/>
    <x v="1"/>
    <x v="0"/>
    <x v="0"/>
    <x v="0"/>
    <x v="0"/>
    <x v="0"/>
    <x v="0"/>
    <x v="0"/>
    <x v="0"/>
    <x v="0"/>
    <x v="0"/>
  </r>
  <r>
    <x v="341"/>
    <s v="LORENTINA SRI GANDA TAMBUNAN"/>
    <x v="19"/>
    <x v="1"/>
    <x v="1"/>
    <x v="1"/>
    <x v="0"/>
    <x v="1"/>
    <x v="0"/>
    <x v="0"/>
    <x v="1"/>
    <x v="0"/>
    <x v="0"/>
    <x v="0"/>
    <x v="0"/>
    <x v="0"/>
    <x v="0"/>
    <x v="0"/>
    <x v="0"/>
    <x v="0"/>
  </r>
  <r>
    <x v="342"/>
    <s v="MARHADILLA SAMOSIR"/>
    <x v="19"/>
    <x v="1"/>
    <x v="2"/>
    <x v="1"/>
    <x v="0"/>
    <x v="1"/>
    <x v="0"/>
    <x v="0"/>
    <x v="1"/>
    <x v="0"/>
    <x v="0"/>
    <x v="0"/>
    <x v="0"/>
    <x v="0"/>
    <x v="0"/>
    <x v="0"/>
    <x v="0"/>
    <x v="0"/>
  </r>
  <r>
    <x v="343"/>
    <s v="MENRI VERONIKA SITOHANG"/>
    <x v="19"/>
    <x v="1"/>
    <x v="3"/>
    <x v="1"/>
    <x v="0"/>
    <x v="1"/>
    <x v="0"/>
    <x v="0"/>
    <x v="1"/>
    <x v="0"/>
    <x v="0"/>
    <x v="0"/>
    <x v="0"/>
    <x v="0"/>
    <x v="0"/>
    <x v="0"/>
    <x v="0"/>
    <x v="0"/>
  </r>
  <r>
    <x v="344"/>
    <s v="NOVITA TANGGANG"/>
    <x v="5"/>
    <x v="1"/>
    <x v="1"/>
    <x v="1"/>
    <x v="0"/>
    <x v="1"/>
    <x v="0"/>
    <x v="0"/>
    <x v="1"/>
    <x v="0"/>
    <x v="0"/>
    <x v="0"/>
    <x v="0"/>
    <x v="0"/>
    <x v="0"/>
    <x v="0"/>
    <x v="0"/>
    <x v="0"/>
  </r>
  <r>
    <x v="345"/>
    <s v="RAMADHANA SARAGIH"/>
    <x v="1"/>
    <x v="1"/>
    <x v="3"/>
    <x v="1"/>
    <x v="0"/>
    <x v="1"/>
    <x v="0"/>
    <x v="0"/>
    <x v="1"/>
    <x v="0"/>
    <x v="0"/>
    <x v="0"/>
    <x v="0"/>
    <x v="0"/>
    <x v="0"/>
    <x v="0"/>
    <x v="0"/>
    <x v="0"/>
  </r>
  <r>
    <x v="346"/>
    <s v="RIVKA MARBUN"/>
    <x v="19"/>
    <x v="1"/>
    <x v="3"/>
    <x v="1"/>
    <x v="0"/>
    <x v="1"/>
    <x v="0"/>
    <x v="0"/>
    <x v="1"/>
    <x v="0"/>
    <x v="0"/>
    <x v="0"/>
    <x v="0"/>
    <x v="0"/>
    <x v="0"/>
    <x v="0"/>
    <x v="0"/>
    <x v="0"/>
  </r>
  <r>
    <x v="347"/>
    <s v="SANTI RAJAGUKGUK"/>
    <x v="5"/>
    <x v="1"/>
    <x v="2"/>
    <x v="1"/>
    <x v="0"/>
    <x v="1"/>
    <x v="0"/>
    <x v="0"/>
    <x v="1"/>
    <x v="0"/>
    <x v="0"/>
    <x v="0"/>
    <x v="0"/>
    <x v="0"/>
    <x v="0"/>
    <x v="0"/>
    <x v="0"/>
    <x v="0"/>
  </r>
  <r>
    <x v="348"/>
    <s v="SARMAULI SIAHAAN"/>
    <x v="5"/>
    <x v="1"/>
    <x v="1"/>
    <x v="1"/>
    <x v="0"/>
    <x v="1"/>
    <x v="0"/>
    <x v="0"/>
    <x v="1"/>
    <x v="0"/>
    <x v="0"/>
    <x v="0"/>
    <x v="0"/>
    <x v="0"/>
    <x v="0"/>
    <x v="0"/>
    <x v="0"/>
    <x v="0"/>
  </r>
  <r>
    <x v="349"/>
    <s v="SELVI MELANITA SIAHAAN"/>
    <x v="19"/>
    <x v="1"/>
    <x v="1"/>
    <x v="1"/>
    <x v="0"/>
    <x v="1"/>
    <x v="0"/>
    <x v="0"/>
    <x v="1"/>
    <x v="0"/>
    <x v="0"/>
    <x v="0"/>
    <x v="0"/>
    <x v="0"/>
    <x v="0"/>
    <x v="0"/>
    <x v="0"/>
    <x v="0"/>
  </r>
  <r>
    <x v="350"/>
    <s v="SUCI RAMADANI LINGGA"/>
    <x v="7"/>
    <x v="1"/>
    <x v="3"/>
    <x v="1"/>
    <x v="0"/>
    <x v="1"/>
    <x v="0"/>
    <x v="0"/>
    <x v="1"/>
    <x v="0"/>
    <x v="0"/>
    <x v="0"/>
    <x v="0"/>
    <x v="0"/>
    <x v="0"/>
    <x v="0"/>
    <x v="0"/>
    <x v="0"/>
  </r>
  <r>
    <x v="351"/>
    <s v="TRI ENJELITA SIANTURI"/>
    <x v="19"/>
    <x v="1"/>
    <x v="3"/>
    <x v="1"/>
    <x v="0"/>
    <x v="1"/>
    <x v="0"/>
    <x v="0"/>
    <x v="1"/>
    <x v="0"/>
    <x v="0"/>
    <x v="0"/>
    <x v="0"/>
    <x v="0"/>
    <x v="0"/>
    <x v="0"/>
    <x v="0"/>
    <x v="0"/>
  </r>
  <r>
    <x v="352"/>
    <s v="TRISYA WATY"/>
    <x v="19"/>
    <x v="1"/>
    <x v="2"/>
    <x v="1"/>
    <x v="0"/>
    <x v="1"/>
    <x v="0"/>
    <x v="0"/>
    <x v="1"/>
    <x v="0"/>
    <x v="0"/>
    <x v="0"/>
    <x v="0"/>
    <x v="0"/>
    <x v="0"/>
    <x v="0"/>
    <x v="0"/>
    <x v="0"/>
  </r>
  <r>
    <x v="353"/>
    <s v="YOLANDA WIJAYA"/>
    <x v="3"/>
    <x v="1"/>
    <x v="0"/>
    <x v="0"/>
    <x v="0"/>
    <x v="1"/>
    <x v="0"/>
    <x v="0"/>
    <x v="1"/>
    <x v="0"/>
    <x v="0"/>
    <x v="0"/>
    <x v="0"/>
    <x v="0"/>
    <x v="0"/>
    <x v="0"/>
    <x v="0"/>
    <x v="0"/>
  </r>
  <r>
    <x v="354"/>
    <s v="MUHAMAD NAIM BIN NASSER GAN"/>
    <x v="15"/>
    <x v="0"/>
    <x v="1"/>
    <x v="1"/>
    <x v="0"/>
    <x v="1"/>
    <x v="0"/>
    <x v="0"/>
    <x v="1"/>
    <x v="0"/>
    <x v="0"/>
    <x v="0"/>
    <x v="0"/>
    <x v="0"/>
    <x v="0"/>
    <x v="0"/>
    <x v="0"/>
    <x v="0"/>
  </r>
  <r>
    <x v="355"/>
    <s v="ASYRAF NAIM BIN SHAHRUL ZAMAN"/>
    <x v="10"/>
    <x v="0"/>
    <x v="3"/>
    <x v="1"/>
    <x v="0"/>
    <x v="1"/>
    <x v="0"/>
    <x v="0"/>
    <x v="1"/>
    <x v="0"/>
    <x v="0"/>
    <x v="0"/>
    <x v="0"/>
    <x v="0"/>
    <x v="0"/>
    <x v="0"/>
    <x v="0"/>
    <x v="0"/>
  </r>
  <r>
    <x v="356"/>
    <s v="MUHAMMAD AQMAL HAQEEM BIN ABDULL AZIZ"/>
    <x v="10"/>
    <x v="0"/>
    <x v="3"/>
    <x v="1"/>
    <x v="0"/>
    <x v="1"/>
    <x v="1"/>
    <x v="0"/>
    <x v="1"/>
    <x v="0"/>
    <x v="0"/>
    <x v="0"/>
    <x v="0"/>
    <x v="0"/>
    <x v="0"/>
    <x v="0"/>
    <x v="0"/>
    <x v="0"/>
  </r>
  <r>
    <x v="357"/>
    <s v="KHAIRUL IQBAL BIN ROSLAN"/>
    <x v="10"/>
    <x v="0"/>
    <x v="1"/>
    <x v="1"/>
    <x v="0"/>
    <x v="1"/>
    <x v="0"/>
    <x v="0"/>
    <x v="1"/>
    <x v="0"/>
    <x v="0"/>
    <x v="0"/>
    <x v="0"/>
    <x v="0"/>
    <x v="0"/>
    <x v="0"/>
    <x v="0"/>
    <x v="0"/>
  </r>
  <r>
    <x v="358"/>
    <s v="SHAHRIL BIN YAACOB"/>
    <x v="10"/>
    <x v="0"/>
    <x v="2"/>
    <x v="1"/>
    <x v="0"/>
    <x v="1"/>
    <x v="0"/>
    <x v="0"/>
    <x v="0"/>
    <x v="0"/>
    <x v="0"/>
    <x v="0"/>
    <x v="0"/>
    <x v="0"/>
    <x v="0"/>
    <x v="0"/>
    <x v="0"/>
    <x v="0"/>
  </r>
  <r>
    <x v="359"/>
    <s v="MUHAMMAD SABRI BIN AWANG"/>
    <x v="15"/>
    <x v="0"/>
    <x v="1"/>
    <x v="1"/>
    <x v="0"/>
    <x v="1"/>
    <x v="0"/>
    <x v="0"/>
    <x v="1"/>
    <x v="0"/>
    <x v="0"/>
    <x v="0"/>
    <x v="0"/>
    <x v="0"/>
    <x v="0"/>
    <x v="0"/>
    <x v="0"/>
    <x v="0"/>
  </r>
  <r>
    <x v="360"/>
    <s v="MUHAMMAD UWAIS ZUHAIR BIN SHARIMAN"/>
    <x v="15"/>
    <x v="0"/>
    <x v="2"/>
    <x v="1"/>
    <x v="0"/>
    <x v="1"/>
    <x v="0"/>
    <x v="0"/>
    <x v="1"/>
    <x v="0"/>
    <x v="0"/>
    <x v="0"/>
    <x v="0"/>
    <x v="0"/>
    <x v="0"/>
    <x v="0"/>
    <x v="0"/>
    <x v="0"/>
  </r>
  <r>
    <x v="361"/>
    <s v="MUHAMMAD AZIM BIN AZMAN"/>
    <x v="15"/>
    <x v="0"/>
    <x v="3"/>
    <x v="1"/>
    <x v="0"/>
    <x v="1"/>
    <x v="0"/>
    <x v="0"/>
    <x v="1"/>
    <x v="0"/>
    <x v="0"/>
    <x v="0"/>
    <x v="0"/>
    <x v="0"/>
    <x v="0"/>
    <x v="0"/>
    <x v="0"/>
    <x v="0"/>
  </r>
  <r>
    <x v="362"/>
    <s v="NAZRIN BIN SARJAN"/>
    <x v="15"/>
    <x v="0"/>
    <x v="1"/>
    <x v="1"/>
    <x v="0"/>
    <x v="1"/>
    <x v="0"/>
    <x v="0"/>
    <x v="1"/>
    <x v="0"/>
    <x v="0"/>
    <x v="0"/>
    <x v="0"/>
    <x v="0"/>
    <x v="0"/>
    <x v="0"/>
    <x v="0"/>
    <x v="0"/>
  </r>
  <r>
    <x v="363"/>
    <s v="MUHAMAD AKMAL BIN MOHD FARID"/>
    <x v="10"/>
    <x v="0"/>
    <x v="1"/>
    <x v="1"/>
    <x v="0"/>
    <x v="1"/>
    <x v="0"/>
    <x v="0"/>
    <x v="1"/>
    <x v="0"/>
    <x v="0"/>
    <x v="0"/>
    <x v="0"/>
    <x v="0"/>
    <x v="0"/>
    <x v="0"/>
    <x v="0"/>
    <x v="0"/>
  </r>
  <r>
    <x v="364"/>
    <s v="MOHAMMAD AZAM BIN MOHD ZAMRI"/>
    <x v="10"/>
    <x v="0"/>
    <x v="3"/>
    <x v="1"/>
    <x v="0"/>
    <x v="1"/>
    <x v="0"/>
    <x v="0"/>
    <x v="1"/>
    <x v="0"/>
    <x v="0"/>
    <x v="0"/>
    <x v="0"/>
    <x v="0"/>
    <x v="0"/>
    <x v="0"/>
    <x v="0"/>
    <x v="0"/>
  </r>
  <r>
    <x v="365"/>
    <s v="ASIROHANA SITOMPUL"/>
    <x v="19"/>
    <x v="1"/>
    <x v="1"/>
    <x v="1"/>
    <x v="0"/>
    <x v="1"/>
    <x v="0"/>
    <x v="0"/>
    <x v="1"/>
    <x v="0"/>
    <x v="0"/>
    <x v="0"/>
    <x v="0"/>
    <x v="0"/>
    <x v="0"/>
    <x v="0"/>
    <x v="0"/>
    <x v="0"/>
  </r>
  <r>
    <x v="366"/>
    <s v="CHRISTIN TIARA PANJAITAN"/>
    <x v="19"/>
    <x v="1"/>
    <x v="1"/>
    <x v="1"/>
    <x v="0"/>
    <x v="1"/>
    <x v="0"/>
    <x v="0"/>
    <x v="1"/>
    <x v="0"/>
    <x v="0"/>
    <x v="0"/>
    <x v="0"/>
    <x v="0"/>
    <x v="0"/>
    <x v="0"/>
    <x v="0"/>
    <x v="0"/>
  </r>
  <r>
    <x v="367"/>
    <s v="DAMAYANTI SILABAN"/>
    <x v="19"/>
    <x v="1"/>
    <x v="2"/>
    <x v="1"/>
    <x v="0"/>
    <x v="1"/>
    <x v="0"/>
    <x v="0"/>
    <x v="1"/>
    <x v="0"/>
    <x v="0"/>
    <x v="0"/>
    <x v="0"/>
    <x v="0"/>
    <x v="0"/>
    <x v="0"/>
    <x v="0"/>
    <x v="0"/>
  </r>
  <r>
    <x v="368"/>
    <s v="DEMA ANJANI GINTING"/>
    <x v="19"/>
    <x v="1"/>
    <x v="3"/>
    <x v="1"/>
    <x v="0"/>
    <x v="1"/>
    <x v="0"/>
    <x v="0"/>
    <x v="1"/>
    <x v="0"/>
    <x v="0"/>
    <x v="0"/>
    <x v="0"/>
    <x v="0"/>
    <x v="0"/>
    <x v="0"/>
    <x v="0"/>
    <x v="0"/>
  </r>
  <r>
    <x v="369"/>
    <s v="DEWI OVIANA SIMANGUNSONG"/>
    <x v="5"/>
    <x v="1"/>
    <x v="1"/>
    <x v="1"/>
    <x v="0"/>
    <x v="1"/>
    <x v="0"/>
    <x v="0"/>
    <x v="1"/>
    <x v="0"/>
    <x v="0"/>
    <x v="0"/>
    <x v="0"/>
    <x v="0"/>
    <x v="0"/>
    <x v="0"/>
    <x v="0"/>
    <x v="0"/>
  </r>
  <r>
    <x v="370"/>
    <s v="ELISABET NOVITA SARI SITANGGANG"/>
    <x v="19"/>
    <x v="1"/>
    <x v="3"/>
    <x v="1"/>
    <x v="0"/>
    <x v="1"/>
    <x v="0"/>
    <x v="0"/>
    <x v="1"/>
    <x v="0"/>
    <x v="0"/>
    <x v="0"/>
    <x v="0"/>
    <x v="0"/>
    <x v="0"/>
    <x v="0"/>
    <x v="0"/>
    <x v="0"/>
  </r>
  <r>
    <x v="371"/>
    <s v="FANNY SEPTRIANA"/>
    <x v="19"/>
    <x v="1"/>
    <x v="1"/>
    <x v="1"/>
    <x v="0"/>
    <x v="1"/>
    <x v="0"/>
    <x v="0"/>
    <x v="1"/>
    <x v="0"/>
    <x v="0"/>
    <x v="0"/>
    <x v="0"/>
    <x v="0"/>
    <x v="0"/>
    <x v="0"/>
    <x v="0"/>
    <x v="0"/>
  </r>
  <r>
    <x v="372"/>
    <s v="HADZIZAH SIMANGUNSONG"/>
    <x v="19"/>
    <x v="1"/>
    <x v="2"/>
    <x v="1"/>
    <x v="0"/>
    <x v="1"/>
    <x v="0"/>
    <x v="0"/>
    <x v="1"/>
    <x v="0"/>
    <x v="0"/>
    <x v="0"/>
    <x v="0"/>
    <x v="0"/>
    <x v="0"/>
    <x v="0"/>
    <x v="0"/>
    <x v="0"/>
  </r>
  <r>
    <x v="373"/>
    <s v="HEPPY MAGDA SITUMORANG"/>
    <x v="3"/>
    <x v="1"/>
    <x v="0"/>
    <x v="0"/>
    <x v="0"/>
    <x v="1"/>
    <x v="0"/>
    <x v="0"/>
    <x v="1"/>
    <x v="0"/>
    <x v="0"/>
    <x v="0"/>
    <x v="0"/>
    <x v="0"/>
    <x v="0"/>
    <x v="0"/>
    <x v="0"/>
    <x v="0"/>
  </r>
  <r>
    <x v="374"/>
    <s v="HERMAYANA"/>
    <x v="19"/>
    <x v="1"/>
    <x v="1"/>
    <x v="1"/>
    <x v="0"/>
    <x v="1"/>
    <x v="1"/>
    <x v="1"/>
    <x v="1"/>
    <x v="0"/>
    <x v="0"/>
    <x v="0"/>
    <x v="0"/>
    <x v="0"/>
    <x v="0"/>
    <x v="0"/>
    <x v="0"/>
    <x v="0"/>
  </r>
  <r>
    <x v="375"/>
    <s v="HERTIKA SILALAHI"/>
    <x v="5"/>
    <x v="1"/>
    <x v="0"/>
    <x v="0"/>
    <x v="0"/>
    <x v="1"/>
    <x v="1"/>
    <x v="1"/>
    <x v="1"/>
    <x v="0"/>
    <x v="0"/>
    <x v="0"/>
    <x v="0"/>
    <x v="0"/>
    <x v="0"/>
    <x v="0"/>
    <x v="0"/>
    <x v="0"/>
  </r>
  <r>
    <x v="376"/>
    <s v="HOTNITA LUMBANGAOL"/>
    <x v="19"/>
    <x v="1"/>
    <x v="3"/>
    <x v="1"/>
    <x v="0"/>
    <x v="1"/>
    <x v="0"/>
    <x v="0"/>
    <x v="1"/>
    <x v="0"/>
    <x v="0"/>
    <x v="0"/>
    <x v="0"/>
    <x v="0"/>
    <x v="0"/>
    <x v="0"/>
    <x v="0"/>
    <x v="0"/>
  </r>
  <r>
    <x v="377"/>
    <s v="IRMAWATI"/>
    <x v="5"/>
    <x v="1"/>
    <x v="3"/>
    <x v="1"/>
    <x v="0"/>
    <x v="1"/>
    <x v="0"/>
    <x v="0"/>
    <x v="1"/>
    <x v="0"/>
    <x v="0"/>
    <x v="0"/>
    <x v="0"/>
    <x v="0"/>
    <x v="0"/>
    <x v="0"/>
    <x v="0"/>
    <x v="0"/>
  </r>
  <r>
    <x v="378"/>
    <s v="KRISTINA NABABAN"/>
    <x v="19"/>
    <x v="1"/>
    <x v="2"/>
    <x v="1"/>
    <x v="0"/>
    <x v="1"/>
    <x v="0"/>
    <x v="0"/>
    <x v="1"/>
    <x v="0"/>
    <x v="0"/>
    <x v="0"/>
    <x v="0"/>
    <x v="0"/>
    <x v="0"/>
    <x v="0"/>
    <x v="0"/>
    <x v="0"/>
  </r>
  <r>
    <x v="379"/>
    <s v="LISDAWATI PARAPAT"/>
    <x v="19"/>
    <x v="1"/>
    <x v="3"/>
    <x v="1"/>
    <x v="0"/>
    <x v="1"/>
    <x v="0"/>
    <x v="0"/>
    <x v="1"/>
    <x v="0"/>
    <x v="0"/>
    <x v="0"/>
    <x v="0"/>
    <x v="0"/>
    <x v="0"/>
    <x v="0"/>
    <x v="0"/>
    <x v="0"/>
  </r>
  <r>
    <x v="380"/>
    <s v="MARIA FITRI RAJAGUKGUK"/>
    <x v="19"/>
    <x v="1"/>
    <x v="2"/>
    <x v="1"/>
    <x v="0"/>
    <x v="1"/>
    <x v="0"/>
    <x v="0"/>
    <x v="1"/>
    <x v="0"/>
    <x v="0"/>
    <x v="0"/>
    <x v="0"/>
    <x v="0"/>
    <x v="0"/>
    <x v="0"/>
    <x v="0"/>
    <x v="0"/>
  </r>
  <r>
    <x v="381"/>
    <s v="NOVRITA SIANTURI"/>
    <x v="19"/>
    <x v="1"/>
    <x v="1"/>
    <x v="1"/>
    <x v="0"/>
    <x v="1"/>
    <x v="0"/>
    <x v="0"/>
    <x v="1"/>
    <x v="0"/>
    <x v="0"/>
    <x v="0"/>
    <x v="0"/>
    <x v="0"/>
    <x v="0"/>
    <x v="0"/>
    <x v="0"/>
    <x v="0"/>
  </r>
  <r>
    <x v="382"/>
    <s v="RATNA SARI TOGATOROP"/>
    <x v="21"/>
    <x v="1"/>
    <x v="3"/>
    <x v="1"/>
    <x v="0"/>
    <x v="1"/>
    <x v="0"/>
    <x v="0"/>
    <x v="1"/>
    <x v="0"/>
    <x v="0"/>
    <x v="0"/>
    <x v="0"/>
    <x v="0"/>
    <x v="0"/>
    <x v="0"/>
    <x v="0"/>
    <x v="0"/>
  </r>
  <r>
    <x v="383"/>
    <s v="VENTI WINDA SINAGA"/>
    <x v="19"/>
    <x v="1"/>
    <x v="2"/>
    <x v="1"/>
    <x v="0"/>
    <x v="1"/>
    <x v="0"/>
    <x v="0"/>
    <x v="1"/>
    <x v="0"/>
    <x v="0"/>
    <x v="0"/>
    <x v="0"/>
    <x v="0"/>
    <x v="0"/>
    <x v="0"/>
    <x v="0"/>
    <x v="0"/>
  </r>
  <r>
    <x v="384"/>
    <s v="YESIKA LAVINA ZALUKKHU"/>
    <x v="19"/>
    <x v="1"/>
    <x v="1"/>
    <x v="1"/>
    <x v="0"/>
    <x v="1"/>
    <x v="0"/>
    <x v="0"/>
    <x v="1"/>
    <x v="0"/>
    <x v="0"/>
    <x v="0"/>
    <x v="0"/>
    <x v="0"/>
    <x v="0"/>
    <x v="0"/>
    <x v="0"/>
    <x v="0"/>
  </r>
  <r>
    <x v="385"/>
    <s v="JALALUDDIN BIN JOHARI"/>
    <x v="15"/>
    <x v="0"/>
    <x v="2"/>
    <x v="1"/>
    <x v="0"/>
    <x v="1"/>
    <x v="0"/>
    <x v="0"/>
    <x v="1"/>
    <x v="0"/>
    <x v="0"/>
    <x v="0"/>
    <x v="0"/>
    <x v="0"/>
    <x v="0"/>
    <x v="0"/>
    <x v="0"/>
    <x v="0"/>
  </r>
  <r>
    <x v="386"/>
    <s v="MUHAMAD SYAHMI BIN CHE YUSOFF"/>
    <x v="16"/>
    <x v="0"/>
    <x v="3"/>
    <x v="1"/>
    <x v="0"/>
    <x v="1"/>
    <x v="0"/>
    <x v="0"/>
    <x v="1"/>
    <x v="0"/>
    <x v="0"/>
    <x v="0"/>
    <x v="0"/>
    <x v="0"/>
    <x v="0"/>
    <x v="0"/>
    <x v="0"/>
    <x v="0"/>
  </r>
  <r>
    <x v="387"/>
    <s v="UMMUL NOORSOLEHAH BINTI ABDUL AZIZ"/>
    <x v="16"/>
    <x v="1"/>
    <x v="1"/>
    <x v="1"/>
    <x v="0"/>
    <x v="1"/>
    <x v="0"/>
    <x v="0"/>
    <x v="1"/>
    <x v="0"/>
    <x v="0"/>
    <x v="0"/>
    <x v="0"/>
    <x v="0"/>
    <x v="0"/>
    <x v="0"/>
    <x v="0"/>
    <x v="0"/>
  </r>
  <r>
    <x v="388"/>
    <s v="AMAN RAJ"/>
    <x v="7"/>
    <x v="0"/>
    <x v="2"/>
    <x v="1"/>
    <x v="0"/>
    <x v="1"/>
    <x v="0"/>
    <x v="0"/>
    <x v="1"/>
    <x v="0"/>
    <x v="0"/>
    <x v="0"/>
    <x v="0"/>
    <x v="0"/>
    <x v="0"/>
    <x v="0"/>
    <x v="0"/>
    <x v="0"/>
  </r>
  <r>
    <x v="389"/>
    <s v="ANAND MEHATA"/>
    <x v="1"/>
    <x v="0"/>
    <x v="3"/>
    <x v="1"/>
    <x v="0"/>
    <x v="1"/>
    <x v="0"/>
    <x v="0"/>
    <x v="1"/>
    <x v="0"/>
    <x v="0"/>
    <x v="0"/>
    <x v="0"/>
    <x v="0"/>
    <x v="0"/>
    <x v="0"/>
    <x v="0"/>
    <x v="0"/>
  </r>
  <r>
    <x v="390"/>
    <s v="ANJAN YONGHANG"/>
    <x v="5"/>
    <x v="0"/>
    <x v="1"/>
    <x v="1"/>
    <x v="0"/>
    <x v="1"/>
    <x v="0"/>
    <x v="0"/>
    <x v="1"/>
    <x v="0"/>
    <x v="0"/>
    <x v="0"/>
    <x v="0"/>
    <x v="0"/>
    <x v="0"/>
    <x v="0"/>
    <x v="0"/>
    <x v="0"/>
  </r>
  <r>
    <x v="391"/>
    <s v="ASHOK KUMAR GODHI"/>
    <x v="6"/>
    <x v="0"/>
    <x v="2"/>
    <x v="1"/>
    <x v="0"/>
    <x v="1"/>
    <x v="0"/>
    <x v="0"/>
    <x v="1"/>
    <x v="0"/>
    <x v="0"/>
    <x v="0"/>
    <x v="0"/>
    <x v="0"/>
    <x v="0"/>
    <x v="0"/>
    <x v="0"/>
    <x v="0"/>
  </r>
  <r>
    <x v="392"/>
    <s v="BAIJNATH SINGH"/>
    <x v="5"/>
    <x v="0"/>
    <x v="3"/>
    <x v="1"/>
    <x v="0"/>
    <x v="1"/>
    <x v="0"/>
    <x v="0"/>
    <x v="1"/>
    <x v="0"/>
    <x v="0"/>
    <x v="0"/>
    <x v="0"/>
    <x v="0"/>
    <x v="0"/>
    <x v="0"/>
    <x v="0"/>
    <x v="0"/>
  </r>
  <r>
    <x v="393"/>
    <s v="BET BAHADUR THAPA MAGAR"/>
    <x v="4"/>
    <x v="0"/>
    <x v="2"/>
    <x v="1"/>
    <x v="0"/>
    <x v="1"/>
    <x v="0"/>
    <x v="0"/>
    <x v="1"/>
    <x v="0"/>
    <x v="0"/>
    <x v="0"/>
    <x v="0"/>
    <x v="0"/>
    <x v="0"/>
    <x v="0"/>
    <x v="0"/>
    <x v="0"/>
  </r>
  <r>
    <x v="394"/>
    <s v="BHOGENDRA MANDAL"/>
    <x v="6"/>
    <x v="0"/>
    <x v="3"/>
    <x v="1"/>
    <x v="0"/>
    <x v="1"/>
    <x v="0"/>
    <x v="0"/>
    <x v="1"/>
    <x v="0"/>
    <x v="0"/>
    <x v="0"/>
    <x v="0"/>
    <x v="0"/>
    <x v="0"/>
    <x v="0"/>
    <x v="0"/>
    <x v="0"/>
  </r>
  <r>
    <x v="395"/>
    <s v="BIDYANAND SAH"/>
    <x v="7"/>
    <x v="0"/>
    <x v="2"/>
    <x v="1"/>
    <x v="0"/>
    <x v="1"/>
    <x v="0"/>
    <x v="0"/>
    <x v="1"/>
    <x v="0"/>
    <x v="0"/>
    <x v="0"/>
    <x v="0"/>
    <x v="0"/>
    <x v="0"/>
    <x v="0"/>
    <x v="0"/>
    <x v="0"/>
  </r>
  <r>
    <x v="396"/>
    <s v="BISHAL KUMAR BHAGAT"/>
    <x v="6"/>
    <x v="0"/>
    <x v="3"/>
    <x v="1"/>
    <x v="0"/>
    <x v="1"/>
    <x v="0"/>
    <x v="0"/>
    <x v="1"/>
    <x v="0"/>
    <x v="0"/>
    <x v="0"/>
    <x v="0"/>
    <x v="0"/>
    <x v="0"/>
    <x v="0"/>
    <x v="0"/>
    <x v="0"/>
  </r>
  <r>
    <x v="397"/>
    <s v="BISHNU BHATTARAI"/>
    <x v="4"/>
    <x v="0"/>
    <x v="3"/>
    <x v="1"/>
    <x v="0"/>
    <x v="1"/>
    <x v="0"/>
    <x v="0"/>
    <x v="1"/>
    <x v="0"/>
    <x v="0"/>
    <x v="0"/>
    <x v="0"/>
    <x v="0"/>
    <x v="0"/>
    <x v="0"/>
    <x v="0"/>
    <x v="0"/>
  </r>
  <r>
    <x v="398"/>
    <s v="BISNU PAL"/>
    <x v="0"/>
    <x v="0"/>
    <x v="2"/>
    <x v="1"/>
    <x v="0"/>
    <x v="1"/>
    <x v="0"/>
    <x v="0"/>
    <x v="1"/>
    <x v="0"/>
    <x v="0"/>
    <x v="0"/>
    <x v="0"/>
    <x v="0"/>
    <x v="0"/>
    <x v="0"/>
    <x v="0"/>
    <x v="0"/>
  </r>
  <r>
    <x v="399"/>
    <s v="CHANDRA BAHADUR BISHOWKARMA"/>
    <x v="6"/>
    <x v="0"/>
    <x v="3"/>
    <x v="1"/>
    <x v="0"/>
    <x v="1"/>
    <x v="0"/>
    <x v="0"/>
    <x v="1"/>
    <x v="0"/>
    <x v="0"/>
    <x v="0"/>
    <x v="0"/>
    <x v="0"/>
    <x v="0"/>
    <x v="0"/>
    <x v="0"/>
    <x v="0"/>
  </r>
  <r>
    <x v="400"/>
    <s v="DAN BAHADUR BASNET"/>
    <x v="6"/>
    <x v="0"/>
    <x v="1"/>
    <x v="1"/>
    <x v="0"/>
    <x v="1"/>
    <x v="0"/>
    <x v="0"/>
    <x v="1"/>
    <x v="0"/>
    <x v="0"/>
    <x v="0"/>
    <x v="0"/>
    <x v="0"/>
    <x v="0"/>
    <x v="0"/>
    <x v="0"/>
    <x v="0"/>
  </r>
  <r>
    <x v="401"/>
    <s v="DATEMBA SHERPA"/>
    <x v="5"/>
    <x v="0"/>
    <x v="2"/>
    <x v="1"/>
    <x v="0"/>
    <x v="1"/>
    <x v="0"/>
    <x v="0"/>
    <x v="1"/>
    <x v="0"/>
    <x v="0"/>
    <x v="0"/>
    <x v="0"/>
    <x v="0"/>
    <x v="0"/>
    <x v="0"/>
    <x v="0"/>
    <x v="0"/>
  </r>
  <r>
    <x v="402"/>
    <s v="DIPAK BHATTA"/>
    <x v="6"/>
    <x v="0"/>
    <x v="1"/>
    <x v="1"/>
    <x v="0"/>
    <x v="1"/>
    <x v="0"/>
    <x v="0"/>
    <x v="1"/>
    <x v="0"/>
    <x v="0"/>
    <x v="0"/>
    <x v="0"/>
    <x v="0"/>
    <x v="0"/>
    <x v="0"/>
    <x v="0"/>
    <x v="0"/>
  </r>
  <r>
    <x v="403"/>
    <s v="GAJENDRA KARKI"/>
    <x v="6"/>
    <x v="0"/>
    <x v="4"/>
    <x v="0"/>
    <x v="0"/>
    <x v="0"/>
    <x v="0"/>
    <x v="0"/>
    <x v="0"/>
    <x v="0"/>
    <x v="0"/>
    <x v="0"/>
    <x v="0"/>
    <x v="0"/>
    <x v="0"/>
    <x v="0"/>
    <x v="0"/>
    <x v="0"/>
  </r>
  <r>
    <x v="404"/>
    <s v="HEM NARAYAN YADAV"/>
    <x v="3"/>
    <x v="0"/>
    <x v="2"/>
    <x v="1"/>
    <x v="0"/>
    <x v="1"/>
    <x v="0"/>
    <x v="0"/>
    <x v="1"/>
    <x v="0"/>
    <x v="0"/>
    <x v="0"/>
    <x v="0"/>
    <x v="0"/>
    <x v="0"/>
    <x v="0"/>
    <x v="0"/>
    <x v="0"/>
  </r>
  <r>
    <x v="405"/>
    <s v="JAY KISHOR MAHATO"/>
    <x v="15"/>
    <x v="0"/>
    <x v="3"/>
    <x v="0"/>
    <x v="1"/>
    <x v="1"/>
    <x v="1"/>
    <x v="1"/>
    <x v="1"/>
    <x v="0"/>
    <x v="0"/>
    <x v="0"/>
    <x v="0"/>
    <x v="0"/>
    <x v="0"/>
    <x v="0"/>
    <x v="0"/>
    <x v="0"/>
  </r>
  <r>
    <x v="406"/>
    <s v="JIWAN KHADKA"/>
    <x v="7"/>
    <x v="0"/>
    <x v="1"/>
    <x v="1"/>
    <x v="0"/>
    <x v="1"/>
    <x v="0"/>
    <x v="0"/>
    <x v="1"/>
    <x v="0"/>
    <x v="0"/>
    <x v="0"/>
    <x v="0"/>
    <x v="0"/>
    <x v="0"/>
    <x v="0"/>
    <x v="0"/>
    <x v="0"/>
  </r>
  <r>
    <x v="407"/>
    <s v="KARAN BAHADUR SUNAR"/>
    <x v="0"/>
    <x v="0"/>
    <x v="1"/>
    <x v="1"/>
    <x v="0"/>
    <x v="1"/>
    <x v="0"/>
    <x v="0"/>
    <x v="1"/>
    <x v="0"/>
    <x v="0"/>
    <x v="0"/>
    <x v="0"/>
    <x v="0"/>
    <x v="0"/>
    <x v="0"/>
    <x v="0"/>
    <x v="0"/>
  </r>
  <r>
    <x v="408"/>
    <s v="KIRAN SHRESTHA"/>
    <x v="0"/>
    <x v="0"/>
    <x v="3"/>
    <x v="1"/>
    <x v="0"/>
    <x v="1"/>
    <x v="0"/>
    <x v="0"/>
    <x v="1"/>
    <x v="0"/>
    <x v="0"/>
    <x v="0"/>
    <x v="0"/>
    <x v="0"/>
    <x v="0"/>
    <x v="0"/>
    <x v="0"/>
    <x v="0"/>
  </r>
  <r>
    <x v="409"/>
    <s v="KRISHNA BAHADUR GURUNG"/>
    <x v="0"/>
    <x v="0"/>
    <x v="1"/>
    <x v="1"/>
    <x v="0"/>
    <x v="1"/>
    <x v="0"/>
    <x v="0"/>
    <x v="1"/>
    <x v="0"/>
    <x v="0"/>
    <x v="0"/>
    <x v="0"/>
    <x v="0"/>
    <x v="0"/>
    <x v="0"/>
    <x v="0"/>
    <x v="0"/>
  </r>
  <r>
    <x v="410"/>
    <s v="LOKENDRA BAHADUR BIST"/>
    <x v="7"/>
    <x v="0"/>
    <x v="1"/>
    <x v="1"/>
    <x v="0"/>
    <x v="1"/>
    <x v="0"/>
    <x v="0"/>
    <x v="1"/>
    <x v="0"/>
    <x v="0"/>
    <x v="0"/>
    <x v="0"/>
    <x v="0"/>
    <x v="0"/>
    <x v="0"/>
    <x v="0"/>
    <x v="0"/>
  </r>
  <r>
    <x v="411"/>
    <s v="MAHATMA BARUWAL"/>
    <x v="7"/>
    <x v="0"/>
    <x v="1"/>
    <x v="1"/>
    <x v="0"/>
    <x v="1"/>
    <x v="0"/>
    <x v="0"/>
    <x v="1"/>
    <x v="0"/>
    <x v="0"/>
    <x v="0"/>
    <x v="0"/>
    <x v="0"/>
    <x v="0"/>
    <x v="0"/>
    <x v="0"/>
    <x v="0"/>
  </r>
  <r>
    <x v="412"/>
    <s v="MANGARU KEWAT"/>
    <x v="7"/>
    <x v="0"/>
    <x v="2"/>
    <x v="1"/>
    <x v="0"/>
    <x v="1"/>
    <x v="0"/>
    <x v="0"/>
    <x v="1"/>
    <x v="0"/>
    <x v="0"/>
    <x v="0"/>
    <x v="0"/>
    <x v="0"/>
    <x v="0"/>
    <x v="0"/>
    <x v="0"/>
    <x v="0"/>
  </r>
  <r>
    <x v="413"/>
    <s v="MANISH THAKUR"/>
    <x v="9"/>
    <x v="0"/>
    <x v="1"/>
    <x v="1"/>
    <x v="0"/>
    <x v="1"/>
    <x v="0"/>
    <x v="0"/>
    <x v="1"/>
    <x v="0"/>
    <x v="0"/>
    <x v="0"/>
    <x v="0"/>
    <x v="0"/>
    <x v="0"/>
    <x v="0"/>
    <x v="0"/>
    <x v="0"/>
  </r>
  <r>
    <x v="414"/>
    <s v="MANOJ SOMAI"/>
    <x v="7"/>
    <x v="0"/>
    <x v="3"/>
    <x v="1"/>
    <x v="0"/>
    <x v="1"/>
    <x v="0"/>
    <x v="0"/>
    <x v="0"/>
    <x v="0"/>
    <x v="0"/>
    <x v="0"/>
    <x v="0"/>
    <x v="0"/>
    <x v="0"/>
    <x v="0"/>
    <x v="0"/>
    <x v="0"/>
  </r>
  <r>
    <x v="415"/>
    <s v="MEGH RAJ RIJAL"/>
    <x v="1"/>
    <x v="0"/>
    <x v="2"/>
    <x v="1"/>
    <x v="0"/>
    <x v="1"/>
    <x v="0"/>
    <x v="0"/>
    <x v="1"/>
    <x v="0"/>
    <x v="0"/>
    <x v="0"/>
    <x v="0"/>
    <x v="0"/>
    <x v="0"/>
    <x v="0"/>
    <x v="0"/>
    <x v="0"/>
  </r>
  <r>
    <x v="416"/>
    <s v="NITESH KUMAR SAH"/>
    <x v="9"/>
    <x v="0"/>
    <x v="2"/>
    <x v="1"/>
    <x v="0"/>
    <x v="1"/>
    <x v="0"/>
    <x v="0"/>
    <x v="1"/>
    <x v="0"/>
    <x v="0"/>
    <x v="0"/>
    <x v="0"/>
    <x v="0"/>
    <x v="0"/>
    <x v="0"/>
    <x v="0"/>
    <x v="0"/>
  </r>
  <r>
    <x v="417"/>
    <s v="PRADIP KHADKA"/>
    <x v="15"/>
    <x v="0"/>
    <x v="2"/>
    <x v="1"/>
    <x v="0"/>
    <x v="1"/>
    <x v="0"/>
    <x v="0"/>
    <x v="1"/>
    <x v="0"/>
    <x v="0"/>
    <x v="0"/>
    <x v="0"/>
    <x v="0"/>
    <x v="0"/>
    <x v="0"/>
    <x v="0"/>
    <x v="0"/>
  </r>
  <r>
    <x v="418"/>
    <s v="PREM KUMAR KATWAL"/>
    <x v="1"/>
    <x v="0"/>
    <x v="3"/>
    <x v="1"/>
    <x v="0"/>
    <x v="1"/>
    <x v="0"/>
    <x v="0"/>
    <x v="1"/>
    <x v="0"/>
    <x v="0"/>
    <x v="0"/>
    <x v="0"/>
    <x v="0"/>
    <x v="0"/>
    <x v="0"/>
    <x v="0"/>
    <x v="0"/>
  </r>
  <r>
    <x v="419"/>
    <s v="PURAN DHIMAL"/>
    <x v="1"/>
    <x v="0"/>
    <x v="1"/>
    <x v="1"/>
    <x v="0"/>
    <x v="1"/>
    <x v="1"/>
    <x v="0"/>
    <x v="1"/>
    <x v="0"/>
    <x v="0"/>
    <x v="0"/>
    <x v="0"/>
    <x v="0"/>
    <x v="0"/>
    <x v="0"/>
    <x v="0"/>
    <x v="0"/>
  </r>
  <r>
    <x v="420"/>
    <s v="RAM KUMAR JABEGU"/>
    <x v="7"/>
    <x v="0"/>
    <x v="2"/>
    <x v="1"/>
    <x v="0"/>
    <x v="1"/>
    <x v="0"/>
    <x v="0"/>
    <x v="1"/>
    <x v="0"/>
    <x v="0"/>
    <x v="0"/>
    <x v="0"/>
    <x v="0"/>
    <x v="0"/>
    <x v="0"/>
    <x v="0"/>
    <x v="0"/>
  </r>
  <r>
    <x v="421"/>
    <s v="RAM PRASAD CHAUDHARY"/>
    <x v="3"/>
    <x v="0"/>
    <x v="3"/>
    <x v="1"/>
    <x v="0"/>
    <x v="1"/>
    <x v="0"/>
    <x v="0"/>
    <x v="1"/>
    <x v="0"/>
    <x v="0"/>
    <x v="0"/>
    <x v="0"/>
    <x v="0"/>
    <x v="0"/>
    <x v="0"/>
    <x v="0"/>
    <x v="0"/>
  </r>
  <r>
    <x v="422"/>
    <s v="RAMDAS MOKTAN"/>
    <x v="2"/>
    <x v="0"/>
    <x v="1"/>
    <x v="1"/>
    <x v="0"/>
    <x v="1"/>
    <x v="0"/>
    <x v="0"/>
    <x v="1"/>
    <x v="0"/>
    <x v="0"/>
    <x v="0"/>
    <x v="0"/>
    <x v="0"/>
    <x v="0"/>
    <x v="0"/>
    <x v="0"/>
    <x v="0"/>
  </r>
  <r>
    <x v="423"/>
    <s v="RAMKISHAN BAITHA DHOBI"/>
    <x v="16"/>
    <x v="0"/>
    <x v="3"/>
    <x v="1"/>
    <x v="0"/>
    <x v="1"/>
    <x v="0"/>
    <x v="0"/>
    <x v="1"/>
    <x v="0"/>
    <x v="0"/>
    <x v="0"/>
    <x v="0"/>
    <x v="0"/>
    <x v="0"/>
    <x v="0"/>
    <x v="0"/>
    <x v="0"/>
  </r>
  <r>
    <x v="424"/>
    <s v="SANJAY KUMAR YADAV"/>
    <x v="2"/>
    <x v="0"/>
    <x v="3"/>
    <x v="1"/>
    <x v="0"/>
    <x v="1"/>
    <x v="0"/>
    <x v="0"/>
    <x v="1"/>
    <x v="0"/>
    <x v="0"/>
    <x v="0"/>
    <x v="0"/>
    <x v="0"/>
    <x v="0"/>
    <x v="0"/>
    <x v="0"/>
    <x v="0"/>
  </r>
  <r>
    <x v="425"/>
    <s v="SANJIB KUMAR YADAV"/>
    <x v="2"/>
    <x v="0"/>
    <x v="2"/>
    <x v="1"/>
    <x v="0"/>
    <x v="1"/>
    <x v="0"/>
    <x v="0"/>
    <x v="1"/>
    <x v="0"/>
    <x v="0"/>
    <x v="0"/>
    <x v="0"/>
    <x v="0"/>
    <x v="0"/>
    <x v="0"/>
    <x v="0"/>
    <x v="0"/>
  </r>
  <r>
    <x v="426"/>
    <s v="SANTOSH TAMANG"/>
    <x v="2"/>
    <x v="0"/>
    <x v="2"/>
    <x v="1"/>
    <x v="0"/>
    <x v="1"/>
    <x v="0"/>
    <x v="0"/>
    <x v="1"/>
    <x v="0"/>
    <x v="0"/>
    <x v="0"/>
    <x v="0"/>
    <x v="0"/>
    <x v="0"/>
    <x v="0"/>
    <x v="0"/>
    <x v="0"/>
  </r>
  <r>
    <x v="427"/>
    <s v="SREE KANTA TRIPATHEE"/>
    <x v="7"/>
    <x v="0"/>
    <x v="1"/>
    <x v="1"/>
    <x v="0"/>
    <x v="1"/>
    <x v="0"/>
    <x v="0"/>
    <x v="1"/>
    <x v="0"/>
    <x v="0"/>
    <x v="0"/>
    <x v="0"/>
    <x v="0"/>
    <x v="0"/>
    <x v="0"/>
    <x v="0"/>
    <x v="0"/>
  </r>
  <r>
    <x v="428"/>
    <s v="SUMAN ALE MAGAR"/>
    <x v="4"/>
    <x v="0"/>
    <x v="3"/>
    <x v="0"/>
    <x v="1"/>
    <x v="1"/>
    <x v="0"/>
    <x v="0"/>
    <x v="1"/>
    <x v="0"/>
    <x v="0"/>
    <x v="0"/>
    <x v="0"/>
    <x v="0"/>
    <x v="0"/>
    <x v="0"/>
    <x v="0"/>
    <x v="0"/>
  </r>
  <r>
    <x v="429"/>
    <s v="SUMBHO HANG LIMBU"/>
    <x v="4"/>
    <x v="0"/>
    <x v="2"/>
    <x v="1"/>
    <x v="0"/>
    <x v="1"/>
    <x v="0"/>
    <x v="0"/>
    <x v="1"/>
    <x v="0"/>
    <x v="0"/>
    <x v="0"/>
    <x v="0"/>
    <x v="0"/>
    <x v="0"/>
    <x v="0"/>
    <x v="0"/>
    <x v="0"/>
  </r>
  <r>
    <x v="430"/>
    <s v="SUNIL KUMAR ARGARIYA  YADAV"/>
    <x v="2"/>
    <x v="0"/>
    <x v="1"/>
    <x v="1"/>
    <x v="0"/>
    <x v="1"/>
    <x v="1"/>
    <x v="0"/>
    <x v="1"/>
    <x v="0"/>
    <x v="0"/>
    <x v="0"/>
    <x v="0"/>
    <x v="0"/>
    <x v="0"/>
    <x v="0"/>
    <x v="0"/>
    <x v="0"/>
  </r>
  <r>
    <x v="431"/>
    <s v="SURENDRA KUMAR KUSHWAHA"/>
    <x v="21"/>
    <x v="0"/>
    <x v="2"/>
    <x v="1"/>
    <x v="0"/>
    <x v="1"/>
    <x v="0"/>
    <x v="0"/>
    <x v="1"/>
    <x v="0"/>
    <x v="0"/>
    <x v="0"/>
    <x v="0"/>
    <x v="0"/>
    <x v="0"/>
    <x v="0"/>
    <x v="0"/>
    <x v="0"/>
  </r>
  <r>
    <x v="432"/>
    <s v="SUSHIL PRASAD MEHTA"/>
    <x v="4"/>
    <x v="0"/>
    <x v="1"/>
    <x v="1"/>
    <x v="0"/>
    <x v="1"/>
    <x v="0"/>
    <x v="0"/>
    <x v="1"/>
    <x v="0"/>
    <x v="0"/>
    <x v="0"/>
    <x v="0"/>
    <x v="0"/>
    <x v="0"/>
    <x v="0"/>
    <x v="0"/>
    <x v="0"/>
  </r>
  <r>
    <x v="433"/>
    <s v="TOP BAHADUR B C"/>
    <x v="23"/>
    <x v="0"/>
    <x v="2"/>
    <x v="1"/>
    <x v="0"/>
    <x v="1"/>
    <x v="0"/>
    <x v="0"/>
    <x v="0"/>
    <x v="0"/>
    <x v="0"/>
    <x v="0"/>
    <x v="0"/>
    <x v="0"/>
    <x v="0"/>
    <x v="0"/>
    <x v="0"/>
    <x v="0"/>
  </r>
  <r>
    <x v="434"/>
    <s v="UJJWAL ACHARYA"/>
    <x v="23"/>
    <x v="0"/>
    <x v="1"/>
    <x v="1"/>
    <x v="0"/>
    <x v="1"/>
    <x v="1"/>
    <x v="1"/>
    <x v="0"/>
    <x v="0"/>
    <x v="0"/>
    <x v="0"/>
    <x v="0"/>
    <x v="0"/>
    <x v="0"/>
    <x v="0"/>
    <x v="0"/>
    <x v="0"/>
  </r>
  <r>
    <x v="435"/>
    <s v="UMESH BISTA"/>
    <x v="7"/>
    <x v="0"/>
    <x v="1"/>
    <x v="1"/>
    <x v="0"/>
    <x v="1"/>
    <x v="0"/>
    <x v="0"/>
    <x v="1"/>
    <x v="0"/>
    <x v="0"/>
    <x v="0"/>
    <x v="0"/>
    <x v="0"/>
    <x v="0"/>
    <x v="0"/>
    <x v="0"/>
    <x v="0"/>
  </r>
  <r>
    <x v="436"/>
    <s v="UPENDRA MAHATO"/>
    <x v="6"/>
    <x v="0"/>
    <x v="3"/>
    <x v="1"/>
    <x v="0"/>
    <x v="1"/>
    <x v="0"/>
    <x v="0"/>
    <x v="1"/>
    <x v="0"/>
    <x v="0"/>
    <x v="0"/>
    <x v="0"/>
    <x v="0"/>
    <x v="0"/>
    <x v="0"/>
    <x v="0"/>
    <x v="0"/>
  </r>
  <r>
    <x v="437"/>
    <s v="YUBRAJ CHALAUNE"/>
    <x v="6"/>
    <x v="0"/>
    <x v="2"/>
    <x v="1"/>
    <x v="0"/>
    <x v="1"/>
    <x v="0"/>
    <x v="0"/>
    <x v="1"/>
    <x v="0"/>
    <x v="0"/>
    <x v="0"/>
    <x v="0"/>
    <x v="0"/>
    <x v="0"/>
    <x v="0"/>
    <x v="0"/>
    <x v="0"/>
  </r>
  <r>
    <x v="438"/>
    <s v="NURUL AINUR AFIFAH BINTI ZAIDY ISMAIL"/>
    <x v="19"/>
    <x v="1"/>
    <x v="2"/>
    <x v="1"/>
    <x v="0"/>
    <x v="1"/>
    <x v="0"/>
    <x v="0"/>
    <x v="1"/>
    <x v="0"/>
    <x v="0"/>
    <x v="0"/>
    <x v="0"/>
    <x v="0"/>
    <x v="0"/>
    <x v="0"/>
    <x v="0"/>
    <x v="0"/>
  </r>
  <r>
    <x v="439"/>
    <s v="CASTRI SINAGA"/>
    <x v="19"/>
    <x v="1"/>
    <x v="2"/>
    <x v="1"/>
    <x v="0"/>
    <x v="1"/>
    <x v="0"/>
    <x v="0"/>
    <x v="1"/>
    <x v="0"/>
    <x v="0"/>
    <x v="0"/>
    <x v="0"/>
    <x v="0"/>
    <x v="0"/>
    <x v="0"/>
    <x v="0"/>
    <x v="0"/>
  </r>
  <r>
    <x v="440"/>
    <s v="DESTRI ROMARITO HUTASOIT"/>
    <x v="19"/>
    <x v="1"/>
    <x v="3"/>
    <x v="1"/>
    <x v="0"/>
    <x v="1"/>
    <x v="0"/>
    <x v="0"/>
    <x v="1"/>
    <x v="0"/>
    <x v="0"/>
    <x v="0"/>
    <x v="0"/>
    <x v="0"/>
    <x v="0"/>
    <x v="0"/>
    <x v="0"/>
    <x v="0"/>
  </r>
  <r>
    <x v="441"/>
    <s v="DEVI ELISYA NAINGGOLAN"/>
    <x v="19"/>
    <x v="1"/>
    <x v="2"/>
    <x v="1"/>
    <x v="0"/>
    <x v="1"/>
    <x v="0"/>
    <x v="0"/>
    <x v="1"/>
    <x v="0"/>
    <x v="0"/>
    <x v="0"/>
    <x v="0"/>
    <x v="0"/>
    <x v="0"/>
    <x v="0"/>
    <x v="0"/>
    <x v="0"/>
  </r>
  <r>
    <x v="442"/>
    <s v="GETA SITORUS"/>
    <x v="17"/>
    <x v="1"/>
    <x v="2"/>
    <x v="1"/>
    <x v="0"/>
    <x v="1"/>
    <x v="0"/>
    <x v="0"/>
    <x v="1"/>
    <x v="0"/>
    <x v="0"/>
    <x v="0"/>
    <x v="0"/>
    <x v="0"/>
    <x v="0"/>
    <x v="0"/>
    <x v="0"/>
    <x v="0"/>
  </r>
  <r>
    <x v="443"/>
    <s v="ILDA WINITA HASIBUAN"/>
    <x v="19"/>
    <x v="1"/>
    <x v="2"/>
    <x v="1"/>
    <x v="0"/>
    <x v="1"/>
    <x v="0"/>
    <x v="0"/>
    <x v="1"/>
    <x v="0"/>
    <x v="0"/>
    <x v="0"/>
    <x v="0"/>
    <x v="0"/>
    <x v="0"/>
    <x v="0"/>
    <x v="0"/>
    <x v="0"/>
  </r>
  <r>
    <x v="444"/>
    <s v="INGGRIK HANDAYANI SIRAIT"/>
    <x v="19"/>
    <x v="1"/>
    <x v="2"/>
    <x v="1"/>
    <x v="0"/>
    <x v="1"/>
    <x v="0"/>
    <x v="0"/>
    <x v="1"/>
    <x v="0"/>
    <x v="0"/>
    <x v="0"/>
    <x v="0"/>
    <x v="0"/>
    <x v="0"/>
    <x v="0"/>
    <x v="0"/>
    <x v="0"/>
  </r>
  <r>
    <x v="445"/>
    <s v="MIRA PURNAMA SARI SIPAYUNG"/>
    <x v="19"/>
    <x v="1"/>
    <x v="3"/>
    <x v="1"/>
    <x v="0"/>
    <x v="1"/>
    <x v="0"/>
    <x v="0"/>
    <x v="1"/>
    <x v="0"/>
    <x v="0"/>
    <x v="0"/>
    <x v="0"/>
    <x v="0"/>
    <x v="0"/>
    <x v="0"/>
    <x v="0"/>
    <x v="0"/>
  </r>
  <r>
    <x v="446"/>
    <s v="MONALISA TAMBUNAN"/>
    <x v="7"/>
    <x v="1"/>
    <x v="2"/>
    <x v="1"/>
    <x v="0"/>
    <x v="1"/>
    <x v="0"/>
    <x v="0"/>
    <x v="1"/>
    <x v="0"/>
    <x v="0"/>
    <x v="0"/>
    <x v="0"/>
    <x v="0"/>
    <x v="0"/>
    <x v="0"/>
    <x v="0"/>
    <x v="0"/>
  </r>
  <r>
    <x v="447"/>
    <s v="NURMALA KURNIAWATI"/>
    <x v="19"/>
    <x v="1"/>
    <x v="1"/>
    <x v="1"/>
    <x v="0"/>
    <x v="1"/>
    <x v="0"/>
    <x v="0"/>
    <x v="1"/>
    <x v="0"/>
    <x v="0"/>
    <x v="0"/>
    <x v="0"/>
    <x v="0"/>
    <x v="0"/>
    <x v="0"/>
    <x v="0"/>
    <x v="0"/>
  </r>
  <r>
    <x v="448"/>
    <s v="PUTRI MONIKA SIANTURI"/>
    <x v="19"/>
    <x v="1"/>
    <x v="3"/>
    <x v="1"/>
    <x v="0"/>
    <x v="1"/>
    <x v="0"/>
    <x v="0"/>
    <x v="1"/>
    <x v="0"/>
    <x v="0"/>
    <x v="0"/>
    <x v="0"/>
    <x v="0"/>
    <x v="0"/>
    <x v="0"/>
    <x v="0"/>
    <x v="0"/>
  </r>
  <r>
    <x v="449"/>
    <s v="SITI AISYAH"/>
    <x v="19"/>
    <x v="1"/>
    <x v="1"/>
    <x v="1"/>
    <x v="0"/>
    <x v="1"/>
    <x v="0"/>
    <x v="0"/>
    <x v="1"/>
    <x v="0"/>
    <x v="0"/>
    <x v="0"/>
    <x v="0"/>
    <x v="0"/>
    <x v="0"/>
    <x v="0"/>
    <x v="0"/>
    <x v="0"/>
  </r>
  <r>
    <x v="450"/>
    <s v="SRI HARTATI LUSIANA SIHOMBING"/>
    <x v="19"/>
    <x v="1"/>
    <x v="1"/>
    <x v="1"/>
    <x v="0"/>
    <x v="1"/>
    <x v="0"/>
    <x v="0"/>
    <x v="1"/>
    <x v="0"/>
    <x v="0"/>
    <x v="0"/>
    <x v="0"/>
    <x v="0"/>
    <x v="0"/>
    <x v="0"/>
    <x v="0"/>
    <x v="0"/>
  </r>
  <r>
    <x v="451"/>
    <s v="TRESIANA SIREGAR"/>
    <x v="19"/>
    <x v="1"/>
    <x v="2"/>
    <x v="1"/>
    <x v="0"/>
    <x v="1"/>
    <x v="0"/>
    <x v="0"/>
    <x v="1"/>
    <x v="0"/>
    <x v="0"/>
    <x v="0"/>
    <x v="0"/>
    <x v="0"/>
    <x v="0"/>
    <x v="0"/>
    <x v="0"/>
    <x v="0"/>
  </r>
  <r>
    <x v="452"/>
    <s v="MUHAMAD HASROL BIN SUBDIN"/>
    <x v="10"/>
    <x v="0"/>
    <x v="2"/>
    <x v="1"/>
    <x v="0"/>
    <x v="1"/>
    <x v="0"/>
    <x v="0"/>
    <x v="0"/>
    <x v="0"/>
    <x v="0"/>
    <x v="0"/>
    <x v="0"/>
    <x v="0"/>
    <x v="0"/>
    <x v="0"/>
    <x v="0"/>
    <x v="0"/>
  </r>
  <r>
    <x v="453"/>
    <s v="MOHD FAKHRI BIN ABDULLAH"/>
    <x v="10"/>
    <x v="0"/>
    <x v="2"/>
    <x v="1"/>
    <x v="0"/>
    <x v="1"/>
    <x v="0"/>
    <x v="0"/>
    <x v="0"/>
    <x v="0"/>
    <x v="0"/>
    <x v="0"/>
    <x v="0"/>
    <x v="0"/>
    <x v="0"/>
    <x v="0"/>
    <x v="0"/>
    <x v="0"/>
  </r>
  <r>
    <x v="454"/>
    <s v="AIMAN SYAUQI BIN HUSSAIN"/>
    <x v="3"/>
    <x v="0"/>
    <x v="2"/>
    <x v="1"/>
    <x v="0"/>
    <x v="1"/>
    <x v="0"/>
    <x v="0"/>
    <x v="1"/>
    <x v="0"/>
    <x v="0"/>
    <x v="0"/>
    <x v="0"/>
    <x v="0"/>
    <x v="0"/>
    <x v="0"/>
    <x v="0"/>
    <x v="0"/>
  </r>
  <r>
    <x v="455"/>
    <s v="AMIRUL EHSAN BIN RODZMAN"/>
    <x v="3"/>
    <x v="0"/>
    <x v="2"/>
    <x v="1"/>
    <x v="0"/>
    <x v="1"/>
    <x v="0"/>
    <x v="0"/>
    <x v="1"/>
    <x v="0"/>
    <x v="0"/>
    <x v="0"/>
    <x v="0"/>
    <x v="0"/>
    <x v="0"/>
    <x v="0"/>
    <x v="0"/>
    <x v="0"/>
  </r>
  <r>
    <x v="456"/>
    <s v="MOHAMAD FIDAIY BIN MOHAMAD SALLEH"/>
    <x v="5"/>
    <x v="0"/>
    <x v="3"/>
    <x v="1"/>
    <x v="0"/>
    <x v="0"/>
    <x v="0"/>
    <x v="0"/>
    <x v="1"/>
    <x v="0"/>
    <x v="0"/>
    <x v="0"/>
    <x v="0"/>
    <x v="0"/>
    <x v="0"/>
    <x v="0"/>
    <x v="0"/>
    <x v="0"/>
  </r>
  <r>
    <x v="457"/>
    <s v="MOHD FAKHRULLAH BIN ASMAN"/>
    <x v="4"/>
    <x v="0"/>
    <x v="3"/>
    <x v="1"/>
    <x v="0"/>
    <x v="1"/>
    <x v="0"/>
    <x v="0"/>
    <x v="1"/>
    <x v="0"/>
    <x v="0"/>
    <x v="0"/>
    <x v="0"/>
    <x v="0"/>
    <x v="0"/>
    <x v="0"/>
    <x v="0"/>
    <x v="0"/>
  </r>
  <r>
    <x v="458"/>
    <s v="MUHAMAD RIFDI BIN ABDUL RAHIM"/>
    <x v="0"/>
    <x v="0"/>
    <x v="1"/>
    <x v="1"/>
    <x v="0"/>
    <x v="1"/>
    <x v="0"/>
    <x v="0"/>
    <x v="1"/>
    <x v="0"/>
    <x v="0"/>
    <x v="0"/>
    <x v="0"/>
    <x v="0"/>
    <x v="0"/>
    <x v="0"/>
    <x v="0"/>
    <x v="0"/>
  </r>
  <r>
    <x v="459"/>
    <s v="MOHD ATHIF ISHWANDY BIN MOHD NORDIN AZMAIN"/>
    <x v="0"/>
    <x v="0"/>
    <x v="2"/>
    <x v="1"/>
    <x v="0"/>
    <x v="1"/>
    <x v="0"/>
    <x v="0"/>
    <x v="1"/>
    <x v="0"/>
    <x v="0"/>
    <x v="0"/>
    <x v="0"/>
    <x v="0"/>
    <x v="0"/>
    <x v="0"/>
    <x v="0"/>
    <x v="0"/>
  </r>
  <r>
    <x v="460"/>
    <s v="MOHD AMIRUL ZAMANI BIN HENDRY"/>
    <x v="0"/>
    <x v="0"/>
    <x v="2"/>
    <x v="1"/>
    <x v="0"/>
    <x v="1"/>
    <x v="0"/>
    <x v="0"/>
    <x v="1"/>
    <x v="0"/>
    <x v="0"/>
    <x v="0"/>
    <x v="0"/>
    <x v="0"/>
    <x v="0"/>
    <x v="0"/>
    <x v="0"/>
    <x v="0"/>
  </r>
  <r>
    <x v="461"/>
    <s v="NURUL NAZZIA BINTI ROZALI"/>
    <x v="19"/>
    <x v="1"/>
    <x v="3"/>
    <x v="1"/>
    <x v="0"/>
    <x v="1"/>
    <x v="0"/>
    <x v="0"/>
    <x v="1"/>
    <x v="0"/>
    <x v="0"/>
    <x v="0"/>
    <x v="0"/>
    <x v="0"/>
    <x v="0"/>
    <x v="0"/>
    <x v="0"/>
    <x v="0"/>
  </r>
  <r>
    <x v="462"/>
    <s v="NURUL AINA BINTI ADNAN"/>
    <x v="19"/>
    <x v="1"/>
    <x v="2"/>
    <x v="1"/>
    <x v="0"/>
    <x v="1"/>
    <x v="0"/>
    <x v="0"/>
    <x v="1"/>
    <x v="0"/>
    <x v="0"/>
    <x v="0"/>
    <x v="0"/>
    <x v="0"/>
    <x v="0"/>
    <x v="0"/>
    <x v="0"/>
    <x v="0"/>
  </r>
  <r>
    <x v="463"/>
    <s v="ROHAYA BINTI BAHAROM"/>
    <x v="19"/>
    <x v="1"/>
    <x v="3"/>
    <x v="1"/>
    <x v="0"/>
    <x v="1"/>
    <x v="0"/>
    <x v="0"/>
    <x v="1"/>
    <x v="0"/>
    <x v="0"/>
    <x v="0"/>
    <x v="0"/>
    <x v="0"/>
    <x v="0"/>
    <x v="0"/>
    <x v="0"/>
    <x v="0"/>
  </r>
  <r>
    <x v="464"/>
    <s v="MOHAMAD HARIS BIN SULAIMAN"/>
    <x v="19"/>
    <x v="0"/>
    <x v="3"/>
    <x v="1"/>
    <x v="0"/>
    <x v="1"/>
    <x v="0"/>
    <x v="0"/>
    <x v="1"/>
    <x v="0"/>
    <x v="0"/>
    <x v="0"/>
    <x v="0"/>
    <x v="0"/>
    <x v="0"/>
    <x v="0"/>
    <x v="0"/>
    <x v="0"/>
  </r>
  <r>
    <x v="465"/>
    <s v="MUHAMMAD ABDUL HAKIM BIN ABD HAMID"/>
    <x v="19"/>
    <x v="0"/>
    <x v="3"/>
    <x v="1"/>
    <x v="0"/>
    <x v="1"/>
    <x v="0"/>
    <x v="0"/>
    <x v="1"/>
    <x v="0"/>
    <x v="0"/>
    <x v="0"/>
    <x v="0"/>
    <x v="0"/>
    <x v="0"/>
    <x v="0"/>
    <x v="0"/>
    <x v="0"/>
  </r>
  <r>
    <x v="466"/>
    <s v="SAPAREN BIN ISMAIL"/>
    <x v="7"/>
    <x v="0"/>
    <x v="3"/>
    <x v="1"/>
    <x v="0"/>
    <x v="1"/>
    <x v="0"/>
    <x v="0"/>
    <x v="1"/>
    <x v="0"/>
    <x v="0"/>
    <x v="0"/>
    <x v="0"/>
    <x v="0"/>
    <x v="0"/>
    <x v="0"/>
    <x v="0"/>
    <x v="0"/>
  </r>
  <r>
    <x v="467"/>
    <s v="AHMAD ASYRAAF BIN AHMAD FAZILIA"/>
    <x v="9"/>
    <x v="0"/>
    <x v="2"/>
    <x v="1"/>
    <x v="0"/>
    <x v="1"/>
    <x v="0"/>
    <x v="0"/>
    <x v="1"/>
    <x v="0"/>
    <x v="0"/>
    <x v="0"/>
    <x v="0"/>
    <x v="0"/>
    <x v="0"/>
    <x v="0"/>
    <x v="0"/>
    <x v="0"/>
  </r>
  <r>
    <x v="468"/>
    <s v="NURUL HUSNINA BINTI HAMDAN"/>
    <x v="6"/>
    <x v="1"/>
    <x v="0"/>
    <x v="0"/>
    <x v="0"/>
    <x v="1"/>
    <x v="0"/>
    <x v="0"/>
    <x v="1"/>
    <x v="0"/>
    <x v="0"/>
    <x v="0"/>
    <x v="0"/>
    <x v="0"/>
    <x v="0"/>
    <x v="0"/>
    <x v="0"/>
    <x v="0"/>
  </r>
  <r>
    <x v="469"/>
    <s v="MUHAMMAD AMIR MUSLIM BIN AZAHAR"/>
    <x v="6"/>
    <x v="0"/>
    <x v="3"/>
    <x v="1"/>
    <x v="0"/>
    <x v="1"/>
    <x v="0"/>
    <x v="0"/>
    <x v="1"/>
    <x v="0"/>
    <x v="0"/>
    <x v="0"/>
    <x v="0"/>
    <x v="0"/>
    <x v="0"/>
    <x v="0"/>
    <x v="0"/>
    <x v="0"/>
  </r>
  <r>
    <x v="470"/>
    <s v="MUHAMMAD AIMAN ARIF BIN AHMAD ZAIDI"/>
    <x v="6"/>
    <x v="0"/>
    <x v="3"/>
    <x v="1"/>
    <x v="0"/>
    <x v="1"/>
    <x v="0"/>
    <x v="0"/>
    <x v="1"/>
    <x v="0"/>
    <x v="0"/>
    <x v="0"/>
    <x v="0"/>
    <x v="0"/>
    <x v="0"/>
    <x v="0"/>
    <x v="0"/>
    <x v="0"/>
  </r>
  <r>
    <x v="471"/>
    <s v="MOHAMMAD IZZAT BIN MOHD SOFIAN"/>
    <x v="6"/>
    <x v="0"/>
    <x v="1"/>
    <x v="1"/>
    <x v="0"/>
    <x v="1"/>
    <x v="0"/>
    <x v="0"/>
    <x v="1"/>
    <x v="0"/>
    <x v="0"/>
    <x v="0"/>
    <x v="0"/>
    <x v="0"/>
    <x v="0"/>
    <x v="0"/>
    <x v="0"/>
    <x v="0"/>
  </r>
  <r>
    <x v="472"/>
    <s v="MOHAMAD ZEFFY BIN HALAKE"/>
    <x v="6"/>
    <x v="0"/>
    <x v="3"/>
    <x v="1"/>
    <x v="0"/>
    <x v="1"/>
    <x v="0"/>
    <x v="0"/>
    <x v="1"/>
    <x v="0"/>
    <x v="0"/>
    <x v="0"/>
    <x v="0"/>
    <x v="0"/>
    <x v="0"/>
    <x v="0"/>
    <x v="0"/>
    <x v="0"/>
  </r>
  <r>
    <x v="473"/>
    <s v="KISIN ANAK KIROH"/>
    <x v="14"/>
    <x v="0"/>
    <x v="3"/>
    <x v="1"/>
    <x v="0"/>
    <x v="1"/>
    <x v="0"/>
    <x v="0"/>
    <x v="1"/>
    <x v="0"/>
    <x v="0"/>
    <x v="0"/>
    <x v="0"/>
    <x v="0"/>
    <x v="0"/>
    <x v="0"/>
    <x v="0"/>
    <x v="0"/>
  </r>
  <r>
    <x v="474"/>
    <s v="MUHAMMAD RAZALI ADAM BIN SHUHERI"/>
    <x v="14"/>
    <x v="0"/>
    <x v="1"/>
    <x v="1"/>
    <x v="0"/>
    <x v="1"/>
    <x v="0"/>
    <x v="0"/>
    <x v="1"/>
    <x v="0"/>
    <x v="0"/>
    <x v="0"/>
    <x v="0"/>
    <x v="0"/>
    <x v="0"/>
    <x v="0"/>
    <x v="0"/>
    <x v="0"/>
  </r>
  <r>
    <x v="475"/>
    <s v="KARTHIRAJ A/L SEGAR"/>
    <x v="10"/>
    <x v="0"/>
    <x v="1"/>
    <x v="1"/>
    <x v="0"/>
    <x v="1"/>
    <x v="0"/>
    <x v="0"/>
    <x v="1"/>
    <x v="0"/>
    <x v="0"/>
    <x v="0"/>
    <x v="0"/>
    <x v="0"/>
    <x v="0"/>
    <x v="0"/>
    <x v="0"/>
    <x v="0"/>
  </r>
  <r>
    <x v="476"/>
    <s v="MUHAMMAD FAZARUL FAIZ BIN SAHARI"/>
    <x v="21"/>
    <x v="0"/>
    <x v="2"/>
    <x v="1"/>
    <x v="0"/>
    <x v="1"/>
    <x v="0"/>
    <x v="0"/>
    <x v="1"/>
    <x v="0"/>
    <x v="0"/>
    <x v="0"/>
    <x v="0"/>
    <x v="0"/>
    <x v="0"/>
    <x v="0"/>
    <x v="0"/>
    <x v="0"/>
  </r>
  <r>
    <x v="477"/>
    <s v="APRILIA RITONGA"/>
    <x v="21"/>
    <x v="1"/>
    <x v="1"/>
    <x v="1"/>
    <x v="0"/>
    <x v="1"/>
    <x v="0"/>
    <x v="0"/>
    <x v="1"/>
    <x v="0"/>
    <x v="0"/>
    <x v="0"/>
    <x v="0"/>
    <x v="0"/>
    <x v="0"/>
    <x v="0"/>
    <x v="0"/>
    <x v="0"/>
  </r>
  <r>
    <x v="478"/>
    <s v="AYU RIYANTI"/>
    <x v="21"/>
    <x v="1"/>
    <x v="2"/>
    <x v="1"/>
    <x v="0"/>
    <x v="1"/>
    <x v="0"/>
    <x v="0"/>
    <x v="1"/>
    <x v="0"/>
    <x v="0"/>
    <x v="0"/>
    <x v="0"/>
    <x v="0"/>
    <x v="0"/>
    <x v="0"/>
    <x v="0"/>
    <x v="0"/>
  </r>
  <r>
    <x v="479"/>
    <s v="AYU YUSNITA TARIHORAN"/>
    <x v="21"/>
    <x v="1"/>
    <x v="3"/>
    <x v="1"/>
    <x v="0"/>
    <x v="1"/>
    <x v="0"/>
    <x v="0"/>
    <x v="1"/>
    <x v="0"/>
    <x v="0"/>
    <x v="0"/>
    <x v="0"/>
    <x v="0"/>
    <x v="0"/>
    <x v="0"/>
    <x v="0"/>
    <x v="0"/>
  </r>
  <r>
    <x v="480"/>
    <s v="CLARA DEBORA SIHITE"/>
    <x v="21"/>
    <x v="1"/>
    <x v="1"/>
    <x v="1"/>
    <x v="0"/>
    <x v="1"/>
    <x v="0"/>
    <x v="0"/>
    <x v="1"/>
    <x v="0"/>
    <x v="0"/>
    <x v="0"/>
    <x v="0"/>
    <x v="0"/>
    <x v="0"/>
    <x v="0"/>
    <x v="0"/>
    <x v="0"/>
  </r>
  <r>
    <x v="481"/>
    <s v="DELLA ARISTIYA TITRA TARIGAN"/>
    <x v="7"/>
    <x v="1"/>
    <x v="3"/>
    <x v="1"/>
    <x v="0"/>
    <x v="1"/>
    <x v="0"/>
    <x v="0"/>
    <x v="1"/>
    <x v="0"/>
    <x v="0"/>
    <x v="0"/>
    <x v="0"/>
    <x v="0"/>
    <x v="0"/>
    <x v="0"/>
    <x v="0"/>
    <x v="0"/>
  </r>
  <r>
    <x v="482"/>
    <s v="DESSY CHRISTINA PURBA"/>
    <x v="19"/>
    <x v="1"/>
    <x v="1"/>
    <x v="1"/>
    <x v="0"/>
    <x v="1"/>
    <x v="0"/>
    <x v="0"/>
    <x v="1"/>
    <x v="0"/>
    <x v="0"/>
    <x v="0"/>
    <x v="0"/>
    <x v="0"/>
    <x v="0"/>
    <x v="0"/>
    <x v="0"/>
    <x v="0"/>
  </r>
  <r>
    <x v="483"/>
    <s v="DEVIANA VERONIKA RAJAGUKGUK"/>
    <x v="19"/>
    <x v="1"/>
    <x v="2"/>
    <x v="1"/>
    <x v="0"/>
    <x v="1"/>
    <x v="0"/>
    <x v="0"/>
    <x v="1"/>
    <x v="0"/>
    <x v="0"/>
    <x v="0"/>
    <x v="0"/>
    <x v="0"/>
    <x v="0"/>
    <x v="0"/>
    <x v="0"/>
    <x v="0"/>
  </r>
  <r>
    <x v="484"/>
    <s v="ELMA SIMANJUNTAK"/>
    <x v="7"/>
    <x v="1"/>
    <x v="1"/>
    <x v="1"/>
    <x v="0"/>
    <x v="1"/>
    <x v="0"/>
    <x v="0"/>
    <x v="1"/>
    <x v="0"/>
    <x v="0"/>
    <x v="0"/>
    <x v="0"/>
    <x v="0"/>
    <x v="0"/>
    <x v="0"/>
    <x v="0"/>
    <x v="0"/>
  </r>
  <r>
    <x v="485"/>
    <s v="FEBY AGRIANA MEILISA YESICA"/>
    <x v="19"/>
    <x v="1"/>
    <x v="1"/>
    <x v="1"/>
    <x v="0"/>
    <x v="1"/>
    <x v="0"/>
    <x v="0"/>
    <x v="1"/>
    <x v="0"/>
    <x v="0"/>
    <x v="0"/>
    <x v="0"/>
    <x v="0"/>
    <x v="0"/>
    <x v="0"/>
    <x v="0"/>
    <x v="0"/>
  </r>
  <r>
    <x v="486"/>
    <s v="INDAH SARI"/>
    <x v="21"/>
    <x v="1"/>
    <x v="3"/>
    <x v="1"/>
    <x v="0"/>
    <x v="1"/>
    <x v="0"/>
    <x v="0"/>
    <x v="1"/>
    <x v="0"/>
    <x v="0"/>
    <x v="0"/>
    <x v="0"/>
    <x v="0"/>
    <x v="0"/>
    <x v="0"/>
    <x v="0"/>
    <x v="0"/>
  </r>
  <r>
    <x v="487"/>
    <s v="ISCHA WENNY SITUMEANG"/>
    <x v="3"/>
    <x v="1"/>
    <x v="1"/>
    <x v="0"/>
    <x v="0"/>
    <x v="1"/>
    <x v="0"/>
    <x v="0"/>
    <x v="1"/>
    <x v="0"/>
    <x v="0"/>
    <x v="0"/>
    <x v="0"/>
    <x v="0"/>
    <x v="0"/>
    <x v="0"/>
    <x v="0"/>
    <x v="0"/>
  </r>
  <r>
    <x v="488"/>
    <s v="JULYANI ALFINA NAINGGOLAN"/>
    <x v="21"/>
    <x v="1"/>
    <x v="2"/>
    <x v="1"/>
    <x v="0"/>
    <x v="1"/>
    <x v="0"/>
    <x v="0"/>
    <x v="1"/>
    <x v="0"/>
    <x v="0"/>
    <x v="0"/>
    <x v="0"/>
    <x v="0"/>
    <x v="0"/>
    <x v="0"/>
    <x v="0"/>
    <x v="0"/>
  </r>
  <r>
    <x v="489"/>
    <s v="KARMILASARI SIHOTANG"/>
    <x v="3"/>
    <x v="1"/>
    <x v="0"/>
    <x v="0"/>
    <x v="1"/>
    <x v="1"/>
    <x v="0"/>
    <x v="0"/>
    <x v="1"/>
    <x v="0"/>
    <x v="0"/>
    <x v="0"/>
    <x v="0"/>
    <x v="0"/>
    <x v="0"/>
    <x v="0"/>
    <x v="0"/>
    <x v="0"/>
  </r>
  <r>
    <x v="490"/>
    <s v="LESTARI JULIANA MUNTE"/>
    <x v="3"/>
    <x v="1"/>
    <x v="3"/>
    <x v="1"/>
    <x v="0"/>
    <x v="1"/>
    <x v="0"/>
    <x v="0"/>
    <x v="1"/>
    <x v="0"/>
    <x v="0"/>
    <x v="0"/>
    <x v="0"/>
    <x v="0"/>
    <x v="0"/>
    <x v="0"/>
    <x v="0"/>
    <x v="0"/>
  </r>
  <r>
    <x v="491"/>
    <s v="MASTIUR PANGGABEAN"/>
    <x v="7"/>
    <x v="1"/>
    <x v="2"/>
    <x v="1"/>
    <x v="0"/>
    <x v="1"/>
    <x v="0"/>
    <x v="0"/>
    <x v="1"/>
    <x v="0"/>
    <x v="0"/>
    <x v="0"/>
    <x v="0"/>
    <x v="0"/>
    <x v="0"/>
    <x v="0"/>
    <x v="0"/>
    <x v="0"/>
  </r>
  <r>
    <x v="492"/>
    <s v="NIKE ASTRIA SIMARMATA"/>
    <x v="3"/>
    <x v="1"/>
    <x v="3"/>
    <x v="1"/>
    <x v="0"/>
    <x v="1"/>
    <x v="0"/>
    <x v="0"/>
    <x v="0"/>
    <x v="0"/>
    <x v="0"/>
    <x v="0"/>
    <x v="0"/>
    <x v="0"/>
    <x v="0"/>
    <x v="0"/>
    <x v="0"/>
    <x v="0"/>
  </r>
  <r>
    <x v="493"/>
    <s v="ODOR SIMAREMARE"/>
    <x v="19"/>
    <x v="1"/>
    <x v="2"/>
    <x v="1"/>
    <x v="0"/>
    <x v="1"/>
    <x v="0"/>
    <x v="0"/>
    <x v="1"/>
    <x v="0"/>
    <x v="0"/>
    <x v="0"/>
    <x v="0"/>
    <x v="0"/>
    <x v="0"/>
    <x v="0"/>
    <x v="0"/>
    <x v="0"/>
  </r>
  <r>
    <x v="494"/>
    <s v="PINNI JOJOR DELIMA SIREGAR"/>
    <x v="19"/>
    <x v="1"/>
    <x v="2"/>
    <x v="1"/>
    <x v="0"/>
    <x v="1"/>
    <x v="0"/>
    <x v="0"/>
    <x v="1"/>
    <x v="0"/>
    <x v="0"/>
    <x v="0"/>
    <x v="0"/>
    <x v="0"/>
    <x v="0"/>
    <x v="0"/>
    <x v="0"/>
    <x v="0"/>
  </r>
  <r>
    <x v="495"/>
    <s v="RESMINDO HUTAGALUNG"/>
    <x v="6"/>
    <x v="1"/>
    <x v="2"/>
    <x v="1"/>
    <x v="0"/>
    <x v="1"/>
    <x v="0"/>
    <x v="0"/>
    <x v="1"/>
    <x v="0"/>
    <x v="0"/>
    <x v="0"/>
    <x v="0"/>
    <x v="0"/>
    <x v="0"/>
    <x v="0"/>
    <x v="0"/>
    <x v="0"/>
  </r>
  <r>
    <x v="496"/>
    <s v="RIZKY SYAHFITRI MARPAUNG"/>
    <x v="19"/>
    <x v="1"/>
    <x v="2"/>
    <x v="1"/>
    <x v="0"/>
    <x v="1"/>
    <x v="0"/>
    <x v="0"/>
    <x v="1"/>
    <x v="0"/>
    <x v="0"/>
    <x v="0"/>
    <x v="0"/>
    <x v="0"/>
    <x v="0"/>
    <x v="0"/>
    <x v="0"/>
    <x v="0"/>
  </r>
  <r>
    <x v="497"/>
    <s v="ROSITA SARI HALOHO"/>
    <x v="19"/>
    <x v="1"/>
    <x v="2"/>
    <x v="1"/>
    <x v="0"/>
    <x v="1"/>
    <x v="0"/>
    <x v="0"/>
    <x v="1"/>
    <x v="0"/>
    <x v="0"/>
    <x v="0"/>
    <x v="0"/>
    <x v="0"/>
    <x v="0"/>
    <x v="0"/>
    <x v="0"/>
    <x v="0"/>
  </r>
  <r>
    <x v="498"/>
    <s v="SABARIA PASARIBU"/>
    <x v="19"/>
    <x v="1"/>
    <x v="2"/>
    <x v="1"/>
    <x v="0"/>
    <x v="1"/>
    <x v="0"/>
    <x v="0"/>
    <x v="1"/>
    <x v="0"/>
    <x v="0"/>
    <x v="0"/>
    <x v="0"/>
    <x v="0"/>
    <x v="0"/>
    <x v="0"/>
    <x v="0"/>
    <x v="0"/>
  </r>
  <r>
    <x v="499"/>
    <s v="SITI KHODIJAH"/>
    <x v="19"/>
    <x v="1"/>
    <x v="3"/>
    <x v="1"/>
    <x v="0"/>
    <x v="1"/>
    <x v="0"/>
    <x v="0"/>
    <x v="1"/>
    <x v="0"/>
    <x v="0"/>
    <x v="0"/>
    <x v="0"/>
    <x v="0"/>
    <x v="0"/>
    <x v="0"/>
    <x v="0"/>
    <x v="0"/>
  </r>
  <r>
    <x v="500"/>
    <s v="SOFIA MELANI SITOMPUL"/>
    <x v="21"/>
    <x v="1"/>
    <x v="2"/>
    <x v="1"/>
    <x v="0"/>
    <x v="1"/>
    <x v="0"/>
    <x v="0"/>
    <x v="1"/>
    <x v="0"/>
    <x v="0"/>
    <x v="0"/>
    <x v="0"/>
    <x v="0"/>
    <x v="0"/>
    <x v="0"/>
    <x v="0"/>
    <x v="0"/>
  </r>
  <r>
    <x v="501"/>
    <s v="SRI MULYANI"/>
    <x v="19"/>
    <x v="1"/>
    <x v="3"/>
    <x v="1"/>
    <x v="0"/>
    <x v="1"/>
    <x v="0"/>
    <x v="0"/>
    <x v="1"/>
    <x v="0"/>
    <x v="0"/>
    <x v="0"/>
    <x v="0"/>
    <x v="0"/>
    <x v="0"/>
    <x v="0"/>
    <x v="0"/>
    <x v="0"/>
  </r>
  <r>
    <x v="502"/>
    <s v="TETTI SURIATI PANGGABEAN"/>
    <x v="6"/>
    <x v="1"/>
    <x v="3"/>
    <x v="1"/>
    <x v="0"/>
    <x v="1"/>
    <x v="0"/>
    <x v="0"/>
    <x v="1"/>
    <x v="0"/>
    <x v="0"/>
    <x v="0"/>
    <x v="0"/>
    <x v="0"/>
    <x v="0"/>
    <x v="0"/>
    <x v="0"/>
    <x v="0"/>
  </r>
  <r>
    <x v="503"/>
    <s v="TUPA P MANALU"/>
    <x v="21"/>
    <x v="1"/>
    <x v="1"/>
    <x v="1"/>
    <x v="0"/>
    <x v="1"/>
    <x v="0"/>
    <x v="0"/>
    <x v="1"/>
    <x v="0"/>
    <x v="0"/>
    <x v="0"/>
    <x v="0"/>
    <x v="0"/>
    <x v="0"/>
    <x v="0"/>
    <x v="0"/>
    <x v="0"/>
  </r>
  <r>
    <x v="504"/>
    <s v="URSULA ELISABET"/>
    <x v="19"/>
    <x v="1"/>
    <x v="3"/>
    <x v="1"/>
    <x v="0"/>
    <x v="1"/>
    <x v="0"/>
    <x v="0"/>
    <x v="1"/>
    <x v="0"/>
    <x v="0"/>
    <x v="0"/>
    <x v="0"/>
    <x v="0"/>
    <x v="0"/>
    <x v="0"/>
    <x v="0"/>
    <x v="0"/>
  </r>
  <r>
    <x v="505"/>
    <s v="WULAN ROHAYATI"/>
    <x v="6"/>
    <x v="1"/>
    <x v="1"/>
    <x v="0"/>
    <x v="1"/>
    <x v="1"/>
    <x v="0"/>
    <x v="0"/>
    <x v="1"/>
    <x v="0"/>
    <x v="0"/>
    <x v="0"/>
    <x v="0"/>
    <x v="0"/>
    <x v="0"/>
    <x v="0"/>
    <x v="0"/>
    <x v="0"/>
  </r>
  <r>
    <x v="506"/>
    <s v="ZAITUN"/>
    <x v="19"/>
    <x v="1"/>
    <x v="1"/>
    <x v="1"/>
    <x v="1"/>
    <x v="1"/>
    <x v="0"/>
    <x v="0"/>
    <x v="1"/>
    <x v="0"/>
    <x v="0"/>
    <x v="0"/>
    <x v="0"/>
    <x v="0"/>
    <x v="0"/>
    <x v="0"/>
    <x v="0"/>
    <x v="0"/>
  </r>
  <r>
    <x v="507"/>
    <s v="MOHAMMAD FEISOL BIN FADZIL"/>
    <x v="15"/>
    <x v="0"/>
    <x v="3"/>
    <x v="1"/>
    <x v="0"/>
    <x v="0"/>
    <x v="0"/>
    <x v="1"/>
    <x v="1"/>
    <x v="0"/>
    <x v="0"/>
    <x v="0"/>
    <x v="0"/>
    <x v="0"/>
    <x v="0"/>
    <x v="0"/>
    <x v="0"/>
    <x v="0"/>
  </r>
  <r>
    <x v="508"/>
    <s v="MOHD ASRULFITRI BIN ABDULLAH"/>
    <x v="15"/>
    <x v="0"/>
    <x v="3"/>
    <x v="1"/>
    <x v="0"/>
    <x v="1"/>
    <x v="1"/>
    <x v="0"/>
    <x v="1"/>
    <x v="0"/>
    <x v="0"/>
    <x v="0"/>
    <x v="0"/>
    <x v="0"/>
    <x v="0"/>
    <x v="0"/>
    <x v="0"/>
    <x v="0"/>
  </r>
  <r>
    <x v="509"/>
    <s v="KHAIRUL AZMAN BIN MOHD BASLAH"/>
    <x v="14"/>
    <x v="0"/>
    <x v="4"/>
    <x v="0"/>
    <x v="0"/>
    <x v="0"/>
    <x v="0"/>
    <x v="0"/>
    <x v="0"/>
    <x v="0"/>
    <x v="0"/>
    <x v="0"/>
    <x v="0"/>
    <x v="0"/>
    <x v="0"/>
    <x v="0"/>
    <x v="0"/>
    <x v="0"/>
  </r>
  <r>
    <x v="510"/>
    <s v="MUHAMMAD DAMIREL BIN ABDUL HAMID"/>
    <x v="8"/>
    <x v="0"/>
    <x v="2"/>
    <x v="1"/>
    <x v="0"/>
    <x v="1"/>
    <x v="0"/>
    <x v="0"/>
    <x v="1"/>
    <x v="0"/>
    <x v="0"/>
    <x v="0"/>
    <x v="0"/>
    <x v="0"/>
    <x v="0"/>
    <x v="0"/>
    <x v="0"/>
    <x v="0"/>
  </r>
  <r>
    <x v="511"/>
    <s v="NUR SHAHIRA BINTI HASHIM"/>
    <x v="5"/>
    <x v="1"/>
    <x v="3"/>
    <x v="1"/>
    <x v="0"/>
    <x v="1"/>
    <x v="0"/>
    <x v="0"/>
    <x v="1"/>
    <x v="0"/>
    <x v="0"/>
    <x v="0"/>
    <x v="0"/>
    <x v="0"/>
    <x v="0"/>
    <x v="0"/>
    <x v="0"/>
    <x v="0"/>
  </r>
  <r>
    <x v="512"/>
    <s v="PUTERA BISZMIE BIN ANUAR"/>
    <x v="12"/>
    <x v="0"/>
    <x v="1"/>
    <x v="1"/>
    <x v="0"/>
    <x v="1"/>
    <x v="0"/>
    <x v="0"/>
    <x v="1"/>
    <x v="0"/>
    <x v="0"/>
    <x v="0"/>
    <x v="0"/>
    <x v="0"/>
    <x v="0"/>
    <x v="0"/>
    <x v="0"/>
    <x v="0"/>
  </r>
  <r>
    <x v="513"/>
    <s v="MUHAMMAD NURHAQIM BIN JOHARI"/>
    <x v="13"/>
    <x v="0"/>
    <x v="3"/>
    <x v="1"/>
    <x v="0"/>
    <x v="1"/>
    <x v="0"/>
    <x v="0"/>
    <x v="1"/>
    <x v="0"/>
    <x v="0"/>
    <x v="0"/>
    <x v="0"/>
    <x v="0"/>
    <x v="0"/>
    <x v="0"/>
    <x v="0"/>
    <x v="0"/>
  </r>
  <r>
    <x v="514"/>
    <s v="AZMAN BIN ASIM"/>
    <x v="13"/>
    <x v="0"/>
    <x v="3"/>
    <x v="1"/>
    <x v="0"/>
    <x v="1"/>
    <x v="0"/>
    <x v="0"/>
    <x v="1"/>
    <x v="0"/>
    <x v="0"/>
    <x v="0"/>
    <x v="0"/>
    <x v="0"/>
    <x v="0"/>
    <x v="0"/>
    <x v="0"/>
    <x v="0"/>
  </r>
  <r>
    <x v="515"/>
    <s v="ABINASH KUMAR SAHANI"/>
    <x v="3"/>
    <x v="0"/>
    <x v="1"/>
    <x v="1"/>
    <x v="0"/>
    <x v="1"/>
    <x v="0"/>
    <x v="0"/>
    <x v="1"/>
    <x v="0"/>
    <x v="0"/>
    <x v="0"/>
    <x v="0"/>
    <x v="0"/>
    <x v="0"/>
    <x v="0"/>
    <x v="0"/>
    <x v="0"/>
  </r>
  <r>
    <x v="516"/>
    <s v="AMIT KUMAR THAKUR"/>
    <x v="3"/>
    <x v="0"/>
    <x v="1"/>
    <x v="1"/>
    <x v="0"/>
    <x v="1"/>
    <x v="0"/>
    <x v="0"/>
    <x v="1"/>
    <x v="0"/>
    <x v="0"/>
    <x v="0"/>
    <x v="0"/>
    <x v="0"/>
    <x v="0"/>
    <x v="0"/>
    <x v="0"/>
    <x v="0"/>
  </r>
  <r>
    <x v="517"/>
    <s v="ANIL KUMAR YADAV"/>
    <x v="3"/>
    <x v="0"/>
    <x v="3"/>
    <x v="1"/>
    <x v="0"/>
    <x v="1"/>
    <x v="0"/>
    <x v="0"/>
    <x v="0"/>
    <x v="0"/>
    <x v="0"/>
    <x v="0"/>
    <x v="0"/>
    <x v="0"/>
    <x v="0"/>
    <x v="0"/>
    <x v="0"/>
    <x v="0"/>
  </r>
  <r>
    <x v="518"/>
    <s v="ANIL KUNWAR"/>
    <x v="2"/>
    <x v="0"/>
    <x v="1"/>
    <x v="1"/>
    <x v="0"/>
    <x v="1"/>
    <x v="0"/>
    <x v="0"/>
    <x v="1"/>
    <x v="0"/>
    <x v="0"/>
    <x v="0"/>
    <x v="0"/>
    <x v="0"/>
    <x v="0"/>
    <x v="0"/>
    <x v="0"/>
    <x v="0"/>
  </r>
  <r>
    <x v="519"/>
    <s v="ANURAG KUMAL"/>
    <x v="2"/>
    <x v="0"/>
    <x v="2"/>
    <x v="1"/>
    <x v="0"/>
    <x v="1"/>
    <x v="0"/>
    <x v="0"/>
    <x v="1"/>
    <x v="0"/>
    <x v="0"/>
    <x v="0"/>
    <x v="0"/>
    <x v="0"/>
    <x v="0"/>
    <x v="0"/>
    <x v="0"/>
    <x v="0"/>
  </r>
  <r>
    <x v="520"/>
    <s v="ASHOK KUMAR SAH"/>
    <x v="2"/>
    <x v="0"/>
    <x v="3"/>
    <x v="1"/>
    <x v="0"/>
    <x v="1"/>
    <x v="0"/>
    <x v="0"/>
    <x v="1"/>
    <x v="0"/>
    <x v="0"/>
    <x v="0"/>
    <x v="0"/>
    <x v="0"/>
    <x v="0"/>
    <x v="0"/>
    <x v="0"/>
    <x v="0"/>
  </r>
  <r>
    <x v="521"/>
    <s v="BHOLA PRASAD SAH"/>
    <x v="0"/>
    <x v="0"/>
    <x v="1"/>
    <x v="1"/>
    <x v="0"/>
    <x v="1"/>
    <x v="0"/>
    <x v="0"/>
    <x v="1"/>
    <x v="0"/>
    <x v="0"/>
    <x v="0"/>
    <x v="0"/>
    <x v="0"/>
    <x v="0"/>
    <x v="0"/>
    <x v="0"/>
    <x v="0"/>
  </r>
  <r>
    <x v="522"/>
    <s v="BIJAY KAFLE"/>
    <x v="9"/>
    <x v="0"/>
    <x v="3"/>
    <x v="1"/>
    <x v="0"/>
    <x v="1"/>
    <x v="0"/>
    <x v="0"/>
    <x v="1"/>
    <x v="0"/>
    <x v="0"/>
    <x v="0"/>
    <x v="0"/>
    <x v="0"/>
    <x v="0"/>
    <x v="0"/>
    <x v="0"/>
    <x v="0"/>
  </r>
  <r>
    <x v="523"/>
    <s v="BIMAL KHADKA"/>
    <x v="2"/>
    <x v="0"/>
    <x v="3"/>
    <x v="1"/>
    <x v="0"/>
    <x v="1"/>
    <x v="0"/>
    <x v="0"/>
    <x v="1"/>
    <x v="0"/>
    <x v="0"/>
    <x v="0"/>
    <x v="0"/>
    <x v="0"/>
    <x v="0"/>
    <x v="0"/>
    <x v="0"/>
    <x v="0"/>
  </r>
  <r>
    <x v="524"/>
    <s v="BISHAL KUMAR SAH"/>
    <x v="2"/>
    <x v="0"/>
    <x v="2"/>
    <x v="1"/>
    <x v="0"/>
    <x v="1"/>
    <x v="0"/>
    <x v="0"/>
    <x v="1"/>
    <x v="0"/>
    <x v="0"/>
    <x v="0"/>
    <x v="0"/>
    <x v="0"/>
    <x v="0"/>
    <x v="0"/>
    <x v="0"/>
    <x v="0"/>
  </r>
  <r>
    <x v="525"/>
    <s v="CHANDRA LAL CHAUDHARY"/>
    <x v="6"/>
    <x v="0"/>
    <x v="1"/>
    <x v="1"/>
    <x v="0"/>
    <x v="1"/>
    <x v="0"/>
    <x v="0"/>
    <x v="1"/>
    <x v="0"/>
    <x v="0"/>
    <x v="0"/>
    <x v="0"/>
    <x v="0"/>
    <x v="0"/>
    <x v="0"/>
    <x v="0"/>
    <x v="0"/>
  </r>
  <r>
    <x v="526"/>
    <s v="DIPAK KUMAR SAH"/>
    <x v="7"/>
    <x v="0"/>
    <x v="2"/>
    <x v="1"/>
    <x v="0"/>
    <x v="1"/>
    <x v="0"/>
    <x v="0"/>
    <x v="1"/>
    <x v="0"/>
    <x v="0"/>
    <x v="0"/>
    <x v="0"/>
    <x v="0"/>
    <x v="0"/>
    <x v="0"/>
    <x v="0"/>
    <x v="0"/>
  </r>
  <r>
    <x v="527"/>
    <s v="DIPAK OJHA"/>
    <x v="0"/>
    <x v="0"/>
    <x v="1"/>
    <x v="1"/>
    <x v="0"/>
    <x v="1"/>
    <x v="0"/>
    <x v="0"/>
    <x v="1"/>
    <x v="0"/>
    <x v="0"/>
    <x v="0"/>
    <x v="0"/>
    <x v="0"/>
    <x v="0"/>
    <x v="0"/>
    <x v="0"/>
    <x v="0"/>
  </r>
  <r>
    <x v="528"/>
    <s v="DIPENDRA MAHATO"/>
    <x v="0"/>
    <x v="0"/>
    <x v="2"/>
    <x v="1"/>
    <x v="0"/>
    <x v="1"/>
    <x v="0"/>
    <x v="0"/>
    <x v="1"/>
    <x v="0"/>
    <x v="0"/>
    <x v="0"/>
    <x v="0"/>
    <x v="0"/>
    <x v="0"/>
    <x v="0"/>
    <x v="0"/>
    <x v="0"/>
  </r>
  <r>
    <x v="529"/>
    <s v="DIPENDRA PARAJULI"/>
    <x v="4"/>
    <x v="0"/>
    <x v="2"/>
    <x v="1"/>
    <x v="0"/>
    <x v="1"/>
    <x v="0"/>
    <x v="0"/>
    <x v="1"/>
    <x v="0"/>
    <x v="0"/>
    <x v="0"/>
    <x v="0"/>
    <x v="0"/>
    <x v="0"/>
    <x v="0"/>
    <x v="0"/>
    <x v="0"/>
  </r>
  <r>
    <x v="530"/>
    <s v="DIPENDRA SUNAR"/>
    <x v="0"/>
    <x v="0"/>
    <x v="1"/>
    <x v="1"/>
    <x v="0"/>
    <x v="1"/>
    <x v="0"/>
    <x v="0"/>
    <x v="1"/>
    <x v="0"/>
    <x v="0"/>
    <x v="0"/>
    <x v="0"/>
    <x v="0"/>
    <x v="0"/>
    <x v="0"/>
    <x v="0"/>
    <x v="0"/>
  </r>
  <r>
    <x v="531"/>
    <s v="GUNJAN POUDEL"/>
    <x v="0"/>
    <x v="0"/>
    <x v="3"/>
    <x v="1"/>
    <x v="0"/>
    <x v="1"/>
    <x v="0"/>
    <x v="0"/>
    <x v="1"/>
    <x v="0"/>
    <x v="0"/>
    <x v="0"/>
    <x v="0"/>
    <x v="0"/>
    <x v="0"/>
    <x v="0"/>
    <x v="0"/>
    <x v="0"/>
  </r>
  <r>
    <x v="532"/>
    <s v="JAYA BAHADUR KUNWAR"/>
    <x v="19"/>
    <x v="0"/>
    <x v="1"/>
    <x v="1"/>
    <x v="0"/>
    <x v="1"/>
    <x v="0"/>
    <x v="0"/>
    <x v="1"/>
    <x v="0"/>
    <x v="0"/>
    <x v="0"/>
    <x v="0"/>
    <x v="0"/>
    <x v="0"/>
    <x v="0"/>
    <x v="0"/>
    <x v="0"/>
  </r>
  <r>
    <x v="533"/>
    <s v="JITENDRA CHAUDHARY"/>
    <x v="4"/>
    <x v="0"/>
    <x v="2"/>
    <x v="1"/>
    <x v="0"/>
    <x v="1"/>
    <x v="0"/>
    <x v="0"/>
    <x v="1"/>
    <x v="0"/>
    <x v="0"/>
    <x v="0"/>
    <x v="0"/>
    <x v="0"/>
    <x v="0"/>
    <x v="0"/>
    <x v="0"/>
    <x v="0"/>
  </r>
  <r>
    <x v="534"/>
    <s v="KHADAK BAHADUR SHRESTHA"/>
    <x v="5"/>
    <x v="0"/>
    <x v="2"/>
    <x v="1"/>
    <x v="0"/>
    <x v="1"/>
    <x v="0"/>
    <x v="0"/>
    <x v="1"/>
    <x v="0"/>
    <x v="0"/>
    <x v="0"/>
    <x v="0"/>
    <x v="0"/>
    <x v="0"/>
    <x v="0"/>
    <x v="0"/>
    <x v="0"/>
  </r>
  <r>
    <x v="535"/>
    <s v="LAXMAN KUMAR RAUT"/>
    <x v="6"/>
    <x v="0"/>
    <x v="1"/>
    <x v="1"/>
    <x v="0"/>
    <x v="1"/>
    <x v="0"/>
    <x v="0"/>
    <x v="1"/>
    <x v="0"/>
    <x v="0"/>
    <x v="0"/>
    <x v="0"/>
    <x v="0"/>
    <x v="0"/>
    <x v="0"/>
    <x v="0"/>
    <x v="0"/>
  </r>
  <r>
    <x v="536"/>
    <s v="MAN BAHADUR B C"/>
    <x v="0"/>
    <x v="0"/>
    <x v="2"/>
    <x v="1"/>
    <x v="0"/>
    <x v="1"/>
    <x v="0"/>
    <x v="0"/>
    <x v="1"/>
    <x v="0"/>
    <x v="0"/>
    <x v="0"/>
    <x v="0"/>
    <x v="0"/>
    <x v="0"/>
    <x v="0"/>
    <x v="0"/>
    <x v="0"/>
  </r>
  <r>
    <x v="537"/>
    <s v="MAN BAHADUR KHADKA"/>
    <x v="0"/>
    <x v="0"/>
    <x v="3"/>
    <x v="1"/>
    <x v="0"/>
    <x v="1"/>
    <x v="0"/>
    <x v="0"/>
    <x v="1"/>
    <x v="0"/>
    <x v="0"/>
    <x v="0"/>
    <x v="0"/>
    <x v="0"/>
    <x v="0"/>
    <x v="0"/>
    <x v="0"/>
    <x v="0"/>
  </r>
  <r>
    <x v="538"/>
    <s v="MANSINGH WOD"/>
    <x v="7"/>
    <x v="0"/>
    <x v="3"/>
    <x v="1"/>
    <x v="0"/>
    <x v="1"/>
    <x v="0"/>
    <x v="0"/>
    <x v="1"/>
    <x v="0"/>
    <x v="0"/>
    <x v="0"/>
    <x v="0"/>
    <x v="0"/>
    <x v="0"/>
    <x v="0"/>
    <x v="0"/>
    <x v="0"/>
  </r>
  <r>
    <x v="539"/>
    <s v="MILAN SHRESTHA"/>
    <x v="0"/>
    <x v="0"/>
    <x v="3"/>
    <x v="1"/>
    <x v="0"/>
    <x v="1"/>
    <x v="0"/>
    <x v="0"/>
    <x v="1"/>
    <x v="0"/>
    <x v="0"/>
    <x v="0"/>
    <x v="0"/>
    <x v="0"/>
    <x v="0"/>
    <x v="0"/>
    <x v="0"/>
    <x v="0"/>
  </r>
  <r>
    <x v="540"/>
    <s v="NABARAJ SHRESTHA"/>
    <x v="7"/>
    <x v="0"/>
    <x v="3"/>
    <x v="1"/>
    <x v="0"/>
    <x v="1"/>
    <x v="0"/>
    <x v="0"/>
    <x v="0"/>
    <x v="0"/>
    <x v="0"/>
    <x v="0"/>
    <x v="0"/>
    <x v="0"/>
    <x v="0"/>
    <x v="0"/>
    <x v="0"/>
    <x v="0"/>
  </r>
  <r>
    <x v="541"/>
    <s v="NABIN KATUWAL"/>
    <x v="5"/>
    <x v="0"/>
    <x v="3"/>
    <x v="1"/>
    <x v="0"/>
    <x v="1"/>
    <x v="0"/>
    <x v="0"/>
    <x v="1"/>
    <x v="0"/>
    <x v="0"/>
    <x v="0"/>
    <x v="0"/>
    <x v="0"/>
    <x v="0"/>
    <x v="0"/>
    <x v="0"/>
    <x v="0"/>
  </r>
  <r>
    <x v="542"/>
    <s v="NABIN KUMAR LAMA"/>
    <x v="19"/>
    <x v="0"/>
    <x v="2"/>
    <x v="1"/>
    <x v="0"/>
    <x v="1"/>
    <x v="0"/>
    <x v="0"/>
    <x v="1"/>
    <x v="0"/>
    <x v="0"/>
    <x v="0"/>
    <x v="0"/>
    <x v="0"/>
    <x v="0"/>
    <x v="0"/>
    <x v="0"/>
    <x v="0"/>
  </r>
  <r>
    <x v="543"/>
    <s v="NUR MAHAMAD ANSARI"/>
    <x v="5"/>
    <x v="0"/>
    <x v="2"/>
    <x v="1"/>
    <x v="0"/>
    <x v="1"/>
    <x v="0"/>
    <x v="0"/>
    <x v="1"/>
    <x v="0"/>
    <x v="0"/>
    <x v="0"/>
    <x v="0"/>
    <x v="0"/>
    <x v="0"/>
    <x v="0"/>
    <x v="0"/>
    <x v="0"/>
  </r>
  <r>
    <x v="544"/>
    <s v="RAJESH MAHATO"/>
    <x v="7"/>
    <x v="0"/>
    <x v="3"/>
    <x v="1"/>
    <x v="0"/>
    <x v="1"/>
    <x v="0"/>
    <x v="0"/>
    <x v="1"/>
    <x v="0"/>
    <x v="0"/>
    <x v="0"/>
    <x v="0"/>
    <x v="0"/>
    <x v="0"/>
    <x v="0"/>
    <x v="0"/>
    <x v="0"/>
  </r>
  <r>
    <x v="545"/>
    <s v="RAM KISHAN MAURY"/>
    <x v="5"/>
    <x v="0"/>
    <x v="3"/>
    <x v="1"/>
    <x v="0"/>
    <x v="1"/>
    <x v="0"/>
    <x v="0"/>
    <x v="1"/>
    <x v="0"/>
    <x v="0"/>
    <x v="0"/>
    <x v="0"/>
    <x v="0"/>
    <x v="0"/>
    <x v="0"/>
    <x v="0"/>
    <x v="0"/>
  </r>
  <r>
    <x v="546"/>
    <s v="RAM SHANKAR CHAUDHARY"/>
    <x v="5"/>
    <x v="0"/>
    <x v="1"/>
    <x v="1"/>
    <x v="0"/>
    <x v="1"/>
    <x v="0"/>
    <x v="0"/>
    <x v="1"/>
    <x v="0"/>
    <x v="0"/>
    <x v="0"/>
    <x v="0"/>
    <x v="0"/>
    <x v="0"/>
    <x v="0"/>
    <x v="0"/>
    <x v="0"/>
  </r>
  <r>
    <x v="547"/>
    <s v="RAMBABU GUPTA"/>
    <x v="7"/>
    <x v="0"/>
    <x v="2"/>
    <x v="1"/>
    <x v="0"/>
    <x v="1"/>
    <x v="0"/>
    <x v="0"/>
    <x v="1"/>
    <x v="0"/>
    <x v="0"/>
    <x v="0"/>
    <x v="0"/>
    <x v="0"/>
    <x v="0"/>
    <x v="0"/>
    <x v="0"/>
    <x v="0"/>
  </r>
  <r>
    <x v="548"/>
    <s v="RAMBINAYA MAHARA"/>
    <x v="5"/>
    <x v="0"/>
    <x v="1"/>
    <x v="1"/>
    <x v="0"/>
    <x v="1"/>
    <x v="0"/>
    <x v="0"/>
    <x v="1"/>
    <x v="0"/>
    <x v="0"/>
    <x v="0"/>
    <x v="0"/>
    <x v="0"/>
    <x v="0"/>
    <x v="0"/>
    <x v="0"/>
    <x v="0"/>
  </r>
  <r>
    <x v="549"/>
    <s v="ROSHAN KUMAR MISHRA"/>
    <x v="7"/>
    <x v="0"/>
    <x v="3"/>
    <x v="1"/>
    <x v="0"/>
    <x v="1"/>
    <x v="0"/>
    <x v="0"/>
    <x v="1"/>
    <x v="0"/>
    <x v="0"/>
    <x v="0"/>
    <x v="0"/>
    <x v="0"/>
    <x v="0"/>
    <x v="0"/>
    <x v="0"/>
    <x v="0"/>
  </r>
  <r>
    <x v="550"/>
    <s v="RUBINDRA SHARMA"/>
    <x v="6"/>
    <x v="0"/>
    <x v="1"/>
    <x v="1"/>
    <x v="0"/>
    <x v="1"/>
    <x v="0"/>
    <x v="0"/>
    <x v="1"/>
    <x v="0"/>
    <x v="0"/>
    <x v="0"/>
    <x v="0"/>
    <x v="0"/>
    <x v="0"/>
    <x v="0"/>
    <x v="0"/>
    <x v="0"/>
  </r>
  <r>
    <x v="551"/>
    <s v="SAILENDRA KUMAR ROY AMAT"/>
    <x v="6"/>
    <x v="0"/>
    <x v="3"/>
    <x v="1"/>
    <x v="0"/>
    <x v="1"/>
    <x v="0"/>
    <x v="0"/>
    <x v="1"/>
    <x v="0"/>
    <x v="0"/>
    <x v="0"/>
    <x v="0"/>
    <x v="0"/>
    <x v="0"/>
    <x v="0"/>
    <x v="0"/>
    <x v="0"/>
  </r>
  <r>
    <x v="552"/>
    <s v="SANDIP MAINALI"/>
    <x v="19"/>
    <x v="0"/>
    <x v="1"/>
    <x v="1"/>
    <x v="0"/>
    <x v="1"/>
    <x v="0"/>
    <x v="0"/>
    <x v="1"/>
    <x v="0"/>
    <x v="0"/>
    <x v="0"/>
    <x v="0"/>
    <x v="0"/>
    <x v="0"/>
    <x v="0"/>
    <x v="0"/>
    <x v="0"/>
  </r>
  <r>
    <x v="553"/>
    <s v="SANJAY KUMAR YADAV"/>
    <x v="6"/>
    <x v="0"/>
    <x v="1"/>
    <x v="1"/>
    <x v="0"/>
    <x v="0"/>
    <x v="0"/>
    <x v="0"/>
    <x v="1"/>
    <x v="0"/>
    <x v="0"/>
    <x v="0"/>
    <x v="0"/>
    <x v="0"/>
    <x v="0"/>
    <x v="0"/>
    <x v="0"/>
    <x v="0"/>
  </r>
  <r>
    <x v="554"/>
    <s v="SARJAN RAI"/>
    <x v="19"/>
    <x v="0"/>
    <x v="3"/>
    <x v="1"/>
    <x v="0"/>
    <x v="1"/>
    <x v="0"/>
    <x v="0"/>
    <x v="1"/>
    <x v="0"/>
    <x v="0"/>
    <x v="0"/>
    <x v="0"/>
    <x v="0"/>
    <x v="0"/>
    <x v="0"/>
    <x v="0"/>
    <x v="0"/>
  </r>
  <r>
    <x v="555"/>
    <s v="SAURAV BASNET"/>
    <x v="2"/>
    <x v="0"/>
    <x v="3"/>
    <x v="1"/>
    <x v="0"/>
    <x v="1"/>
    <x v="0"/>
    <x v="0"/>
    <x v="1"/>
    <x v="0"/>
    <x v="0"/>
    <x v="0"/>
    <x v="0"/>
    <x v="0"/>
    <x v="0"/>
    <x v="0"/>
    <x v="0"/>
    <x v="0"/>
  </r>
  <r>
    <x v="556"/>
    <s v="SHER BAHADUR DHUNGAL"/>
    <x v="6"/>
    <x v="0"/>
    <x v="2"/>
    <x v="1"/>
    <x v="0"/>
    <x v="1"/>
    <x v="0"/>
    <x v="0"/>
    <x v="1"/>
    <x v="0"/>
    <x v="0"/>
    <x v="0"/>
    <x v="0"/>
    <x v="0"/>
    <x v="0"/>
    <x v="0"/>
    <x v="0"/>
    <x v="0"/>
  </r>
  <r>
    <x v="557"/>
    <s v="SHIV NARAYAN SAH"/>
    <x v="6"/>
    <x v="0"/>
    <x v="1"/>
    <x v="1"/>
    <x v="0"/>
    <x v="1"/>
    <x v="0"/>
    <x v="0"/>
    <x v="1"/>
    <x v="0"/>
    <x v="0"/>
    <x v="0"/>
    <x v="0"/>
    <x v="0"/>
    <x v="0"/>
    <x v="0"/>
    <x v="0"/>
    <x v="0"/>
  </r>
  <r>
    <x v="558"/>
    <s v="SUDIP MAGAR"/>
    <x v="6"/>
    <x v="0"/>
    <x v="2"/>
    <x v="1"/>
    <x v="0"/>
    <x v="1"/>
    <x v="0"/>
    <x v="0"/>
    <x v="1"/>
    <x v="0"/>
    <x v="0"/>
    <x v="0"/>
    <x v="0"/>
    <x v="0"/>
    <x v="0"/>
    <x v="0"/>
    <x v="0"/>
    <x v="0"/>
  </r>
  <r>
    <x v="559"/>
    <s v="SURENDRA SINGH NAYAK"/>
    <x v="19"/>
    <x v="0"/>
    <x v="3"/>
    <x v="1"/>
    <x v="0"/>
    <x v="1"/>
    <x v="0"/>
    <x v="0"/>
    <x v="1"/>
    <x v="0"/>
    <x v="0"/>
    <x v="0"/>
    <x v="0"/>
    <x v="0"/>
    <x v="0"/>
    <x v="0"/>
    <x v="0"/>
    <x v="0"/>
  </r>
  <r>
    <x v="560"/>
    <s v="TAISH MUHAMMAD PATHAN"/>
    <x v="17"/>
    <x v="0"/>
    <x v="1"/>
    <x v="1"/>
    <x v="0"/>
    <x v="1"/>
    <x v="0"/>
    <x v="0"/>
    <x v="1"/>
    <x v="0"/>
    <x v="0"/>
    <x v="0"/>
    <x v="0"/>
    <x v="0"/>
    <x v="0"/>
    <x v="0"/>
    <x v="0"/>
    <x v="0"/>
  </r>
  <r>
    <x v="561"/>
    <s v="UPENDRA SAH BANIYA"/>
    <x v="7"/>
    <x v="0"/>
    <x v="2"/>
    <x v="1"/>
    <x v="0"/>
    <x v="1"/>
    <x v="0"/>
    <x v="0"/>
    <x v="1"/>
    <x v="0"/>
    <x v="0"/>
    <x v="0"/>
    <x v="0"/>
    <x v="0"/>
    <x v="0"/>
    <x v="0"/>
    <x v="0"/>
    <x v="0"/>
  </r>
  <r>
    <x v="562"/>
    <s v="MUHAMMAD AMIR BIN ZAINUDDIN"/>
    <x v="10"/>
    <x v="0"/>
    <x v="3"/>
    <x v="1"/>
    <x v="0"/>
    <x v="1"/>
    <x v="0"/>
    <x v="0"/>
    <x v="1"/>
    <x v="0"/>
    <x v="0"/>
    <x v="0"/>
    <x v="0"/>
    <x v="0"/>
    <x v="0"/>
    <x v="0"/>
    <x v="0"/>
    <x v="0"/>
  </r>
  <r>
    <x v="563"/>
    <s v="NUR SYAFIQAH BINTI MAT RAPIE"/>
    <x v="13"/>
    <x v="1"/>
    <x v="1"/>
    <x v="1"/>
    <x v="0"/>
    <x v="1"/>
    <x v="0"/>
    <x v="0"/>
    <x v="0"/>
    <x v="0"/>
    <x v="0"/>
    <x v="0"/>
    <x v="0"/>
    <x v="0"/>
    <x v="0"/>
    <x v="0"/>
    <x v="0"/>
    <x v="0"/>
  </r>
  <r>
    <x v="564"/>
    <s v="NURUL NADHIRA BINTI ZAHALAN"/>
    <x v="16"/>
    <x v="1"/>
    <x v="3"/>
    <x v="1"/>
    <x v="0"/>
    <x v="1"/>
    <x v="0"/>
    <x v="0"/>
    <x v="1"/>
    <x v="0"/>
    <x v="0"/>
    <x v="0"/>
    <x v="0"/>
    <x v="0"/>
    <x v="0"/>
    <x v="0"/>
    <x v="0"/>
    <x v="0"/>
  </r>
  <r>
    <x v="565"/>
    <s v="MUHAMAD ZAHID BIN ISMAIL"/>
    <x v="0"/>
    <x v="0"/>
    <x v="1"/>
    <x v="1"/>
    <x v="0"/>
    <x v="1"/>
    <x v="0"/>
    <x v="0"/>
    <x v="1"/>
    <x v="0"/>
    <x v="0"/>
    <x v="0"/>
    <x v="0"/>
    <x v="0"/>
    <x v="0"/>
    <x v="0"/>
    <x v="0"/>
    <x v="0"/>
  </r>
  <r>
    <x v="566"/>
    <s v="INTAN DEWI MELINA BINTI SARMAN SIREGAR"/>
    <x v="16"/>
    <x v="1"/>
    <x v="2"/>
    <x v="1"/>
    <x v="0"/>
    <x v="1"/>
    <x v="0"/>
    <x v="0"/>
    <x v="1"/>
    <x v="0"/>
    <x v="0"/>
    <x v="0"/>
    <x v="0"/>
    <x v="0"/>
    <x v="0"/>
    <x v="0"/>
    <x v="0"/>
    <x v="0"/>
  </r>
  <r>
    <x v="567"/>
    <s v="NAJATUL NAJWA BINTI HASHIM"/>
    <x v="19"/>
    <x v="1"/>
    <x v="2"/>
    <x v="1"/>
    <x v="0"/>
    <x v="1"/>
    <x v="0"/>
    <x v="0"/>
    <x v="1"/>
    <x v="0"/>
    <x v="0"/>
    <x v="0"/>
    <x v="0"/>
    <x v="0"/>
    <x v="0"/>
    <x v="0"/>
    <x v="0"/>
    <x v="0"/>
  </r>
  <r>
    <x v="568"/>
    <s v="MUHAMAD SHAIFUL AZRUL BIN SAMSURI"/>
    <x v="0"/>
    <x v="0"/>
    <x v="3"/>
    <x v="1"/>
    <x v="0"/>
    <x v="1"/>
    <x v="1"/>
    <x v="0"/>
    <x v="1"/>
    <x v="0"/>
    <x v="0"/>
    <x v="0"/>
    <x v="0"/>
    <x v="0"/>
    <x v="0"/>
    <x v="0"/>
    <x v="0"/>
    <x v="0"/>
  </r>
  <r>
    <x v="569"/>
    <s v="NUR HAFIZAH FARHANA BINTI BAHMAN"/>
    <x v="16"/>
    <x v="1"/>
    <x v="1"/>
    <x v="1"/>
    <x v="0"/>
    <x v="1"/>
    <x v="0"/>
    <x v="0"/>
    <x v="1"/>
    <x v="0"/>
    <x v="0"/>
    <x v="0"/>
    <x v="0"/>
    <x v="0"/>
    <x v="0"/>
    <x v="0"/>
    <x v="0"/>
    <x v="0"/>
  </r>
  <r>
    <x v="570"/>
    <s v="AZZATUL ALIANA BINTI AHMAD SHUKRI"/>
    <x v="19"/>
    <x v="1"/>
    <x v="1"/>
    <x v="1"/>
    <x v="0"/>
    <x v="1"/>
    <x v="0"/>
    <x v="0"/>
    <x v="1"/>
    <x v="0"/>
    <x v="0"/>
    <x v="0"/>
    <x v="0"/>
    <x v="0"/>
    <x v="0"/>
    <x v="0"/>
    <x v="0"/>
    <x v="0"/>
  </r>
  <r>
    <x v="571"/>
    <s v="MUHAMMAD RAQIB BIN OTHMAN"/>
    <x v="16"/>
    <x v="0"/>
    <x v="1"/>
    <x v="0"/>
    <x v="1"/>
    <x v="1"/>
    <x v="0"/>
    <x v="0"/>
    <x v="1"/>
    <x v="0"/>
    <x v="0"/>
    <x v="0"/>
    <x v="0"/>
    <x v="0"/>
    <x v="0"/>
    <x v="0"/>
    <x v="0"/>
    <x v="0"/>
  </r>
  <r>
    <x v="572"/>
    <s v="MUHAMMAD NUR AFIF HAZIM BIN NOOR APANDI"/>
    <x v="18"/>
    <x v="0"/>
    <x v="2"/>
    <x v="1"/>
    <x v="0"/>
    <x v="1"/>
    <x v="0"/>
    <x v="0"/>
    <x v="1"/>
    <x v="0"/>
    <x v="0"/>
    <x v="0"/>
    <x v="0"/>
    <x v="0"/>
    <x v="0"/>
    <x v="0"/>
    <x v="0"/>
    <x v="0"/>
  </r>
  <r>
    <x v="573"/>
    <s v="NURUL ANIS BINTI MOHD ROZI"/>
    <x v="7"/>
    <x v="1"/>
    <x v="3"/>
    <x v="1"/>
    <x v="0"/>
    <x v="1"/>
    <x v="0"/>
    <x v="0"/>
    <x v="1"/>
    <x v="0"/>
    <x v="0"/>
    <x v="0"/>
    <x v="0"/>
    <x v="0"/>
    <x v="0"/>
    <x v="0"/>
    <x v="0"/>
    <x v="0"/>
  </r>
  <r>
    <x v="574"/>
    <s v="ZARUL ASWAD BIN JAMALUDDIN"/>
    <x v="17"/>
    <x v="0"/>
    <x v="1"/>
    <x v="1"/>
    <x v="0"/>
    <x v="1"/>
    <x v="0"/>
    <x v="0"/>
    <x v="1"/>
    <x v="0"/>
    <x v="0"/>
    <x v="0"/>
    <x v="0"/>
    <x v="0"/>
    <x v="0"/>
    <x v="0"/>
    <x v="0"/>
    <x v="0"/>
  </r>
  <r>
    <x v="575"/>
    <s v="MUHAMAD SHAHRUL IMAN BIN MAT ISA"/>
    <x v="19"/>
    <x v="0"/>
    <x v="2"/>
    <x v="1"/>
    <x v="0"/>
    <x v="1"/>
    <x v="0"/>
    <x v="0"/>
    <x v="1"/>
    <x v="0"/>
    <x v="0"/>
    <x v="0"/>
    <x v="0"/>
    <x v="0"/>
    <x v="0"/>
    <x v="0"/>
    <x v="0"/>
    <x v="0"/>
  </r>
  <r>
    <x v="576"/>
    <s v="MUHAMMAD NUR IKHMAN BIN AZMAN"/>
    <x v="9"/>
    <x v="0"/>
    <x v="1"/>
    <x v="1"/>
    <x v="0"/>
    <x v="1"/>
    <x v="0"/>
    <x v="0"/>
    <x v="1"/>
    <x v="0"/>
    <x v="0"/>
    <x v="0"/>
    <x v="0"/>
    <x v="0"/>
    <x v="0"/>
    <x v="0"/>
    <x v="0"/>
    <x v="0"/>
  </r>
  <r>
    <x v="577"/>
    <s v="AFIQ ADLI BIN ZAMZURI"/>
    <x v="18"/>
    <x v="0"/>
    <x v="2"/>
    <x v="1"/>
    <x v="0"/>
    <x v="1"/>
    <x v="0"/>
    <x v="0"/>
    <x v="1"/>
    <x v="0"/>
    <x v="0"/>
    <x v="0"/>
    <x v="0"/>
    <x v="0"/>
    <x v="0"/>
    <x v="0"/>
    <x v="0"/>
    <x v="0"/>
  </r>
  <r>
    <x v="578"/>
    <s v="MOHAMAD ZULKHAIRI BIN SULAIMAN"/>
    <x v="16"/>
    <x v="0"/>
    <x v="3"/>
    <x v="1"/>
    <x v="0"/>
    <x v="1"/>
    <x v="0"/>
    <x v="0"/>
    <x v="1"/>
    <x v="0"/>
    <x v="0"/>
    <x v="0"/>
    <x v="0"/>
    <x v="0"/>
    <x v="0"/>
    <x v="0"/>
    <x v="0"/>
    <x v="0"/>
  </r>
  <r>
    <x v="579"/>
    <s v="MOHAMED RIDZUAN BIN HUSSAIN"/>
    <x v="19"/>
    <x v="0"/>
    <x v="3"/>
    <x v="1"/>
    <x v="0"/>
    <x v="1"/>
    <x v="0"/>
    <x v="0"/>
    <x v="1"/>
    <x v="0"/>
    <x v="0"/>
    <x v="0"/>
    <x v="0"/>
    <x v="0"/>
    <x v="0"/>
    <x v="0"/>
    <x v="0"/>
    <x v="0"/>
  </r>
  <r>
    <x v="580"/>
    <s v="MUHAMMAD ZAINUL ASYRAF BIN AZLAN"/>
    <x v="17"/>
    <x v="0"/>
    <x v="2"/>
    <x v="1"/>
    <x v="0"/>
    <x v="1"/>
    <x v="0"/>
    <x v="0"/>
    <x v="1"/>
    <x v="0"/>
    <x v="0"/>
    <x v="0"/>
    <x v="0"/>
    <x v="0"/>
    <x v="0"/>
    <x v="0"/>
    <x v="0"/>
    <x v="0"/>
  </r>
  <r>
    <x v="581"/>
    <s v="MUHAMMAD SAFIQ BIN RAMLI"/>
    <x v="6"/>
    <x v="0"/>
    <x v="2"/>
    <x v="1"/>
    <x v="0"/>
    <x v="1"/>
    <x v="0"/>
    <x v="0"/>
    <x v="1"/>
    <x v="0"/>
    <x v="0"/>
    <x v="0"/>
    <x v="0"/>
    <x v="0"/>
    <x v="0"/>
    <x v="0"/>
    <x v="0"/>
    <x v="0"/>
  </r>
  <r>
    <x v="582"/>
    <s v="MOHAMAD ASRAF BIN ABU HASAN"/>
    <x v="6"/>
    <x v="0"/>
    <x v="2"/>
    <x v="1"/>
    <x v="0"/>
    <x v="1"/>
    <x v="0"/>
    <x v="0"/>
    <x v="1"/>
    <x v="0"/>
    <x v="0"/>
    <x v="0"/>
    <x v="0"/>
    <x v="0"/>
    <x v="0"/>
    <x v="0"/>
    <x v="0"/>
    <x v="0"/>
  </r>
  <r>
    <x v="583"/>
    <s v="MUHAMMAD MUSYAHIID MUSIKH BIN AMRAN"/>
    <x v="6"/>
    <x v="0"/>
    <x v="2"/>
    <x v="1"/>
    <x v="0"/>
    <x v="1"/>
    <x v="0"/>
    <x v="0"/>
    <x v="1"/>
    <x v="0"/>
    <x v="0"/>
    <x v="0"/>
    <x v="0"/>
    <x v="0"/>
    <x v="0"/>
    <x v="0"/>
    <x v="0"/>
    <x v="0"/>
  </r>
  <r>
    <x v="584"/>
    <s v="MUHAMMAD AIDIL BIN ZAKARIA"/>
    <x v="2"/>
    <x v="0"/>
    <x v="1"/>
    <x v="1"/>
    <x v="0"/>
    <x v="1"/>
    <x v="0"/>
    <x v="0"/>
    <x v="1"/>
    <x v="0"/>
    <x v="0"/>
    <x v="0"/>
    <x v="0"/>
    <x v="0"/>
    <x v="0"/>
    <x v="0"/>
    <x v="0"/>
    <x v="0"/>
  </r>
  <r>
    <x v="585"/>
    <s v="MUHAMMAD ZAKI BIN MAT SALLEH"/>
    <x v="2"/>
    <x v="0"/>
    <x v="2"/>
    <x v="1"/>
    <x v="0"/>
    <x v="1"/>
    <x v="0"/>
    <x v="0"/>
    <x v="1"/>
    <x v="0"/>
    <x v="0"/>
    <x v="0"/>
    <x v="0"/>
    <x v="0"/>
    <x v="0"/>
    <x v="0"/>
    <x v="0"/>
    <x v="0"/>
  </r>
  <r>
    <x v="586"/>
    <s v="AHMAD RAFIE BIN HUSEN"/>
    <x v="16"/>
    <x v="0"/>
    <x v="2"/>
    <x v="1"/>
    <x v="0"/>
    <x v="1"/>
    <x v="0"/>
    <x v="0"/>
    <x v="1"/>
    <x v="0"/>
    <x v="0"/>
    <x v="0"/>
    <x v="0"/>
    <x v="0"/>
    <x v="0"/>
    <x v="0"/>
    <x v="0"/>
    <x v="0"/>
  </r>
  <r>
    <x v="587"/>
    <s v="SALEH BIN AHMAD FADZIL"/>
    <x v="6"/>
    <x v="0"/>
    <x v="3"/>
    <x v="1"/>
    <x v="0"/>
    <x v="1"/>
    <x v="0"/>
    <x v="0"/>
    <x v="1"/>
    <x v="0"/>
    <x v="0"/>
    <x v="0"/>
    <x v="0"/>
    <x v="0"/>
    <x v="0"/>
    <x v="0"/>
    <x v="0"/>
    <x v="0"/>
  </r>
  <r>
    <x v="588"/>
    <s v="NUR NABILAH HUSNA BINTI NOOR APANDI"/>
    <x v="5"/>
    <x v="1"/>
    <x v="0"/>
    <x v="0"/>
    <x v="0"/>
    <x v="1"/>
    <x v="0"/>
    <x v="0"/>
    <x v="1"/>
    <x v="0"/>
    <x v="0"/>
    <x v="0"/>
    <x v="0"/>
    <x v="0"/>
    <x v="0"/>
    <x v="0"/>
    <x v="0"/>
    <x v="0"/>
  </r>
  <r>
    <x v="589"/>
    <s v="FARHANA BINTI SANUDDIN"/>
    <x v="16"/>
    <x v="1"/>
    <x v="1"/>
    <x v="1"/>
    <x v="0"/>
    <x v="1"/>
    <x v="0"/>
    <x v="0"/>
    <x v="1"/>
    <x v="0"/>
    <x v="0"/>
    <x v="0"/>
    <x v="0"/>
    <x v="0"/>
    <x v="0"/>
    <x v="0"/>
    <x v="0"/>
    <x v="0"/>
  </r>
  <r>
    <x v="590"/>
    <s v="SITI NUR NAJIHAH BINTI MAHANI"/>
    <x v="9"/>
    <x v="1"/>
    <x v="1"/>
    <x v="1"/>
    <x v="0"/>
    <x v="1"/>
    <x v="0"/>
    <x v="0"/>
    <x v="1"/>
    <x v="0"/>
    <x v="0"/>
    <x v="0"/>
    <x v="0"/>
    <x v="0"/>
    <x v="0"/>
    <x v="0"/>
    <x v="0"/>
    <x v="0"/>
  </r>
  <r>
    <x v="591"/>
    <s v="MOHAMAD FIRDAUS BIN ISMAIL"/>
    <x v="12"/>
    <x v="0"/>
    <x v="2"/>
    <x v="1"/>
    <x v="0"/>
    <x v="1"/>
    <x v="0"/>
    <x v="0"/>
    <x v="1"/>
    <x v="0"/>
    <x v="0"/>
    <x v="0"/>
    <x v="0"/>
    <x v="0"/>
    <x v="0"/>
    <x v="0"/>
    <x v="0"/>
    <x v="0"/>
  </r>
  <r>
    <x v="592"/>
    <s v="NORZARIFAH SYAZWANI BINTI NORDIN"/>
    <x v="16"/>
    <x v="1"/>
    <x v="2"/>
    <x v="1"/>
    <x v="0"/>
    <x v="1"/>
    <x v="0"/>
    <x v="0"/>
    <x v="1"/>
    <x v="0"/>
    <x v="0"/>
    <x v="0"/>
    <x v="0"/>
    <x v="0"/>
    <x v="0"/>
    <x v="0"/>
    <x v="0"/>
    <x v="0"/>
  </r>
  <r>
    <x v="593"/>
    <s v="MUHAMMAD AMIRUL AKMAL BIN MOHAMAD SABRI"/>
    <x v="11"/>
    <x v="0"/>
    <x v="1"/>
    <x v="1"/>
    <x v="0"/>
    <x v="1"/>
    <x v="0"/>
    <x v="0"/>
    <x v="1"/>
    <x v="0"/>
    <x v="0"/>
    <x v="0"/>
    <x v="0"/>
    <x v="0"/>
    <x v="0"/>
    <x v="0"/>
    <x v="0"/>
    <x v="0"/>
  </r>
  <r>
    <x v="594"/>
    <s v="THIBBEN RAJ A/L TANIMALEI"/>
    <x v="11"/>
    <x v="0"/>
    <x v="2"/>
    <x v="1"/>
    <x v="0"/>
    <x v="1"/>
    <x v="0"/>
    <x v="0"/>
    <x v="0"/>
    <x v="0"/>
    <x v="0"/>
    <x v="0"/>
    <x v="0"/>
    <x v="0"/>
    <x v="0"/>
    <x v="0"/>
    <x v="0"/>
    <x v="0"/>
  </r>
  <r>
    <x v="595"/>
    <s v="ABU BAKAR BIN ISOBALI"/>
    <x v="11"/>
    <x v="0"/>
    <x v="1"/>
    <x v="1"/>
    <x v="0"/>
    <x v="1"/>
    <x v="0"/>
    <x v="0"/>
    <x v="1"/>
    <x v="0"/>
    <x v="0"/>
    <x v="0"/>
    <x v="0"/>
    <x v="0"/>
    <x v="0"/>
    <x v="0"/>
    <x v="0"/>
    <x v="0"/>
  </r>
  <r>
    <x v="596"/>
    <s v="MUHAMMAD NAIM HAIKAL BIN MOHD HAFID"/>
    <x v="10"/>
    <x v="0"/>
    <x v="4"/>
    <x v="0"/>
    <x v="0"/>
    <x v="1"/>
    <x v="0"/>
    <x v="0"/>
    <x v="0"/>
    <x v="0"/>
    <x v="0"/>
    <x v="0"/>
    <x v="0"/>
    <x v="0"/>
    <x v="0"/>
    <x v="0"/>
    <x v="0"/>
    <x v="0"/>
  </r>
  <r>
    <x v="597"/>
    <s v="JEYANISWARAN A/L SUBRAMANIAM"/>
    <x v="10"/>
    <x v="0"/>
    <x v="2"/>
    <x v="1"/>
    <x v="0"/>
    <x v="1"/>
    <x v="0"/>
    <x v="0"/>
    <x v="0"/>
    <x v="0"/>
    <x v="0"/>
    <x v="0"/>
    <x v="0"/>
    <x v="0"/>
    <x v="0"/>
    <x v="0"/>
    <x v="0"/>
    <x v="0"/>
  </r>
  <r>
    <x v="598"/>
    <s v="KHAIRIL ANAS BIN MOHD YUSLI"/>
    <x v="5"/>
    <x v="0"/>
    <x v="2"/>
    <x v="1"/>
    <x v="0"/>
    <x v="1"/>
    <x v="0"/>
    <x v="0"/>
    <x v="1"/>
    <x v="0"/>
    <x v="0"/>
    <x v="0"/>
    <x v="0"/>
    <x v="0"/>
    <x v="0"/>
    <x v="0"/>
    <x v="0"/>
    <x v="0"/>
  </r>
  <r>
    <x v="599"/>
    <s v="AMIR HUSAINI BIN MOHD ZUBIR"/>
    <x v="5"/>
    <x v="0"/>
    <x v="1"/>
    <x v="1"/>
    <x v="0"/>
    <x v="1"/>
    <x v="0"/>
    <x v="0"/>
    <x v="0"/>
    <x v="0"/>
    <x v="0"/>
    <x v="0"/>
    <x v="0"/>
    <x v="0"/>
    <x v="0"/>
    <x v="0"/>
    <x v="0"/>
    <x v="0"/>
  </r>
  <r>
    <x v="600"/>
    <s v="ASYRANI BIN ABDUL AZIZ"/>
    <x v="5"/>
    <x v="0"/>
    <x v="0"/>
    <x v="0"/>
    <x v="0"/>
    <x v="1"/>
    <x v="0"/>
    <x v="0"/>
    <x v="1"/>
    <x v="0"/>
    <x v="0"/>
    <x v="0"/>
    <x v="0"/>
    <x v="0"/>
    <x v="0"/>
    <x v="0"/>
    <x v="0"/>
    <x v="0"/>
  </r>
  <r>
    <x v="601"/>
    <s v="AIN NUR SYAHIELA BINTI AHMAD"/>
    <x v="16"/>
    <x v="1"/>
    <x v="1"/>
    <x v="1"/>
    <x v="0"/>
    <x v="0"/>
    <x v="0"/>
    <x v="0"/>
    <x v="1"/>
    <x v="0"/>
    <x v="0"/>
    <x v="0"/>
    <x v="0"/>
    <x v="0"/>
    <x v="0"/>
    <x v="0"/>
    <x v="0"/>
    <x v="0"/>
  </r>
  <r>
    <x v="602"/>
    <s v="MOHAMED ALIFF IQWAN BIN MOHAMED GHANI"/>
    <x v="4"/>
    <x v="0"/>
    <x v="0"/>
    <x v="0"/>
    <x v="0"/>
    <x v="1"/>
    <x v="0"/>
    <x v="0"/>
    <x v="0"/>
    <x v="0"/>
    <x v="0"/>
    <x v="0"/>
    <x v="0"/>
    <x v="0"/>
    <x v="0"/>
    <x v="0"/>
    <x v="0"/>
    <x v="0"/>
  </r>
  <r>
    <x v="603"/>
    <s v="HAFIFUDDIN BIN MOHAMAD SALLEH"/>
    <x v="0"/>
    <x v="0"/>
    <x v="2"/>
    <x v="1"/>
    <x v="0"/>
    <x v="1"/>
    <x v="0"/>
    <x v="0"/>
    <x v="1"/>
    <x v="0"/>
    <x v="0"/>
    <x v="0"/>
    <x v="0"/>
    <x v="0"/>
    <x v="0"/>
    <x v="0"/>
    <x v="0"/>
    <x v="0"/>
  </r>
  <r>
    <x v="604"/>
    <s v="MUHAMAD NIZAM BIN MOHD SAMSUDDIN"/>
    <x v="0"/>
    <x v="0"/>
    <x v="3"/>
    <x v="1"/>
    <x v="0"/>
    <x v="1"/>
    <x v="0"/>
    <x v="0"/>
    <x v="1"/>
    <x v="0"/>
    <x v="0"/>
    <x v="0"/>
    <x v="0"/>
    <x v="0"/>
    <x v="0"/>
    <x v="0"/>
    <x v="0"/>
    <x v="0"/>
  </r>
  <r>
    <x v="605"/>
    <s v="DANUSH A/L LOGANATHAN"/>
    <x v="0"/>
    <x v="0"/>
    <x v="1"/>
    <x v="1"/>
    <x v="0"/>
    <x v="1"/>
    <x v="0"/>
    <x v="0"/>
    <x v="1"/>
    <x v="0"/>
    <x v="0"/>
    <x v="0"/>
    <x v="0"/>
    <x v="0"/>
    <x v="0"/>
    <x v="0"/>
    <x v="0"/>
    <x v="0"/>
  </r>
  <r>
    <x v="606"/>
    <s v="NUR NAJIHAH BINTI MALIK"/>
    <x v="19"/>
    <x v="1"/>
    <x v="1"/>
    <x v="1"/>
    <x v="0"/>
    <x v="0"/>
    <x v="0"/>
    <x v="0"/>
    <x v="1"/>
    <x v="0"/>
    <x v="0"/>
    <x v="0"/>
    <x v="0"/>
    <x v="0"/>
    <x v="0"/>
    <x v="0"/>
    <x v="0"/>
    <x v="0"/>
  </r>
  <r>
    <x v="607"/>
    <s v="MUHAMMAD SYITS BIN MAT SANI"/>
    <x v="19"/>
    <x v="0"/>
    <x v="1"/>
    <x v="1"/>
    <x v="0"/>
    <x v="1"/>
    <x v="0"/>
    <x v="0"/>
    <x v="1"/>
    <x v="0"/>
    <x v="0"/>
    <x v="0"/>
    <x v="0"/>
    <x v="0"/>
    <x v="0"/>
    <x v="0"/>
    <x v="0"/>
    <x v="0"/>
  </r>
  <r>
    <x v="608"/>
    <s v="MOHAMAD FAIZAL IKMAL BIN MOHAMAD SALLEH"/>
    <x v="7"/>
    <x v="0"/>
    <x v="1"/>
    <x v="1"/>
    <x v="1"/>
    <x v="1"/>
    <x v="0"/>
    <x v="0"/>
    <x v="1"/>
    <x v="0"/>
    <x v="0"/>
    <x v="0"/>
    <x v="0"/>
    <x v="0"/>
    <x v="0"/>
    <x v="0"/>
    <x v="0"/>
    <x v="0"/>
  </r>
  <r>
    <x v="609"/>
    <s v="MUHAMMAD ALIFF DANIEL BIN FAIEZAL"/>
    <x v="7"/>
    <x v="0"/>
    <x v="3"/>
    <x v="1"/>
    <x v="0"/>
    <x v="1"/>
    <x v="0"/>
    <x v="0"/>
    <x v="1"/>
    <x v="0"/>
    <x v="0"/>
    <x v="0"/>
    <x v="0"/>
    <x v="0"/>
    <x v="0"/>
    <x v="0"/>
    <x v="0"/>
    <x v="0"/>
  </r>
  <r>
    <x v="610"/>
    <s v="NUR YUSRAISHA AIDA BINTI YUSOFF"/>
    <x v="16"/>
    <x v="1"/>
    <x v="3"/>
    <x v="1"/>
    <x v="0"/>
    <x v="1"/>
    <x v="0"/>
    <x v="0"/>
    <x v="0"/>
    <x v="0"/>
    <x v="0"/>
    <x v="0"/>
    <x v="0"/>
    <x v="0"/>
    <x v="0"/>
    <x v="0"/>
    <x v="0"/>
    <x v="0"/>
  </r>
  <r>
    <x v="611"/>
    <s v="MOHAMAD NAZIM BIN JAMIL HAJAR"/>
    <x v="8"/>
    <x v="0"/>
    <x v="2"/>
    <x v="1"/>
    <x v="0"/>
    <x v="1"/>
    <x v="0"/>
    <x v="0"/>
    <x v="1"/>
    <x v="0"/>
    <x v="0"/>
    <x v="0"/>
    <x v="0"/>
    <x v="0"/>
    <x v="0"/>
    <x v="0"/>
    <x v="0"/>
    <x v="0"/>
  </r>
  <r>
    <x v="612"/>
    <s v="FAZRUL FAEZ BIN KAMARULZAMAN"/>
    <x v="8"/>
    <x v="0"/>
    <x v="3"/>
    <x v="1"/>
    <x v="0"/>
    <x v="1"/>
    <x v="0"/>
    <x v="0"/>
    <x v="1"/>
    <x v="0"/>
    <x v="0"/>
    <x v="0"/>
    <x v="0"/>
    <x v="0"/>
    <x v="0"/>
    <x v="0"/>
    <x v="0"/>
    <x v="0"/>
  </r>
  <r>
    <x v="613"/>
    <s v="WAN SYARMA ADILA BINTI WAN ISMAIL"/>
    <x v="16"/>
    <x v="1"/>
    <x v="2"/>
    <x v="1"/>
    <x v="0"/>
    <x v="1"/>
    <x v="0"/>
    <x v="0"/>
    <x v="1"/>
    <x v="0"/>
    <x v="0"/>
    <x v="0"/>
    <x v="0"/>
    <x v="0"/>
    <x v="0"/>
    <x v="0"/>
    <x v="0"/>
    <x v="0"/>
  </r>
  <r>
    <x v="614"/>
    <s v="MOHAMMAD FAIZMI BIN AHMAD C B"/>
    <x v="2"/>
    <x v="0"/>
    <x v="3"/>
    <x v="1"/>
    <x v="0"/>
    <x v="1"/>
    <x v="0"/>
    <x v="0"/>
    <x v="1"/>
    <x v="0"/>
    <x v="0"/>
    <x v="0"/>
    <x v="0"/>
    <x v="0"/>
    <x v="0"/>
    <x v="0"/>
    <x v="0"/>
    <x v="0"/>
  </r>
  <r>
    <x v="615"/>
    <s v="ALHANA PUTERI BINTI SHAMSUDDIN"/>
    <x v="21"/>
    <x v="1"/>
    <x v="2"/>
    <x v="1"/>
    <x v="0"/>
    <x v="1"/>
    <x v="0"/>
    <x v="0"/>
    <x v="1"/>
    <x v="0"/>
    <x v="0"/>
    <x v="0"/>
    <x v="0"/>
    <x v="0"/>
    <x v="0"/>
    <x v="0"/>
    <x v="0"/>
    <x v="0"/>
  </r>
  <r>
    <x v="616"/>
    <s v="MUHAMMAD IQBAL BIN MHD FAZDLEE"/>
    <x v="6"/>
    <x v="0"/>
    <x v="3"/>
    <x v="1"/>
    <x v="0"/>
    <x v="1"/>
    <x v="0"/>
    <x v="0"/>
    <x v="1"/>
    <x v="0"/>
    <x v="0"/>
    <x v="0"/>
    <x v="0"/>
    <x v="0"/>
    <x v="0"/>
    <x v="0"/>
    <x v="0"/>
    <x v="0"/>
  </r>
  <r>
    <x v="617"/>
    <s v="NURUL ASMA' BINTI AHMAD NASARUDDIN"/>
    <x v="6"/>
    <x v="1"/>
    <x v="0"/>
    <x v="0"/>
    <x v="0"/>
    <x v="1"/>
    <x v="0"/>
    <x v="0"/>
    <x v="1"/>
    <x v="0"/>
    <x v="0"/>
    <x v="0"/>
    <x v="0"/>
    <x v="0"/>
    <x v="0"/>
    <x v="0"/>
    <x v="0"/>
    <x v="0"/>
  </r>
  <r>
    <x v="618"/>
    <s v="ABDUL SAMAD BIN JAAFAR"/>
    <x v="6"/>
    <x v="0"/>
    <x v="2"/>
    <x v="1"/>
    <x v="0"/>
    <x v="1"/>
    <x v="0"/>
    <x v="0"/>
    <x v="1"/>
    <x v="0"/>
    <x v="0"/>
    <x v="0"/>
    <x v="0"/>
    <x v="0"/>
    <x v="0"/>
    <x v="0"/>
    <x v="0"/>
    <x v="0"/>
  </r>
  <r>
    <x v="619"/>
    <s v="MUHAMMAD SUFIAN BIN SEDEK"/>
    <x v="6"/>
    <x v="0"/>
    <x v="0"/>
    <x v="0"/>
    <x v="0"/>
    <x v="1"/>
    <x v="1"/>
    <x v="1"/>
    <x v="0"/>
    <x v="0"/>
    <x v="0"/>
    <x v="0"/>
    <x v="0"/>
    <x v="0"/>
    <x v="0"/>
    <x v="0"/>
    <x v="0"/>
    <x v="0"/>
  </r>
  <r>
    <x v="620"/>
    <s v="MUHAMMAD AMIRUL MUSTAQIM BIN MUHAMAD A'DLI"/>
    <x v="6"/>
    <x v="0"/>
    <x v="3"/>
    <x v="1"/>
    <x v="0"/>
    <x v="1"/>
    <x v="0"/>
    <x v="0"/>
    <x v="1"/>
    <x v="0"/>
    <x v="0"/>
    <x v="0"/>
    <x v="0"/>
    <x v="0"/>
    <x v="0"/>
    <x v="0"/>
    <x v="0"/>
    <x v="0"/>
  </r>
  <r>
    <x v="621"/>
    <s v="NURUL SHAHIRA BINTI MOHD YUSOF"/>
    <x v="18"/>
    <x v="1"/>
    <x v="2"/>
    <x v="1"/>
    <x v="0"/>
    <x v="1"/>
    <x v="0"/>
    <x v="0"/>
    <x v="1"/>
    <x v="0"/>
    <x v="0"/>
    <x v="0"/>
    <x v="0"/>
    <x v="0"/>
    <x v="0"/>
    <x v="0"/>
    <x v="0"/>
    <x v="0"/>
  </r>
  <r>
    <x v="622"/>
    <s v="ADIBA BINTI SABRI"/>
    <x v="13"/>
    <x v="1"/>
    <x v="2"/>
    <x v="1"/>
    <x v="0"/>
    <x v="1"/>
    <x v="0"/>
    <x v="0"/>
    <x v="1"/>
    <x v="0"/>
    <x v="0"/>
    <x v="0"/>
    <x v="0"/>
    <x v="0"/>
    <x v="0"/>
    <x v="0"/>
    <x v="0"/>
    <x v="0"/>
  </r>
  <r>
    <x v="623"/>
    <s v="MUHAMAD FARIZOL HAFIZ BIN AMIRUDDIN"/>
    <x v="11"/>
    <x v="0"/>
    <x v="2"/>
    <x v="1"/>
    <x v="0"/>
    <x v="1"/>
    <x v="0"/>
    <x v="0"/>
    <x v="0"/>
    <x v="0"/>
    <x v="0"/>
    <x v="0"/>
    <x v="0"/>
    <x v="0"/>
    <x v="0"/>
    <x v="0"/>
    <x v="0"/>
    <x v="0"/>
  </r>
  <r>
    <x v="624"/>
    <s v="NUR HAZWANI BINTI CHE HASHIM"/>
    <x v="1"/>
    <x v="1"/>
    <x v="2"/>
    <x v="1"/>
    <x v="0"/>
    <x v="1"/>
    <x v="0"/>
    <x v="0"/>
    <x v="1"/>
    <x v="0"/>
    <x v="0"/>
    <x v="0"/>
    <x v="0"/>
    <x v="0"/>
    <x v="0"/>
    <x v="0"/>
    <x v="0"/>
    <x v="0"/>
  </r>
  <r>
    <x v="625"/>
    <s v="NUR SUHANA BINTI ZAHARIN"/>
    <x v="3"/>
    <x v="1"/>
    <x v="0"/>
    <x v="0"/>
    <x v="1"/>
    <x v="0"/>
    <x v="1"/>
    <x v="1"/>
    <x v="1"/>
    <x v="0"/>
    <x v="0"/>
    <x v="0"/>
    <x v="0"/>
    <x v="0"/>
    <x v="0"/>
    <x v="0"/>
    <x v="0"/>
    <x v="0"/>
  </r>
  <r>
    <x v="626"/>
    <s v="MUHAMMAD HARITH BIN AZMAN"/>
    <x v="6"/>
    <x v="0"/>
    <x v="2"/>
    <x v="1"/>
    <x v="0"/>
    <x v="1"/>
    <x v="0"/>
    <x v="0"/>
    <x v="1"/>
    <x v="0"/>
    <x v="0"/>
    <x v="0"/>
    <x v="0"/>
    <x v="0"/>
    <x v="0"/>
    <x v="0"/>
    <x v="0"/>
    <x v="0"/>
  </r>
  <r>
    <x v="627"/>
    <s v="MOHAMAD NAIM BIN ARBA'AI"/>
    <x v="0"/>
    <x v="0"/>
    <x v="1"/>
    <x v="1"/>
    <x v="0"/>
    <x v="1"/>
    <x v="0"/>
    <x v="0"/>
    <x v="1"/>
    <x v="0"/>
    <x v="0"/>
    <x v="0"/>
    <x v="0"/>
    <x v="0"/>
    <x v="0"/>
    <x v="0"/>
    <x v="0"/>
    <x v="0"/>
  </r>
  <r>
    <x v="628"/>
    <s v="MUHAMMAD FAKHRUL AZIM BIN MOHD GHAZALI"/>
    <x v="0"/>
    <x v="0"/>
    <x v="2"/>
    <x v="1"/>
    <x v="0"/>
    <x v="1"/>
    <x v="0"/>
    <x v="0"/>
    <x v="1"/>
    <x v="0"/>
    <x v="0"/>
    <x v="0"/>
    <x v="0"/>
    <x v="0"/>
    <x v="0"/>
    <x v="0"/>
    <x v="0"/>
    <x v="0"/>
  </r>
  <r>
    <x v="629"/>
    <s v="ZAIRIL HAIKAL BIN ABDUL MANAF"/>
    <x v="14"/>
    <x v="0"/>
    <x v="2"/>
    <x v="1"/>
    <x v="0"/>
    <x v="1"/>
    <x v="0"/>
    <x v="0"/>
    <x v="0"/>
    <x v="0"/>
    <x v="0"/>
    <x v="0"/>
    <x v="0"/>
    <x v="0"/>
    <x v="0"/>
    <x v="0"/>
    <x v="0"/>
    <x v="0"/>
  </r>
  <r>
    <x v="630"/>
    <s v="AGAM MIRZA BIN FAKHRURRAZI"/>
    <x v="1"/>
    <x v="0"/>
    <x v="3"/>
    <x v="1"/>
    <x v="0"/>
    <x v="1"/>
    <x v="0"/>
    <x v="0"/>
    <x v="1"/>
    <x v="0"/>
    <x v="0"/>
    <x v="0"/>
    <x v="0"/>
    <x v="0"/>
    <x v="0"/>
    <x v="0"/>
    <x v="0"/>
    <x v="0"/>
  </r>
  <r>
    <x v="631"/>
    <s v="YUSRIAWATI BINTI MUHAMMAD YUSOP"/>
    <x v="19"/>
    <x v="1"/>
    <x v="1"/>
    <x v="1"/>
    <x v="0"/>
    <x v="1"/>
    <x v="0"/>
    <x v="0"/>
    <x v="1"/>
    <x v="0"/>
    <x v="0"/>
    <x v="0"/>
    <x v="0"/>
    <x v="0"/>
    <x v="0"/>
    <x v="0"/>
    <x v="0"/>
    <x v="0"/>
  </r>
  <r>
    <x v="632"/>
    <s v="SUZANA BINTI OMAR"/>
    <x v="3"/>
    <x v="1"/>
    <x v="2"/>
    <x v="1"/>
    <x v="0"/>
    <x v="1"/>
    <x v="0"/>
    <x v="0"/>
    <x v="1"/>
    <x v="0"/>
    <x v="0"/>
    <x v="0"/>
    <x v="0"/>
    <x v="0"/>
    <x v="0"/>
    <x v="0"/>
    <x v="0"/>
    <x v="0"/>
  </r>
  <r>
    <x v="633"/>
    <s v="DARASINI A/P RAVE"/>
    <x v="19"/>
    <x v="1"/>
    <x v="1"/>
    <x v="0"/>
    <x v="1"/>
    <x v="1"/>
    <x v="0"/>
    <x v="0"/>
    <x v="1"/>
    <x v="0"/>
    <x v="0"/>
    <x v="0"/>
    <x v="0"/>
    <x v="0"/>
    <x v="0"/>
    <x v="0"/>
    <x v="0"/>
    <x v="0"/>
  </r>
  <r>
    <x v="634"/>
    <s v="NOR FATIHAH BINTI MD YATIN"/>
    <x v="7"/>
    <x v="1"/>
    <x v="2"/>
    <x v="1"/>
    <x v="0"/>
    <x v="1"/>
    <x v="0"/>
    <x v="0"/>
    <x v="1"/>
    <x v="0"/>
    <x v="0"/>
    <x v="0"/>
    <x v="0"/>
    <x v="0"/>
    <x v="0"/>
    <x v="0"/>
    <x v="0"/>
    <x v="0"/>
  </r>
  <r>
    <x v="635"/>
    <s v="ZUL IKMAL BIN ALAN"/>
    <x v="1"/>
    <x v="0"/>
    <x v="1"/>
    <x v="0"/>
    <x v="0"/>
    <x v="1"/>
    <x v="0"/>
    <x v="0"/>
    <x v="1"/>
    <x v="0"/>
    <x v="0"/>
    <x v="0"/>
    <x v="0"/>
    <x v="0"/>
    <x v="0"/>
    <x v="0"/>
    <x v="0"/>
    <x v="0"/>
  </r>
  <r>
    <x v="636"/>
    <s v="MOHD AMIN BIN AZMI"/>
    <x v="0"/>
    <x v="0"/>
    <x v="2"/>
    <x v="1"/>
    <x v="0"/>
    <x v="1"/>
    <x v="0"/>
    <x v="0"/>
    <x v="1"/>
    <x v="0"/>
    <x v="0"/>
    <x v="0"/>
    <x v="0"/>
    <x v="0"/>
    <x v="0"/>
    <x v="0"/>
    <x v="0"/>
    <x v="0"/>
  </r>
  <r>
    <x v="637"/>
    <s v="ABDUL AZIZ BIN NORDIN"/>
    <x v="9"/>
    <x v="0"/>
    <x v="1"/>
    <x v="1"/>
    <x v="0"/>
    <x v="1"/>
    <x v="0"/>
    <x v="0"/>
    <x v="1"/>
    <x v="0"/>
    <x v="0"/>
    <x v="0"/>
    <x v="0"/>
    <x v="0"/>
    <x v="0"/>
    <x v="0"/>
    <x v="0"/>
    <x v="0"/>
  </r>
  <r>
    <x v="638"/>
    <s v="MUHAMMAD AIMAN FAHMI BIN SAIDIN"/>
    <x v="3"/>
    <x v="0"/>
    <x v="3"/>
    <x v="1"/>
    <x v="0"/>
    <x v="1"/>
    <x v="0"/>
    <x v="0"/>
    <x v="0"/>
    <x v="0"/>
    <x v="0"/>
    <x v="0"/>
    <x v="0"/>
    <x v="0"/>
    <x v="0"/>
    <x v="0"/>
    <x v="0"/>
    <x v="0"/>
  </r>
  <r>
    <x v="639"/>
    <s v="ZULHELMI BIN MAYUDIN"/>
    <x v="4"/>
    <x v="0"/>
    <x v="0"/>
    <x v="0"/>
    <x v="0"/>
    <x v="1"/>
    <x v="0"/>
    <x v="0"/>
    <x v="1"/>
    <x v="0"/>
    <x v="0"/>
    <x v="0"/>
    <x v="0"/>
    <x v="0"/>
    <x v="0"/>
    <x v="0"/>
    <x v="0"/>
    <x v="0"/>
  </r>
  <r>
    <x v="640"/>
    <s v="SUZANA BINTI JAMALUDIN"/>
    <x v="19"/>
    <x v="1"/>
    <x v="3"/>
    <x v="1"/>
    <x v="0"/>
    <x v="1"/>
    <x v="0"/>
    <x v="0"/>
    <x v="1"/>
    <x v="0"/>
    <x v="0"/>
    <x v="0"/>
    <x v="0"/>
    <x v="0"/>
    <x v="0"/>
    <x v="0"/>
    <x v="0"/>
    <x v="0"/>
  </r>
  <r>
    <x v="641"/>
    <s v="MUHAMMAD FAREEQ AFIFIE BIN SHAMSUDIN"/>
    <x v="0"/>
    <x v="0"/>
    <x v="3"/>
    <x v="1"/>
    <x v="0"/>
    <x v="1"/>
    <x v="0"/>
    <x v="0"/>
    <x v="0"/>
    <x v="0"/>
    <x v="0"/>
    <x v="0"/>
    <x v="0"/>
    <x v="0"/>
    <x v="0"/>
    <x v="0"/>
    <x v="0"/>
    <x v="0"/>
  </r>
  <r>
    <x v="642"/>
    <s v="NUR NISSA KHALEDA BINTI AHMAD AMIN"/>
    <x v="8"/>
    <x v="1"/>
    <x v="2"/>
    <x v="1"/>
    <x v="0"/>
    <x v="1"/>
    <x v="0"/>
    <x v="0"/>
    <x v="1"/>
    <x v="0"/>
    <x v="0"/>
    <x v="0"/>
    <x v="0"/>
    <x v="0"/>
    <x v="0"/>
    <x v="0"/>
    <x v="0"/>
    <x v="0"/>
  </r>
  <r>
    <x v="643"/>
    <s v="SITI NAZIRAH BINTI MOHAMAD YAZID"/>
    <x v="19"/>
    <x v="1"/>
    <x v="1"/>
    <x v="0"/>
    <x v="1"/>
    <x v="0"/>
    <x v="0"/>
    <x v="0"/>
    <x v="1"/>
    <x v="0"/>
    <x v="0"/>
    <x v="0"/>
    <x v="0"/>
    <x v="0"/>
    <x v="0"/>
    <x v="0"/>
    <x v="0"/>
    <x v="0"/>
  </r>
  <r>
    <x v="644"/>
    <s v="MUHAMMAD MUAZ FADLIN BIN MHD NIZAR"/>
    <x v="7"/>
    <x v="0"/>
    <x v="2"/>
    <x v="1"/>
    <x v="0"/>
    <x v="1"/>
    <x v="0"/>
    <x v="0"/>
    <x v="1"/>
    <x v="0"/>
    <x v="0"/>
    <x v="0"/>
    <x v="0"/>
    <x v="0"/>
    <x v="0"/>
    <x v="0"/>
    <x v="0"/>
    <x v="0"/>
  </r>
  <r>
    <x v="645"/>
    <s v="HAIRUL ANUAR BIN AHMAD JALALDIN"/>
    <x v="0"/>
    <x v="0"/>
    <x v="1"/>
    <x v="1"/>
    <x v="0"/>
    <x v="1"/>
    <x v="0"/>
    <x v="0"/>
    <x v="1"/>
    <x v="0"/>
    <x v="0"/>
    <x v="0"/>
    <x v="0"/>
    <x v="0"/>
    <x v="0"/>
    <x v="0"/>
    <x v="0"/>
    <x v="0"/>
  </r>
  <r>
    <x v="646"/>
    <s v="SITI NUR AZIERA BINTI ANUAR"/>
    <x v="17"/>
    <x v="1"/>
    <x v="3"/>
    <x v="1"/>
    <x v="0"/>
    <x v="1"/>
    <x v="0"/>
    <x v="0"/>
    <x v="1"/>
    <x v="0"/>
    <x v="0"/>
    <x v="0"/>
    <x v="0"/>
    <x v="0"/>
    <x v="0"/>
    <x v="0"/>
    <x v="0"/>
    <x v="0"/>
  </r>
  <r>
    <x v="647"/>
    <s v="MUHAMMAD AIMAN BIN NORDIN"/>
    <x v="2"/>
    <x v="0"/>
    <x v="2"/>
    <x v="1"/>
    <x v="0"/>
    <x v="1"/>
    <x v="0"/>
    <x v="0"/>
    <x v="1"/>
    <x v="0"/>
    <x v="0"/>
    <x v="0"/>
    <x v="0"/>
    <x v="0"/>
    <x v="0"/>
    <x v="0"/>
    <x v="0"/>
    <x v="0"/>
  </r>
  <r>
    <x v="648"/>
    <s v="JASRUL BIN JANUDDIN"/>
    <x v="8"/>
    <x v="0"/>
    <x v="1"/>
    <x v="1"/>
    <x v="0"/>
    <x v="1"/>
    <x v="0"/>
    <x v="0"/>
    <x v="1"/>
    <x v="0"/>
    <x v="0"/>
    <x v="0"/>
    <x v="0"/>
    <x v="0"/>
    <x v="0"/>
    <x v="0"/>
    <x v="0"/>
    <x v="0"/>
  </r>
  <r>
    <x v="649"/>
    <s v="MUHAMMAD SYAFIQ BIN SAMSUL AKMAL"/>
    <x v="4"/>
    <x v="0"/>
    <x v="0"/>
    <x v="0"/>
    <x v="0"/>
    <x v="1"/>
    <x v="0"/>
    <x v="0"/>
    <x v="1"/>
    <x v="0"/>
    <x v="0"/>
    <x v="0"/>
    <x v="0"/>
    <x v="0"/>
    <x v="0"/>
    <x v="0"/>
    <x v="0"/>
    <x v="0"/>
  </r>
  <r>
    <x v="650"/>
    <s v="MUHAMAD SOFI BIN HAMDAN"/>
    <x v="6"/>
    <x v="0"/>
    <x v="1"/>
    <x v="1"/>
    <x v="0"/>
    <x v="0"/>
    <x v="0"/>
    <x v="0"/>
    <x v="1"/>
    <x v="0"/>
    <x v="0"/>
    <x v="0"/>
    <x v="0"/>
    <x v="0"/>
    <x v="0"/>
    <x v="0"/>
    <x v="0"/>
    <x v="0"/>
  </r>
  <r>
    <x v="651"/>
    <s v="NURUL IDAYU BINTI MOHD AMIN"/>
    <x v="8"/>
    <x v="1"/>
    <x v="1"/>
    <x v="0"/>
    <x v="1"/>
    <x v="1"/>
    <x v="0"/>
    <x v="0"/>
    <x v="1"/>
    <x v="0"/>
    <x v="0"/>
    <x v="0"/>
    <x v="0"/>
    <x v="0"/>
    <x v="0"/>
    <x v="0"/>
    <x v="0"/>
    <x v="0"/>
  </r>
  <r>
    <x v="652"/>
    <s v="MOHD AMIR AIZAT BIN MOHD YAZID"/>
    <x v="8"/>
    <x v="0"/>
    <x v="2"/>
    <x v="1"/>
    <x v="0"/>
    <x v="1"/>
    <x v="0"/>
    <x v="0"/>
    <x v="1"/>
    <x v="0"/>
    <x v="0"/>
    <x v="0"/>
    <x v="0"/>
    <x v="0"/>
    <x v="0"/>
    <x v="0"/>
    <x v="0"/>
    <x v="0"/>
  </r>
  <r>
    <x v="653"/>
    <s v="MOHAMMAD SHAFIQ BIN KAMARUL MUZAMIL"/>
    <x v="16"/>
    <x v="0"/>
    <x v="1"/>
    <x v="1"/>
    <x v="0"/>
    <x v="1"/>
    <x v="0"/>
    <x v="0"/>
    <x v="1"/>
    <x v="0"/>
    <x v="0"/>
    <x v="0"/>
    <x v="0"/>
    <x v="0"/>
    <x v="0"/>
    <x v="0"/>
    <x v="0"/>
    <x v="0"/>
  </r>
  <r>
    <x v="654"/>
    <s v="MUHAMMAD AZREL BIN AZMAN"/>
    <x v="2"/>
    <x v="0"/>
    <x v="3"/>
    <x v="1"/>
    <x v="0"/>
    <x v="1"/>
    <x v="0"/>
    <x v="0"/>
    <x v="1"/>
    <x v="0"/>
    <x v="0"/>
    <x v="0"/>
    <x v="0"/>
    <x v="0"/>
    <x v="0"/>
    <x v="0"/>
    <x v="0"/>
    <x v="0"/>
  </r>
  <r>
    <x v="655"/>
    <s v="MOHAMAD MUSTAQIM BIN ISAHAK"/>
    <x v="16"/>
    <x v="0"/>
    <x v="1"/>
    <x v="1"/>
    <x v="0"/>
    <x v="0"/>
    <x v="0"/>
    <x v="0"/>
    <x v="1"/>
    <x v="0"/>
    <x v="0"/>
    <x v="0"/>
    <x v="0"/>
    <x v="0"/>
    <x v="0"/>
    <x v="0"/>
    <x v="0"/>
    <x v="0"/>
  </r>
  <r>
    <x v="656"/>
    <s v="MUHAMMAD AFDAL BIN ZAHARI"/>
    <x v="17"/>
    <x v="0"/>
    <x v="3"/>
    <x v="1"/>
    <x v="0"/>
    <x v="1"/>
    <x v="0"/>
    <x v="0"/>
    <x v="1"/>
    <x v="0"/>
    <x v="0"/>
    <x v="0"/>
    <x v="0"/>
    <x v="0"/>
    <x v="0"/>
    <x v="0"/>
    <x v="0"/>
    <x v="0"/>
  </r>
  <r>
    <x v="657"/>
    <s v="THANABALAN A/L RATHINAM"/>
    <x v="4"/>
    <x v="0"/>
    <x v="2"/>
    <x v="1"/>
    <x v="0"/>
    <x v="1"/>
    <x v="0"/>
    <x v="0"/>
    <x v="1"/>
    <x v="0"/>
    <x v="0"/>
    <x v="0"/>
    <x v="0"/>
    <x v="0"/>
    <x v="0"/>
    <x v="0"/>
    <x v="0"/>
    <x v="0"/>
  </r>
  <r>
    <x v="658"/>
    <s v="ANDRIYANI PURBA"/>
    <x v="21"/>
    <x v="1"/>
    <x v="1"/>
    <x v="1"/>
    <x v="0"/>
    <x v="1"/>
    <x v="1"/>
    <x v="0"/>
    <x v="1"/>
    <x v="0"/>
    <x v="0"/>
    <x v="0"/>
    <x v="0"/>
    <x v="0"/>
    <x v="0"/>
    <x v="0"/>
    <x v="0"/>
    <x v="0"/>
  </r>
  <r>
    <x v="659"/>
    <s v="BUNGARIA HUTABALIAN"/>
    <x v="9"/>
    <x v="1"/>
    <x v="3"/>
    <x v="1"/>
    <x v="0"/>
    <x v="1"/>
    <x v="0"/>
    <x v="0"/>
    <x v="1"/>
    <x v="0"/>
    <x v="0"/>
    <x v="0"/>
    <x v="0"/>
    <x v="0"/>
    <x v="0"/>
    <x v="0"/>
    <x v="0"/>
    <x v="0"/>
  </r>
  <r>
    <x v="660"/>
    <s v="DELIMAHOT MARIA MARBUN"/>
    <x v="9"/>
    <x v="1"/>
    <x v="3"/>
    <x v="1"/>
    <x v="0"/>
    <x v="1"/>
    <x v="0"/>
    <x v="0"/>
    <x v="1"/>
    <x v="0"/>
    <x v="0"/>
    <x v="0"/>
    <x v="0"/>
    <x v="0"/>
    <x v="0"/>
    <x v="0"/>
    <x v="0"/>
    <x v="0"/>
  </r>
  <r>
    <x v="661"/>
    <s v="DINA MEIDI"/>
    <x v="19"/>
    <x v="1"/>
    <x v="1"/>
    <x v="1"/>
    <x v="0"/>
    <x v="1"/>
    <x v="0"/>
    <x v="0"/>
    <x v="1"/>
    <x v="0"/>
    <x v="0"/>
    <x v="0"/>
    <x v="0"/>
    <x v="0"/>
    <x v="0"/>
    <x v="0"/>
    <x v="0"/>
    <x v="0"/>
  </r>
  <r>
    <x v="662"/>
    <s v="EVA YOHANNA AGUSTIN"/>
    <x v="19"/>
    <x v="1"/>
    <x v="2"/>
    <x v="1"/>
    <x v="0"/>
    <x v="1"/>
    <x v="0"/>
    <x v="0"/>
    <x v="1"/>
    <x v="0"/>
    <x v="0"/>
    <x v="0"/>
    <x v="0"/>
    <x v="0"/>
    <x v="0"/>
    <x v="0"/>
    <x v="0"/>
    <x v="0"/>
  </r>
  <r>
    <x v="663"/>
    <s v="FADILLAH"/>
    <x v="5"/>
    <x v="1"/>
    <x v="3"/>
    <x v="1"/>
    <x v="0"/>
    <x v="1"/>
    <x v="0"/>
    <x v="0"/>
    <x v="1"/>
    <x v="0"/>
    <x v="0"/>
    <x v="0"/>
    <x v="0"/>
    <x v="0"/>
    <x v="0"/>
    <x v="0"/>
    <x v="0"/>
    <x v="0"/>
  </r>
  <r>
    <x v="664"/>
    <s v="GLORYA EPIPANI GINTING"/>
    <x v="9"/>
    <x v="1"/>
    <x v="2"/>
    <x v="1"/>
    <x v="0"/>
    <x v="1"/>
    <x v="0"/>
    <x v="0"/>
    <x v="1"/>
    <x v="0"/>
    <x v="0"/>
    <x v="0"/>
    <x v="0"/>
    <x v="0"/>
    <x v="0"/>
    <x v="0"/>
    <x v="0"/>
    <x v="0"/>
  </r>
  <r>
    <x v="665"/>
    <s v="HOTRAYANI SIMATUPANG"/>
    <x v="19"/>
    <x v="1"/>
    <x v="2"/>
    <x v="1"/>
    <x v="0"/>
    <x v="1"/>
    <x v="0"/>
    <x v="0"/>
    <x v="1"/>
    <x v="0"/>
    <x v="0"/>
    <x v="0"/>
    <x v="0"/>
    <x v="0"/>
    <x v="0"/>
    <x v="0"/>
    <x v="0"/>
    <x v="0"/>
  </r>
  <r>
    <x v="666"/>
    <s v="INDRIANA LUMBAN TOBING"/>
    <x v="19"/>
    <x v="1"/>
    <x v="1"/>
    <x v="1"/>
    <x v="0"/>
    <x v="1"/>
    <x v="0"/>
    <x v="0"/>
    <x v="1"/>
    <x v="0"/>
    <x v="0"/>
    <x v="0"/>
    <x v="0"/>
    <x v="0"/>
    <x v="0"/>
    <x v="0"/>
    <x v="0"/>
    <x v="0"/>
  </r>
  <r>
    <x v="667"/>
    <s v="JENNY MARPAUNG"/>
    <x v="19"/>
    <x v="1"/>
    <x v="3"/>
    <x v="1"/>
    <x v="0"/>
    <x v="1"/>
    <x v="0"/>
    <x v="0"/>
    <x v="0"/>
    <x v="0"/>
    <x v="0"/>
    <x v="0"/>
    <x v="0"/>
    <x v="0"/>
    <x v="0"/>
    <x v="0"/>
    <x v="0"/>
    <x v="0"/>
  </r>
  <r>
    <x v="668"/>
    <s v="LIDIA VIO VINIANTI SINAGA"/>
    <x v="19"/>
    <x v="1"/>
    <x v="3"/>
    <x v="1"/>
    <x v="0"/>
    <x v="1"/>
    <x v="0"/>
    <x v="0"/>
    <x v="1"/>
    <x v="0"/>
    <x v="0"/>
    <x v="0"/>
    <x v="0"/>
    <x v="0"/>
    <x v="0"/>
    <x v="0"/>
    <x v="0"/>
    <x v="0"/>
  </r>
  <r>
    <x v="669"/>
    <s v="MERI NATALINA"/>
    <x v="5"/>
    <x v="1"/>
    <x v="2"/>
    <x v="1"/>
    <x v="0"/>
    <x v="1"/>
    <x v="0"/>
    <x v="0"/>
    <x v="1"/>
    <x v="0"/>
    <x v="0"/>
    <x v="0"/>
    <x v="0"/>
    <x v="0"/>
    <x v="0"/>
    <x v="0"/>
    <x v="0"/>
    <x v="0"/>
  </r>
  <r>
    <x v="670"/>
    <s v="MES AYU KIRANA"/>
    <x v="5"/>
    <x v="1"/>
    <x v="1"/>
    <x v="1"/>
    <x v="0"/>
    <x v="1"/>
    <x v="0"/>
    <x v="0"/>
    <x v="1"/>
    <x v="0"/>
    <x v="0"/>
    <x v="0"/>
    <x v="0"/>
    <x v="0"/>
    <x v="0"/>
    <x v="0"/>
    <x v="0"/>
    <x v="0"/>
  </r>
  <r>
    <x v="671"/>
    <s v="NURCAHAYA RITONGA"/>
    <x v="19"/>
    <x v="1"/>
    <x v="3"/>
    <x v="1"/>
    <x v="0"/>
    <x v="1"/>
    <x v="0"/>
    <x v="0"/>
    <x v="1"/>
    <x v="0"/>
    <x v="0"/>
    <x v="0"/>
    <x v="0"/>
    <x v="0"/>
    <x v="0"/>
    <x v="0"/>
    <x v="0"/>
    <x v="0"/>
  </r>
  <r>
    <x v="672"/>
    <s v="NURHAFNI"/>
    <x v="3"/>
    <x v="1"/>
    <x v="1"/>
    <x v="1"/>
    <x v="0"/>
    <x v="1"/>
    <x v="0"/>
    <x v="0"/>
    <x v="1"/>
    <x v="0"/>
    <x v="0"/>
    <x v="0"/>
    <x v="0"/>
    <x v="0"/>
    <x v="0"/>
    <x v="0"/>
    <x v="0"/>
    <x v="0"/>
  </r>
  <r>
    <x v="673"/>
    <s v="RANI NOVITA SARI"/>
    <x v="3"/>
    <x v="1"/>
    <x v="2"/>
    <x v="1"/>
    <x v="0"/>
    <x v="1"/>
    <x v="0"/>
    <x v="0"/>
    <x v="1"/>
    <x v="0"/>
    <x v="0"/>
    <x v="0"/>
    <x v="0"/>
    <x v="0"/>
    <x v="0"/>
    <x v="0"/>
    <x v="0"/>
    <x v="0"/>
  </r>
  <r>
    <x v="674"/>
    <s v="RIA DINA SUYENI NASUTION"/>
    <x v="3"/>
    <x v="1"/>
    <x v="2"/>
    <x v="1"/>
    <x v="0"/>
    <x v="1"/>
    <x v="0"/>
    <x v="0"/>
    <x v="1"/>
    <x v="0"/>
    <x v="0"/>
    <x v="0"/>
    <x v="0"/>
    <x v="0"/>
    <x v="0"/>
    <x v="0"/>
    <x v="0"/>
    <x v="0"/>
  </r>
  <r>
    <x v="675"/>
    <s v="RISKY NUR APRILLA"/>
    <x v="3"/>
    <x v="1"/>
    <x v="3"/>
    <x v="1"/>
    <x v="0"/>
    <x v="1"/>
    <x v="0"/>
    <x v="0"/>
    <x v="1"/>
    <x v="0"/>
    <x v="0"/>
    <x v="0"/>
    <x v="0"/>
    <x v="0"/>
    <x v="0"/>
    <x v="0"/>
    <x v="0"/>
    <x v="0"/>
  </r>
  <r>
    <x v="676"/>
    <s v="SARI MARIA HUTAPEA"/>
    <x v="19"/>
    <x v="1"/>
    <x v="2"/>
    <x v="1"/>
    <x v="0"/>
    <x v="1"/>
    <x v="0"/>
    <x v="0"/>
    <x v="1"/>
    <x v="0"/>
    <x v="0"/>
    <x v="0"/>
    <x v="0"/>
    <x v="0"/>
    <x v="0"/>
    <x v="0"/>
    <x v="0"/>
    <x v="0"/>
  </r>
  <r>
    <x v="677"/>
    <s v="WIDYAWATY KABAN"/>
    <x v="21"/>
    <x v="1"/>
    <x v="2"/>
    <x v="1"/>
    <x v="0"/>
    <x v="1"/>
    <x v="0"/>
    <x v="0"/>
    <x v="1"/>
    <x v="0"/>
    <x v="0"/>
    <x v="0"/>
    <x v="0"/>
    <x v="0"/>
    <x v="0"/>
    <x v="0"/>
    <x v="0"/>
    <x v="0"/>
  </r>
  <r>
    <x v="678"/>
    <s v="YESSIKA SIREGAR"/>
    <x v="9"/>
    <x v="1"/>
    <x v="1"/>
    <x v="1"/>
    <x v="0"/>
    <x v="1"/>
    <x v="0"/>
    <x v="0"/>
    <x v="1"/>
    <x v="0"/>
    <x v="0"/>
    <x v="0"/>
    <x v="0"/>
    <x v="0"/>
    <x v="0"/>
    <x v="0"/>
    <x v="0"/>
    <x v="0"/>
  </r>
  <r>
    <x v="679"/>
    <s v="YUNI KARTIKA SIMBOLON"/>
    <x v="19"/>
    <x v="1"/>
    <x v="2"/>
    <x v="1"/>
    <x v="0"/>
    <x v="1"/>
    <x v="0"/>
    <x v="0"/>
    <x v="1"/>
    <x v="0"/>
    <x v="0"/>
    <x v="0"/>
    <x v="0"/>
    <x v="0"/>
    <x v="0"/>
    <x v="0"/>
    <x v="0"/>
    <x v="0"/>
  </r>
  <r>
    <x v="680"/>
    <s v="YURIS TIRAI SUARSIH"/>
    <x v="21"/>
    <x v="1"/>
    <x v="2"/>
    <x v="1"/>
    <x v="0"/>
    <x v="1"/>
    <x v="0"/>
    <x v="0"/>
    <x v="1"/>
    <x v="0"/>
    <x v="0"/>
    <x v="0"/>
    <x v="0"/>
    <x v="0"/>
    <x v="0"/>
    <x v="0"/>
    <x v="0"/>
    <x v="0"/>
  </r>
  <r>
    <x v="681"/>
    <s v="ZULIA NASUTION"/>
    <x v="19"/>
    <x v="1"/>
    <x v="3"/>
    <x v="1"/>
    <x v="0"/>
    <x v="1"/>
    <x v="0"/>
    <x v="0"/>
    <x v="1"/>
    <x v="0"/>
    <x v="0"/>
    <x v="0"/>
    <x v="0"/>
    <x v="0"/>
    <x v="0"/>
    <x v="0"/>
    <x v="0"/>
    <x v="0"/>
  </r>
  <r>
    <x v="682"/>
    <s v="MOHAMAD ALLIF BIN HALIM"/>
    <x v="0"/>
    <x v="0"/>
    <x v="3"/>
    <x v="1"/>
    <x v="0"/>
    <x v="0"/>
    <x v="0"/>
    <x v="0"/>
    <x v="1"/>
    <x v="0"/>
    <x v="0"/>
    <x v="0"/>
    <x v="0"/>
    <x v="0"/>
    <x v="0"/>
    <x v="0"/>
    <x v="0"/>
    <x v="0"/>
  </r>
  <r>
    <x v="683"/>
    <s v="NUR ALYA MAISARAH BINTI MOHD ZAMBRI"/>
    <x v="21"/>
    <x v="1"/>
    <x v="3"/>
    <x v="1"/>
    <x v="0"/>
    <x v="1"/>
    <x v="0"/>
    <x v="0"/>
    <x v="1"/>
    <x v="0"/>
    <x v="0"/>
    <x v="0"/>
    <x v="0"/>
    <x v="0"/>
    <x v="0"/>
    <x v="0"/>
    <x v="0"/>
    <x v="0"/>
  </r>
  <r>
    <x v="684"/>
    <s v="AZLIEYANA AZWA BINTI ABDUL AZIZ"/>
    <x v="19"/>
    <x v="1"/>
    <x v="3"/>
    <x v="1"/>
    <x v="0"/>
    <x v="1"/>
    <x v="0"/>
    <x v="0"/>
    <x v="0"/>
    <x v="0"/>
    <x v="0"/>
    <x v="0"/>
    <x v="0"/>
    <x v="0"/>
    <x v="0"/>
    <x v="0"/>
    <x v="0"/>
    <x v="0"/>
  </r>
  <r>
    <x v="685"/>
    <s v="NOR SYAZWANI BINTI SHAMSUDIN"/>
    <x v="19"/>
    <x v="1"/>
    <x v="1"/>
    <x v="1"/>
    <x v="0"/>
    <x v="1"/>
    <x v="0"/>
    <x v="0"/>
    <x v="1"/>
    <x v="0"/>
    <x v="0"/>
    <x v="0"/>
    <x v="0"/>
    <x v="0"/>
    <x v="0"/>
    <x v="0"/>
    <x v="0"/>
    <x v="0"/>
  </r>
  <r>
    <x v="686"/>
    <s v="NUR AISYA AMEERA HAZHAR"/>
    <x v="3"/>
    <x v="1"/>
    <x v="1"/>
    <x v="1"/>
    <x v="0"/>
    <x v="1"/>
    <x v="0"/>
    <x v="0"/>
    <x v="1"/>
    <x v="0"/>
    <x v="0"/>
    <x v="0"/>
    <x v="0"/>
    <x v="0"/>
    <x v="0"/>
    <x v="0"/>
    <x v="0"/>
    <x v="0"/>
  </r>
  <r>
    <x v="687"/>
    <s v="UMMUL KHAIRI FATIMAH BINTI ABDUL AZIZ"/>
    <x v="19"/>
    <x v="1"/>
    <x v="1"/>
    <x v="1"/>
    <x v="0"/>
    <x v="1"/>
    <x v="0"/>
    <x v="0"/>
    <x v="1"/>
    <x v="0"/>
    <x v="0"/>
    <x v="0"/>
    <x v="0"/>
    <x v="0"/>
    <x v="0"/>
    <x v="0"/>
    <x v="0"/>
    <x v="0"/>
  </r>
  <r>
    <x v="688"/>
    <s v="MUHAMMAD NAZRI BIN MOHD RODHI"/>
    <x v="2"/>
    <x v="0"/>
    <x v="1"/>
    <x v="1"/>
    <x v="0"/>
    <x v="1"/>
    <x v="0"/>
    <x v="0"/>
    <x v="1"/>
    <x v="0"/>
    <x v="0"/>
    <x v="0"/>
    <x v="0"/>
    <x v="0"/>
    <x v="0"/>
    <x v="0"/>
    <x v="0"/>
    <x v="0"/>
  </r>
  <r>
    <x v="689"/>
    <s v="NUR HIDAYANI BINTI RAZALI"/>
    <x v="3"/>
    <x v="1"/>
    <x v="3"/>
    <x v="1"/>
    <x v="0"/>
    <x v="1"/>
    <x v="0"/>
    <x v="0"/>
    <x v="0"/>
    <x v="0"/>
    <x v="0"/>
    <x v="0"/>
    <x v="0"/>
    <x v="0"/>
    <x v="0"/>
    <x v="0"/>
    <x v="0"/>
    <x v="0"/>
  </r>
  <r>
    <x v="690"/>
    <s v="MUHAMAD RAZI BIN JABIR"/>
    <x v="3"/>
    <x v="0"/>
    <x v="0"/>
    <x v="0"/>
    <x v="0"/>
    <x v="1"/>
    <x v="0"/>
    <x v="0"/>
    <x v="1"/>
    <x v="0"/>
    <x v="0"/>
    <x v="0"/>
    <x v="0"/>
    <x v="0"/>
    <x v="0"/>
    <x v="0"/>
    <x v="0"/>
    <x v="0"/>
  </r>
  <r>
    <x v="691"/>
    <s v="SYARIFAH NUR AFIFAH BINTI SYED ABD HALIM"/>
    <x v="19"/>
    <x v="1"/>
    <x v="3"/>
    <x v="1"/>
    <x v="0"/>
    <x v="1"/>
    <x v="0"/>
    <x v="0"/>
    <x v="1"/>
    <x v="0"/>
    <x v="0"/>
    <x v="0"/>
    <x v="0"/>
    <x v="0"/>
    <x v="0"/>
    <x v="0"/>
    <x v="0"/>
    <x v="0"/>
  </r>
  <r>
    <x v="692"/>
    <s v="MUHAMMAD HAZIQ HAIKAL BIN MAT SALIM"/>
    <x v="0"/>
    <x v="0"/>
    <x v="3"/>
    <x v="1"/>
    <x v="0"/>
    <x v="1"/>
    <x v="0"/>
    <x v="0"/>
    <x v="1"/>
    <x v="0"/>
    <x v="0"/>
    <x v="0"/>
    <x v="0"/>
    <x v="0"/>
    <x v="0"/>
    <x v="0"/>
    <x v="0"/>
    <x v="0"/>
  </r>
  <r>
    <x v="693"/>
    <s v="SITI KHADIJAH BINTI PADZIL"/>
    <x v="19"/>
    <x v="1"/>
    <x v="3"/>
    <x v="1"/>
    <x v="0"/>
    <x v="1"/>
    <x v="0"/>
    <x v="0"/>
    <x v="1"/>
    <x v="0"/>
    <x v="0"/>
    <x v="0"/>
    <x v="0"/>
    <x v="0"/>
    <x v="0"/>
    <x v="0"/>
    <x v="0"/>
    <x v="0"/>
  </r>
  <r>
    <x v="694"/>
    <s v="MUHAMMAD KHAIRUL AMIN BIN SUHAIMI"/>
    <x v="0"/>
    <x v="0"/>
    <x v="3"/>
    <x v="1"/>
    <x v="0"/>
    <x v="1"/>
    <x v="0"/>
    <x v="0"/>
    <x v="1"/>
    <x v="0"/>
    <x v="0"/>
    <x v="0"/>
    <x v="0"/>
    <x v="0"/>
    <x v="0"/>
    <x v="0"/>
    <x v="0"/>
    <x v="0"/>
  </r>
  <r>
    <x v="695"/>
    <s v="MOHD RIDZUAN BIN AHMAD BAKHARI"/>
    <x v="19"/>
    <x v="0"/>
    <x v="3"/>
    <x v="1"/>
    <x v="0"/>
    <x v="1"/>
    <x v="0"/>
    <x v="0"/>
    <x v="1"/>
    <x v="0"/>
    <x v="0"/>
    <x v="0"/>
    <x v="0"/>
    <x v="0"/>
    <x v="0"/>
    <x v="0"/>
    <x v="0"/>
    <x v="0"/>
  </r>
  <r>
    <x v="696"/>
    <s v="MUHAMMAD SAID BIN ROSLI"/>
    <x v="5"/>
    <x v="0"/>
    <x v="1"/>
    <x v="1"/>
    <x v="0"/>
    <x v="1"/>
    <x v="0"/>
    <x v="0"/>
    <x v="1"/>
    <x v="0"/>
    <x v="0"/>
    <x v="0"/>
    <x v="0"/>
    <x v="0"/>
    <x v="0"/>
    <x v="0"/>
    <x v="0"/>
    <x v="0"/>
  </r>
  <r>
    <x v="697"/>
    <s v="NURUL AINNABILA BINTI ABDUL AZIZ"/>
    <x v="19"/>
    <x v="1"/>
    <x v="1"/>
    <x v="1"/>
    <x v="0"/>
    <x v="1"/>
    <x v="0"/>
    <x v="0"/>
    <x v="1"/>
    <x v="0"/>
    <x v="0"/>
    <x v="0"/>
    <x v="0"/>
    <x v="0"/>
    <x v="0"/>
    <x v="0"/>
    <x v="0"/>
    <x v="0"/>
  </r>
  <r>
    <x v="698"/>
    <s v="AHMAD SYAIFUL IZZHAR BIN AHMAD RADHI"/>
    <x v="3"/>
    <x v="0"/>
    <x v="3"/>
    <x v="1"/>
    <x v="0"/>
    <x v="1"/>
    <x v="0"/>
    <x v="0"/>
    <x v="1"/>
    <x v="0"/>
    <x v="0"/>
    <x v="0"/>
    <x v="0"/>
    <x v="0"/>
    <x v="0"/>
    <x v="0"/>
    <x v="0"/>
    <x v="0"/>
  </r>
  <r>
    <x v="699"/>
    <s v="NURUL HUDA BINTI IBRAHIM"/>
    <x v="7"/>
    <x v="1"/>
    <x v="3"/>
    <x v="1"/>
    <x v="0"/>
    <x v="1"/>
    <x v="0"/>
    <x v="0"/>
    <x v="1"/>
    <x v="0"/>
    <x v="0"/>
    <x v="0"/>
    <x v="0"/>
    <x v="0"/>
    <x v="0"/>
    <x v="0"/>
    <x v="0"/>
    <x v="0"/>
  </r>
  <r>
    <x v="700"/>
    <s v="MOHD. AZROL AMRI"/>
    <x v="21"/>
    <x v="0"/>
    <x v="3"/>
    <x v="0"/>
    <x v="1"/>
    <x v="1"/>
    <x v="0"/>
    <x v="0"/>
    <x v="1"/>
    <x v="0"/>
    <x v="0"/>
    <x v="0"/>
    <x v="0"/>
    <x v="0"/>
    <x v="0"/>
    <x v="0"/>
    <x v="0"/>
    <x v="0"/>
  </r>
  <r>
    <x v="701"/>
    <s v="NOORSHAHILA BINTI CHE ANI"/>
    <x v="19"/>
    <x v="1"/>
    <x v="2"/>
    <x v="1"/>
    <x v="0"/>
    <x v="1"/>
    <x v="0"/>
    <x v="0"/>
    <x v="1"/>
    <x v="0"/>
    <x v="0"/>
    <x v="0"/>
    <x v="0"/>
    <x v="0"/>
    <x v="0"/>
    <x v="0"/>
    <x v="0"/>
    <x v="0"/>
  </r>
  <r>
    <x v="702"/>
    <s v="MUHAMMAD ALIAS BIN AHMAD"/>
    <x v="7"/>
    <x v="0"/>
    <x v="3"/>
    <x v="1"/>
    <x v="0"/>
    <x v="1"/>
    <x v="0"/>
    <x v="0"/>
    <x v="1"/>
    <x v="0"/>
    <x v="0"/>
    <x v="0"/>
    <x v="0"/>
    <x v="0"/>
    <x v="0"/>
    <x v="0"/>
    <x v="0"/>
    <x v="0"/>
  </r>
  <r>
    <x v="703"/>
    <s v="MOHAMAD KHAIREEN BIN ABD KHAIR"/>
    <x v="17"/>
    <x v="0"/>
    <x v="2"/>
    <x v="1"/>
    <x v="0"/>
    <x v="1"/>
    <x v="0"/>
    <x v="0"/>
    <x v="1"/>
    <x v="0"/>
    <x v="0"/>
    <x v="0"/>
    <x v="0"/>
    <x v="0"/>
    <x v="0"/>
    <x v="0"/>
    <x v="0"/>
    <x v="0"/>
  </r>
  <r>
    <x v="704"/>
    <s v="MOHD SHAFIQ BIN SHAMSUDIN"/>
    <x v="17"/>
    <x v="0"/>
    <x v="3"/>
    <x v="1"/>
    <x v="0"/>
    <x v="0"/>
    <x v="0"/>
    <x v="0"/>
    <x v="1"/>
    <x v="0"/>
    <x v="0"/>
    <x v="0"/>
    <x v="0"/>
    <x v="0"/>
    <x v="0"/>
    <x v="0"/>
    <x v="0"/>
    <x v="0"/>
  </r>
  <r>
    <x v="705"/>
    <s v="MOHD FIRDAUS BIN JAMIL"/>
    <x v="14"/>
    <x v="0"/>
    <x v="1"/>
    <x v="1"/>
    <x v="0"/>
    <x v="1"/>
    <x v="0"/>
    <x v="0"/>
    <x v="1"/>
    <x v="0"/>
    <x v="0"/>
    <x v="0"/>
    <x v="0"/>
    <x v="0"/>
    <x v="0"/>
    <x v="0"/>
    <x v="0"/>
    <x v="0"/>
  </r>
  <r>
    <x v="706"/>
    <s v="NURUL HANIS BINTI ROMLI"/>
    <x v="8"/>
    <x v="1"/>
    <x v="3"/>
    <x v="1"/>
    <x v="0"/>
    <x v="1"/>
    <x v="0"/>
    <x v="0"/>
    <x v="1"/>
    <x v="0"/>
    <x v="0"/>
    <x v="0"/>
    <x v="0"/>
    <x v="0"/>
    <x v="0"/>
    <x v="0"/>
    <x v="0"/>
    <x v="0"/>
  </r>
  <r>
    <x v="707"/>
    <s v="MOHAMAD AZLIZAN BIN MOHAMAD ROSLI"/>
    <x v="2"/>
    <x v="0"/>
    <x v="1"/>
    <x v="1"/>
    <x v="0"/>
    <x v="1"/>
    <x v="0"/>
    <x v="0"/>
    <x v="1"/>
    <x v="0"/>
    <x v="0"/>
    <x v="0"/>
    <x v="0"/>
    <x v="0"/>
    <x v="0"/>
    <x v="0"/>
    <x v="0"/>
    <x v="0"/>
  </r>
  <r>
    <x v="708"/>
    <s v="MOHAMMAD NOORZAIDI BIN AHMAD C.B."/>
    <x v="14"/>
    <x v="0"/>
    <x v="2"/>
    <x v="1"/>
    <x v="0"/>
    <x v="1"/>
    <x v="0"/>
    <x v="0"/>
    <x v="0"/>
    <x v="0"/>
    <x v="0"/>
    <x v="0"/>
    <x v="0"/>
    <x v="0"/>
    <x v="0"/>
    <x v="0"/>
    <x v="0"/>
    <x v="0"/>
  </r>
  <r>
    <x v="709"/>
    <s v="ATIQAH NADHIRA BINTI AHMAD WIRA"/>
    <x v="8"/>
    <x v="1"/>
    <x v="3"/>
    <x v="1"/>
    <x v="0"/>
    <x v="1"/>
    <x v="0"/>
    <x v="0"/>
    <x v="1"/>
    <x v="0"/>
    <x v="0"/>
    <x v="0"/>
    <x v="0"/>
    <x v="0"/>
    <x v="0"/>
    <x v="0"/>
    <x v="0"/>
    <x v="0"/>
  </r>
  <r>
    <x v="710"/>
    <s v="NUR LIYANA BINTI RAZALI"/>
    <x v="3"/>
    <x v="1"/>
    <x v="2"/>
    <x v="1"/>
    <x v="0"/>
    <x v="1"/>
    <x v="0"/>
    <x v="0"/>
    <x v="1"/>
    <x v="0"/>
    <x v="0"/>
    <x v="0"/>
    <x v="0"/>
    <x v="0"/>
    <x v="0"/>
    <x v="0"/>
    <x v="0"/>
    <x v="0"/>
  </r>
  <r>
    <x v="711"/>
    <s v="MOHAMAD AZREEN BIN ABU BAKAR"/>
    <x v="5"/>
    <x v="0"/>
    <x v="2"/>
    <x v="1"/>
    <x v="0"/>
    <x v="1"/>
    <x v="0"/>
    <x v="0"/>
    <x v="1"/>
    <x v="0"/>
    <x v="0"/>
    <x v="0"/>
    <x v="0"/>
    <x v="0"/>
    <x v="0"/>
    <x v="0"/>
    <x v="0"/>
    <x v="0"/>
  </r>
  <r>
    <x v="712"/>
    <s v="NURFARAH HANIS BINTI SATAR"/>
    <x v="9"/>
    <x v="1"/>
    <x v="2"/>
    <x v="1"/>
    <x v="0"/>
    <x v="1"/>
    <x v="0"/>
    <x v="0"/>
    <x v="1"/>
    <x v="0"/>
    <x v="0"/>
    <x v="0"/>
    <x v="0"/>
    <x v="0"/>
    <x v="0"/>
    <x v="0"/>
    <x v="0"/>
    <x v="0"/>
  </r>
  <r>
    <x v="713"/>
    <s v="MOHD ABBAS SADIKIN BIN MOHD DAUD"/>
    <x v="6"/>
    <x v="0"/>
    <x v="0"/>
    <x v="0"/>
    <x v="0"/>
    <x v="1"/>
    <x v="0"/>
    <x v="0"/>
    <x v="0"/>
    <x v="0"/>
    <x v="0"/>
    <x v="0"/>
    <x v="0"/>
    <x v="0"/>
    <x v="0"/>
    <x v="0"/>
    <x v="0"/>
    <x v="0"/>
  </r>
  <r>
    <x v="714"/>
    <s v="NUR DEIAYANA BINTI ELIAS"/>
    <x v="19"/>
    <x v="1"/>
    <x v="3"/>
    <x v="1"/>
    <x v="0"/>
    <x v="1"/>
    <x v="0"/>
    <x v="0"/>
    <x v="1"/>
    <x v="0"/>
    <x v="0"/>
    <x v="0"/>
    <x v="0"/>
    <x v="0"/>
    <x v="0"/>
    <x v="0"/>
    <x v="0"/>
    <x v="0"/>
  </r>
  <r>
    <x v="715"/>
    <s v="NUR ZULAIKHA IZZATI BINTI ZAKARIA"/>
    <x v="19"/>
    <x v="1"/>
    <x v="3"/>
    <x v="1"/>
    <x v="0"/>
    <x v="1"/>
    <x v="0"/>
    <x v="0"/>
    <x v="1"/>
    <x v="0"/>
    <x v="0"/>
    <x v="0"/>
    <x v="0"/>
    <x v="0"/>
    <x v="0"/>
    <x v="0"/>
    <x v="0"/>
    <x v="0"/>
  </r>
  <r>
    <x v="716"/>
    <s v="ASMITA SIRAIT"/>
    <x v="5"/>
    <x v="1"/>
    <x v="2"/>
    <x v="1"/>
    <x v="0"/>
    <x v="1"/>
    <x v="0"/>
    <x v="0"/>
    <x v="1"/>
    <x v="0"/>
    <x v="0"/>
    <x v="0"/>
    <x v="0"/>
    <x v="0"/>
    <x v="0"/>
    <x v="0"/>
    <x v="0"/>
    <x v="0"/>
  </r>
  <r>
    <x v="717"/>
    <s v="EMMI ANNA SIMANJUNTAK"/>
    <x v="5"/>
    <x v="1"/>
    <x v="2"/>
    <x v="1"/>
    <x v="0"/>
    <x v="1"/>
    <x v="0"/>
    <x v="0"/>
    <x v="1"/>
    <x v="0"/>
    <x v="0"/>
    <x v="0"/>
    <x v="0"/>
    <x v="0"/>
    <x v="0"/>
    <x v="0"/>
    <x v="0"/>
    <x v="0"/>
  </r>
  <r>
    <x v="718"/>
    <s v="EVI GRASELA HUTABALIAN"/>
    <x v="3"/>
    <x v="1"/>
    <x v="2"/>
    <x v="1"/>
    <x v="0"/>
    <x v="1"/>
    <x v="0"/>
    <x v="0"/>
    <x v="1"/>
    <x v="0"/>
    <x v="0"/>
    <x v="0"/>
    <x v="0"/>
    <x v="0"/>
    <x v="0"/>
    <x v="0"/>
    <x v="0"/>
    <x v="0"/>
  </r>
  <r>
    <x v="719"/>
    <s v="FITRI AYU"/>
    <x v="3"/>
    <x v="1"/>
    <x v="3"/>
    <x v="1"/>
    <x v="0"/>
    <x v="1"/>
    <x v="0"/>
    <x v="0"/>
    <x v="1"/>
    <x v="0"/>
    <x v="0"/>
    <x v="0"/>
    <x v="0"/>
    <x v="0"/>
    <x v="0"/>
    <x v="0"/>
    <x v="0"/>
    <x v="0"/>
  </r>
  <r>
    <x v="720"/>
    <s v="HERI BONIATI SILABAN"/>
    <x v="3"/>
    <x v="1"/>
    <x v="3"/>
    <x v="1"/>
    <x v="0"/>
    <x v="1"/>
    <x v="0"/>
    <x v="0"/>
    <x v="0"/>
    <x v="0"/>
    <x v="0"/>
    <x v="0"/>
    <x v="0"/>
    <x v="0"/>
    <x v="0"/>
    <x v="0"/>
    <x v="0"/>
    <x v="0"/>
  </r>
  <r>
    <x v="721"/>
    <s v="IRMA MARLINA"/>
    <x v="21"/>
    <x v="1"/>
    <x v="3"/>
    <x v="1"/>
    <x v="0"/>
    <x v="1"/>
    <x v="0"/>
    <x v="0"/>
    <x v="1"/>
    <x v="0"/>
    <x v="0"/>
    <x v="0"/>
    <x v="0"/>
    <x v="0"/>
    <x v="0"/>
    <x v="0"/>
    <x v="0"/>
    <x v="0"/>
  </r>
  <r>
    <x v="722"/>
    <s v="JEREMIA MUSTIKA LUMBAN TOBING"/>
    <x v="21"/>
    <x v="1"/>
    <x v="1"/>
    <x v="1"/>
    <x v="0"/>
    <x v="1"/>
    <x v="0"/>
    <x v="0"/>
    <x v="1"/>
    <x v="0"/>
    <x v="0"/>
    <x v="0"/>
    <x v="0"/>
    <x v="0"/>
    <x v="0"/>
    <x v="0"/>
    <x v="0"/>
    <x v="0"/>
  </r>
  <r>
    <x v="723"/>
    <s v="LASNIATI SIHOMBING"/>
    <x v="7"/>
    <x v="1"/>
    <x v="1"/>
    <x v="1"/>
    <x v="0"/>
    <x v="1"/>
    <x v="0"/>
    <x v="0"/>
    <x v="1"/>
    <x v="0"/>
    <x v="0"/>
    <x v="0"/>
    <x v="0"/>
    <x v="0"/>
    <x v="0"/>
    <x v="0"/>
    <x v="0"/>
    <x v="0"/>
  </r>
  <r>
    <x v="724"/>
    <s v="MORINA SIAHAAN"/>
    <x v="19"/>
    <x v="1"/>
    <x v="3"/>
    <x v="1"/>
    <x v="0"/>
    <x v="1"/>
    <x v="0"/>
    <x v="0"/>
    <x v="1"/>
    <x v="0"/>
    <x v="0"/>
    <x v="0"/>
    <x v="0"/>
    <x v="0"/>
    <x v="0"/>
    <x v="0"/>
    <x v="0"/>
    <x v="0"/>
  </r>
  <r>
    <x v="725"/>
    <s v="PRICILIA YUTAN KARLINA"/>
    <x v="21"/>
    <x v="1"/>
    <x v="1"/>
    <x v="1"/>
    <x v="0"/>
    <x v="1"/>
    <x v="0"/>
    <x v="0"/>
    <x v="1"/>
    <x v="0"/>
    <x v="0"/>
    <x v="0"/>
    <x v="0"/>
    <x v="0"/>
    <x v="0"/>
    <x v="0"/>
    <x v="0"/>
    <x v="0"/>
  </r>
  <r>
    <x v="726"/>
    <s v="PUTRI MARIA GINTING"/>
    <x v="19"/>
    <x v="1"/>
    <x v="1"/>
    <x v="1"/>
    <x v="0"/>
    <x v="1"/>
    <x v="0"/>
    <x v="0"/>
    <x v="1"/>
    <x v="0"/>
    <x v="0"/>
    <x v="0"/>
    <x v="0"/>
    <x v="0"/>
    <x v="0"/>
    <x v="0"/>
    <x v="0"/>
    <x v="0"/>
  </r>
  <r>
    <x v="727"/>
    <s v="RINI MARIANI"/>
    <x v="19"/>
    <x v="1"/>
    <x v="3"/>
    <x v="1"/>
    <x v="0"/>
    <x v="1"/>
    <x v="0"/>
    <x v="0"/>
    <x v="1"/>
    <x v="0"/>
    <x v="0"/>
    <x v="0"/>
    <x v="0"/>
    <x v="0"/>
    <x v="0"/>
    <x v="0"/>
    <x v="0"/>
    <x v="0"/>
  </r>
  <r>
    <x v="728"/>
    <s v="RISKA"/>
    <x v="7"/>
    <x v="1"/>
    <x v="1"/>
    <x v="1"/>
    <x v="0"/>
    <x v="1"/>
    <x v="0"/>
    <x v="0"/>
    <x v="1"/>
    <x v="0"/>
    <x v="0"/>
    <x v="0"/>
    <x v="0"/>
    <x v="0"/>
    <x v="0"/>
    <x v="0"/>
    <x v="0"/>
    <x v="0"/>
  </r>
  <r>
    <x v="729"/>
    <s v="RIZKY PUTRI"/>
    <x v="19"/>
    <x v="1"/>
    <x v="1"/>
    <x v="1"/>
    <x v="0"/>
    <x v="1"/>
    <x v="0"/>
    <x v="0"/>
    <x v="1"/>
    <x v="0"/>
    <x v="0"/>
    <x v="0"/>
    <x v="0"/>
    <x v="0"/>
    <x v="0"/>
    <x v="0"/>
    <x v="0"/>
    <x v="0"/>
  </r>
  <r>
    <x v="730"/>
    <s v="ROSALINA SIAHAAN"/>
    <x v="19"/>
    <x v="1"/>
    <x v="1"/>
    <x v="0"/>
    <x v="1"/>
    <x v="0"/>
    <x v="1"/>
    <x v="1"/>
    <x v="1"/>
    <x v="0"/>
    <x v="0"/>
    <x v="0"/>
    <x v="0"/>
    <x v="0"/>
    <x v="0"/>
    <x v="0"/>
    <x v="0"/>
    <x v="0"/>
  </r>
  <r>
    <x v="731"/>
    <s v="SELLA OKTAVIA"/>
    <x v="19"/>
    <x v="1"/>
    <x v="1"/>
    <x v="1"/>
    <x v="0"/>
    <x v="1"/>
    <x v="0"/>
    <x v="0"/>
    <x v="1"/>
    <x v="0"/>
    <x v="0"/>
    <x v="0"/>
    <x v="0"/>
    <x v="0"/>
    <x v="0"/>
    <x v="0"/>
    <x v="0"/>
    <x v="0"/>
  </r>
  <r>
    <x v="732"/>
    <s v="SHINTA DEVI NETANIA BUTAR BUTAR"/>
    <x v="19"/>
    <x v="1"/>
    <x v="2"/>
    <x v="1"/>
    <x v="0"/>
    <x v="1"/>
    <x v="0"/>
    <x v="0"/>
    <x v="1"/>
    <x v="0"/>
    <x v="0"/>
    <x v="0"/>
    <x v="0"/>
    <x v="0"/>
    <x v="0"/>
    <x v="0"/>
    <x v="0"/>
    <x v="0"/>
  </r>
  <r>
    <x v="733"/>
    <s v="SURYA MARINTAN SIANTURI"/>
    <x v="19"/>
    <x v="1"/>
    <x v="2"/>
    <x v="1"/>
    <x v="0"/>
    <x v="1"/>
    <x v="0"/>
    <x v="0"/>
    <x v="1"/>
    <x v="0"/>
    <x v="0"/>
    <x v="0"/>
    <x v="0"/>
    <x v="0"/>
    <x v="0"/>
    <x v="0"/>
    <x v="0"/>
    <x v="0"/>
  </r>
  <r>
    <x v="734"/>
    <s v="YUHANIS MARSELA"/>
    <x v="19"/>
    <x v="1"/>
    <x v="3"/>
    <x v="1"/>
    <x v="0"/>
    <x v="1"/>
    <x v="0"/>
    <x v="0"/>
    <x v="1"/>
    <x v="0"/>
    <x v="0"/>
    <x v="0"/>
    <x v="0"/>
    <x v="0"/>
    <x v="0"/>
    <x v="0"/>
    <x v="0"/>
    <x v="0"/>
  </r>
  <r>
    <x v="735"/>
    <s v="MUHAMMAD ZAINUDDIN BIN ZULKEFLI"/>
    <x v="10"/>
    <x v="0"/>
    <x v="3"/>
    <x v="1"/>
    <x v="0"/>
    <x v="1"/>
    <x v="0"/>
    <x v="0"/>
    <x v="1"/>
    <x v="0"/>
    <x v="0"/>
    <x v="0"/>
    <x v="0"/>
    <x v="0"/>
    <x v="0"/>
    <x v="0"/>
    <x v="0"/>
    <x v="0"/>
  </r>
  <r>
    <x v="736"/>
    <s v="TENGKU NABILAH NAJWA BINTI TENGKU KASIM"/>
    <x v="20"/>
    <x v="1"/>
    <x v="3"/>
    <x v="1"/>
    <x v="0"/>
    <x v="1"/>
    <x v="0"/>
    <x v="0"/>
    <x v="1"/>
    <x v="0"/>
    <x v="0"/>
    <x v="0"/>
    <x v="0"/>
    <x v="0"/>
    <x v="0"/>
    <x v="0"/>
    <x v="0"/>
    <x v="0"/>
  </r>
  <r>
    <x v="737"/>
    <s v="NUR HAFIZAH BINTI ISMAIL"/>
    <x v="0"/>
    <x v="1"/>
    <x v="3"/>
    <x v="1"/>
    <x v="0"/>
    <x v="1"/>
    <x v="0"/>
    <x v="0"/>
    <x v="1"/>
    <x v="0"/>
    <x v="0"/>
    <x v="0"/>
    <x v="0"/>
    <x v="0"/>
    <x v="0"/>
    <x v="0"/>
    <x v="0"/>
    <x v="0"/>
  </r>
  <r>
    <x v="738"/>
    <s v="ANIL WAIBA"/>
    <x v="16"/>
    <x v="0"/>
    <x v="2"/>
    <x v="1"/>
    <x v="0"/>
    <x v="1"/>
    <x v="0"/>
    <x v="0"/>
    <x v="1"/>
    <x v="0"/>
    <x v="0"/>
    <x v="0"/>
    <x v="0"/>
    <x v="0"/>
    <x v="0"/>
    <x v="0"/>
    <x v="0"/>
    <x v="0"/>
  </r>
  <r>
    <x v="739"/>
    <s v="ANISH KUMAR CHAUDHARY"/>
    <x v="4"/>
    <x v="0"/>
    <x v="2"/>
    <x v="1"/>
    <x v="0"/>
    <x v="1"/>
    <x v="0"/>
    <x v="0"/>
    <x v="1"/>
    <x v="0"/>
    <x v="0"/>
    <x v="0"/>
    <x v="0"/>
    <x v="0"/>
    <x v="0"/>
    <x v="0"/>
    <x v="0"/>
    <x v="0"/>
  </r>
  <r>
    <x v="740"/>
    <s v="ARUN KUMAR KUSHWAHA"/>
    <x v="4"/>
    <x v="0"/>
    <x v="1"/>
    <x v="1"/>
    <x v="0"/>
    <x v="1"/>
    <x v="0"/>
    <x v="0"/>
    <x v="1"/>
    <x v="0"/>
    <x v="0"/>
    <x v="0"/>
    <x v="0"/>
    <x v="0"/>
    <x v="0"/>
    <x v="0"/>
    <x v="0"/>
    <x v="0"/>
  </r>
  <r>
    <x v="741"/>
    <s v="ASHISH KAHAR"/>
    <x v="16"/>
    <x v="0"/>
    <x v="1"/>
    <x v="1"/>
    <x v="0"/>
    <x v="1"/>
    <x v="1"/>
    <x v="1"/>
    <x v="1"/>
    <x v="0"/>
    <x v="0"/>
    <x v="0"/>
    <x v="0"/>
    <x v="0"/>
    <x v="0"/>
    <x v="0"/>
    <x v="0"/>
    <x v="0"/>
  </r>
  <r>
    <x v="742"/>
    <s v="ASHOK LIMBU"/>
    <x v="16"/>
    <x v="0"/>
    <x v="3"/>
    <x v="1"/>
    <x v="0"/>
    <x v="1"/>
    <x v="0"/>
    <x v="0"/>
    <x v="1"/>
    <x v="0"/>
    <x v="0"/>
    <x v="0"/>
    <x v="0"/>
    <x v="0"/>
    <x v="0"/>
    <x v="0"/>
    <x v="0"/>
    <x v="0"/>
  </r>
  <r>
    <x v="743"/>
    <s v="BIDEK ADHIKARI"/>
    <x v="16"/>
    <x v="0"/>
    <x v="3"/>
    <x v="1"/>
    <x v="0"/>
    <x v="1"/>
    <x v="0"/>
    <x v="0"/>
    <x v="1"/>
    <x v="0"/>
    <x v="0"/>
    <x v="0"/>
    <x v="0"/>
    <x v="0"/>
    <x v="0"/>
    <x v="0"/>
    <x v="0"/>
    <x v="0"/>
  </r>
  <r>
    <x v="744"/>
    <s v="CHANDAN KUMAR SAH"/>
    <x v="16"/>
    <x v="0"/>
    <x v="2"/>
    <x v="1"/>
    <x v="0"/>
    <x v="1"/>
    <x v="0"/>
    <x v="0"/>
    <x v="1"/>
    <x v="0"/>
    <x v="0"/>
    <x v="0"/>
    <x v="0"/>
    <x v="0"/>
    <x v="0"/>
    <x v="0"/>
    <x v="0"/>
    <x v="0"/>
  </r>
  <r>
    <x v="745"/>
    <s v="DILIP KUMAR MANDAL"/>
    <x v="3"/>
    <x v="0"/>
    <x v="2"/>
    <x v="1"/>
    <x v="0"/>
    <x v="1"/>
    <x v="0"/>
    <x v="0"/>
    <x v="1"/>
    <x v="0"/>
    <x v="0"/>
    <x v="0"/>
    <x v="0"/>
    <x v="0"/>
    <x v="0"/>
    <x v="0"/>
    <x v="0"/>
    <x v="0"/>
  </r>
  <r>
    <x v="746"/>
    <s v="DIPAK KUMAR RAM"/>
    <x v="19"/>
    <x v="0"/>
    <x v="1"/>
    <x v="1"/>
    <x v="0"/>
    <x v="1"/>
    <x v="0"/>
    <x v="0"/>
    <x v="1"/>
    <x v="0"/>
    <x v="0"/>
    <x v="0"/>
    <x v="0"/>
    <x v="0"/>
    <x v="0"/>
    <x v="0"/>
    <x v="0"/>
    <x v="0"/>
  </r>
  <r>
    <x v="747"/>
    <s v="DIPENDRA KUMAR MAHATO"/>
    <x v="16"/>
    <x v="0"/>
    <x v="3"/>
    <x v="1"/>
    <x v="0"/>
    <x v="1"/>
    <x v="0"/>
    <x v="0"/>
    <x v="1"/>
    <x v="0"/>
    <x v="0"/>
    <x v="0"/>
    <x v="0"/>
    <x v="0"/>
    <x v="0"/>
    <x v="0"/>
    <x v="0"/>
    <x v="0"/>
  </r>
  <r>
    <x v="748"/>
    <s v="GOVINDA BAHADUR SARUGHARTI"/>
    <x v="4"/>
    <x v="0"/>
    <x v="1"/>
    <x v="1"/>
    <x v="0"/>
    <x v="1"/>
    <x v="0"/>
    <x v="0"/>
    <x v="1"/>
    <x v="0"/>
    <x v="0"/>
    <x v="0"/>
    <x v="0"/>
    <x v="0"/>
    <x v="0"/>
    <x v="0"/>
    <x v="0"/>
    <x v="0"/>
  </r>
  <r>
    <x v="749"/>
    <s v="JANAM GURUNG"/>
    <x v="7"/>
    <x v="0"/>
    <x v="3"/>
    <x v="1"/>
    <x v="0"/>
    <x v="1"/>
    <x v="0"/>
    <x v="0"/>
    <x v="1"/>
    <x v="0"/>
    <x v="0"/>
    <x v="0"/>
    <x v="0"/>
    <x v="0"/>
    <x v="0"/>
    <x v="0"/>
    <x v="0"/>
    <x v="0"/>
  </r>
  <r>
    <x v="750"/>
    <s v="JAY PRAKASH SAH"/>
    <x v="16"/>
    <x v="0"/>
    <x v="1"/>
    <x v="1"/>
    <x v="0"/>
    <x v="1"/>
    <x v="0"/>
    <x v="0"/>
    <x v="1"/>
    <x v="0"/>
    <x v="0"/>
    <x v="0"/>
    <x v="0"/>
    <x v="0"/>
    <x v="0"/>
    <x v="0"/>
    <x v="0"/>
    <x v="0"/>
  </r>
  <r>
    <x v="751"/>
    <s v="JIT RAM CHAUDHARY"/>
    <x v="4"/>
    <x v="0"/>
    <x v="1"/>
    <x v="1"/>
    <x v="0"/>
    <x v="1"/>
    <x v="0"/>
    <x v="0"/>
    <x v="1"/>
    <x v="0"/>
    <x v="0"/>
    <x v="0"/>
    <x v="0"/>
    <x v="0"/>
    <x v="0"/>
    <x v="0"/>
    <x v="0"/>
    <x v="0"/>
  </r>
  <r>
    <x v="752"/>
    <s v="MABOHANG KHAJUM"/>
    <x v="16"/>
    <x v="0"/>
    <x v="3"/>
    <x v="1"/>
    <x v="0"/>
    <x v="1"/>
    <x v="0"/>
    <x v="0"/>
    <x v="1"/>
    <x v="0"/>
    <x v="0"/>
    <x v="0"/>
    <x v="0"/>
    <x v="0"/>
    <x v="0"/>
    <x v="0"/>
    <x v="0"/>
    <x v="0"/>
  </r>
  <r>
    <x v="753"/>
    <s v="MANSING MAJHI"/>
    <x v="16"/>
    <x v="0"/>
    <x v="2"/>
    <x v="1"/>
    <x v="0"/>
    <x v="1"/>
    <x v="0"/>
    <x v="0"/>
    <x v="1"/>
    <x v="0"/>
    <x v="0"/>
    <x v="0"/>
    <x v="0"/>
    <x v="0"/>
    <x v="0"/>
    <x v="0"/>
    <x v="0"/>
    <x v="0"/>
  </r>
  <r>
    <x v="754"/>
    <s v="MEGNATH GUPTA"/>
    <x v="0"/>
    <x v="0"/>
    <x v="3"/>
    <x v="1"/>
    <x v="0"/>
    <x v="1"/>
    <x v="0"/>
    <x v="0"/>
    <x v="1"/>
    <x v="0"/>
    <x v="0"/>
    <x v="0"/>
    <x v="0"/>
    <x v="0"/>
    <x v="0"/>
    <x v="0"/>
    <x v="0"/>
    <x v="0"/>
  </r>
  <r>
    <x v="755"/>
    <s v="NABARAJ GHIMIRE"/>
    <x v="16"/>
    <x v="0"/>
    <x v="2"/>
    <x v="1"/>
    <x v="0"/>
    <x v="1"/>
    <x v="0"/>
    <x v="0"/>
    <x v="1"/>
    <x v="0"/>
    <x v="0"/>
    <x v="0"/>
    <x v="0"/>
    <x v="0"/>
    <x v="0"/>
    <x v="0"/>
    <x v="0"/>
    <x v="0"/>
  </r>
  <r>
    <x v="756"/>
    <s v="NIRAJ KAUCHA"/>
    <x v="6"/>
    <x v="0"/>
    <x v="2"/>
    <x v="1"/>
    <x v="0"/>
    <x v="1"/>
    <x v="0"/>
    <x v="0"/>
    <x v="1"/>
    <x v="0"/>
    <x v="0"/>
    <x v="0"/>
    <x v="0"/>
    <x v="0"/>
    <x v="0"/>
    <x v="0"/>
    <x v="0"/>
    <x v="0"/>
  </r>
  <r>
    <x v="757"/>
    <s v="PADAM BAHADUR SUNAR"/>
    <x v="4"/>
    <x v="0"/>
    <x v="3"/>
    <x v="1"/>
    <x v="0"/>
    <x v="1"/>
    <x v="0"/>
    <x v="0"/>
    <x v="1"/>
    <x v="0"/>
    <x v="0"/>
    <x v="0"/>
    <x v="0"/>
    <x v="0"/>
    <x v="0"/>
    <x v="0"/>
    <x v="0"/>
    <x v="0"/>
  </r>
  <r>
    <x v="758"/>
    <s v="RABI KUMAR JHA"/>
    <x v="5"/>
    <x v="0"/>
    <x v="1"/>
    <x v="1"/>
    <x v="0"/>
    <x v="1"/>
    <x v="0"/>
    <x v="0"/>
    <x v="1"/>
    <x v="0"/>
    <x v="0"/>
    <x v="0"/>
    <x v="0"/>
    <x v="0"/>
    <x v="0"/>
    <x v="0"/>
    <x v="0"/>
    <x v="0"/>
  </r>
  <r>
    <x v="759"/>
    <s v="RAJIV KUMAR MANDAL"/>
    <x v="16"/>
    <x v="0"/>
    <x v="1"/>
    <x v="1"/>
    <x v="0"/>
    <x v="1"/>
    <x v="0"/>
    <x v="0"/>
    <x v="1"/>
    <x v="0"/>
    <x v="0"/>
    <x v="0"/>
    <x v="0"/>
    <x v="0"/>
    <x v="0"/>
    <x v="0"/>
    <x v="0"/>
    <x v="0"/>
  </r>
  <r>
    <x v="760"/>
    <s v="REBAT KHADKA"/>
    <x v="4"/>
    <x v="0"/>
    <x v="3"/>
    <x v="1"/>
    <x v="0"/>
    <x v="1"/>
    <x v="0"/>
    <x v="0"/>
    <x v="1"/>
    <x v="0"/>
    <x v="0"/>
    <x v="0"/>
    <x v="0"/>
    <x v="0"/>
    <x v="0"/>
    <x v="0"/>
    <x v="0"/>
    <x v="0"/>
  </r>
  <r>
    <x v="761"/>
    <s v="RUPESH KUMAR SAH"/>
    <x v="0"/>
    <x v="0"/>
    <x v="2"/>
    <x v="1"/>
    <x v="0"/>
    <x v="1"/>
    <x v="0"/>
    <x v="0"/>
    <x v="1"/>
    <x v="0"/>
    <x v="0"/>
    <x v="0"/>
    <x v="0"/>
    <x v="0"/>
    <x v="0"/>
    <x v="0"/>
    <x v="0"/>
    <x v="0"/>
  </r>
  <r>
    <x v="762"/>
    <s v="SANJIP KUMAR MAHATO"/>
    <x v="9"/>
    <x v="0"/>
    <x v="3"/>
    <x v="1"/>
    <x v="0"/>
    <x v="1"/>
    <x v="0"/>
    <x v="0"/>
    <x v="1"/>
    <x v="0"/>
    <x v="0"/>
    <x v="0"/>
    <x v="0"/>
    <x v="0"/>
    <x v="0"/>
    <x v="0"/>
    <x v="0"/>
    <x v="0"/>
  </r>
  <r>
    <x v="763"/>
    <s v="SANTOSH NEPALI"/>
    <x v="0"/>
    <x v="0"/>
    <x v="1"/>
    <x v="1"/>
    <x v="0"/>
    <x v="1"/>
    <x v="0"/>
    <x v="0"/>
    <x v="1"/>
    <x v="0"/>
    <x v="0"/>
    <x v="0"/>
    <x v="0"/>
    <x v="0"/>
    <x v="0"/>
    <x v="0"/>
    <x v="0"/>
    <x v="0"/>
  </r>
  <r>
    <x v="764"/>
    <s v="SANTOSH ROKA"/>
    <x v="0"/>
    <x v="0"/>
    <x v="2"/>
    <x v="1"/>
    <x v="0"/>
    <x v="1"/>
    <x v="0"/>
    <x v="0"/>
    <x v="1"/>
    <x v="0"/>
    <x v="0"/>
    <x v="0"/>
    <x v="0"/>
    <x v="0"/>
    <x v="0"/>
    <x v="0"/>
    <x v="0"/>
    <x v="0"/>
  </r>
  <r>
    <x v="765"/>
    <s v="SHIV KUMAR MAHATO"/>
    <x v="16"/>
    <x v="0"/>
    <x v="2"/>
    <x v="1"/>
    <x v="0"/>
    <x v="1"/>
    <x v="0"/>
    <x v="0"/>
    <x v="1"/>
    <x v="0"/>
    <x v="0"/>
    <x v="0"/>
    <x v="0"/>
    <x v="0"/>
    <x v="0"/>
    <x v="0"/>
    <x v="0"/>
    <x v="0"/>
  </r>
  <r>
    <x v="766"/>
    <s v="SURENDRA PUTUWAR"/>
    <x v="16"/>
    <x v="0"/>
    <x v="1"/>
    <x v="0"/>
    <x v="1"/>
    <x v="1"/>
    <x v="0"/>
    <x v="0"/>
    <x v="1"/>
    <x v="0"/>
    <x v="0"/>
    <x v="0"/>
    <x v="0"/>
    <x v="0"/>
    <x v="0"/>
    <x v="0"/>
    <x v="0"/>
    <x v="0"/>
  </r>
  <r>
    <x v="767"/>
    <s v="YOGENDRA ANGDEMBE"/>
    <x v="16"/>
    <x v="0"/>
    <x v="3"/>
    <x v="1"/>
    <x v="0"/>
    <x v="1"/>
    <x v="0"/>
    <x v="0"/>
    <x v="1"/>
    <x v="0"/>
    <x v="0"/>
    <x v="0"/>
    <x v="0"/>
    <x v="0"/>
    <x v="0"/>
    <x v="0"/>
    <x v="0"/>
    <x v="0"/>
  </r>
  <r>
    <x v="768"/>
    <s v="MUHAMMAD NAJIB BIN NAZARI"/>
    <x v="10"/>
    <x v="0"/>
    <x v="1"/>
    <x v="1"/>
    <x v="0"/>
    <x v="1"/>
    <x v="0"/>
    <x v="0"/>
    <x v="1"/>
    <x v="0"/>
    <x v="0"/>
    <x v="0"/>
    <x v="0"/>
    <x v="0"/>
    <x v="0"/>
    <x v="0"/>
    <x v="0"/>
    <x v="0"/>
  </r>
  <r>
    <x v="769"/>
    <s v="RUDY IRWAN BIN YAHAYA"/>
    <x v="13"/>
    <x v="0"/>
    <x v="2"/>
    <x v="1"/>
    <x v="0"/>
    <x v="1"/>
    <x v="0"/>
    <x v="0"/>
    <x v="1"/>
    <x v="0"/>
    <x v="0"/>
    <x v="0"/>
    <x v="0"/>
    <x v="0"/>
    <x v="0"/>
    <x v="0"/>
    <x v="0"/>
    <x v="0"/>
  </r>
  <r>
    <x v="770"/>
    <s v="MOHD QUSAIMI BIN ALIAS"/>
    <x v="11"/>
    <x v="0"/>
    <x v="3"/>
    <x v="1"/>
    <x v="0"/>
    <x v="1"/>
    <x v="0"/>
    <x v="0"/>
    <x v="1"/>
    <x v="0"/>
    <x v="0"/>
    <x v="0"/>
    <x v="0"/>
    <x v="0"/>
    <x v="0"/>
    <x v="0"/>
    <x v="0"/>
    <x v="0"/>
  </r>
  <r>
    <x v="771"/>
    <s v="MUHAMMAD IMAN NURHAKIM BIN ABDUL HADI"/>
    <x v="5"/>
    <x v="0"/>
    <x v="3"/>
    <x v="1"/>
    <x v="0"/>
    <x v="1"/>
    <x v="0"/>
    <x v="0"/>
    <x v="1"/>
    <x v="0"/>
    <x v="0"/>
    <x v="0"/>
    <x v="0"/>
    <x v="0"/>
    <x v="0"/>
    <x v="0"/>
    <x v="0"/>
    <x v="0"/>
  </r>
  <r>
    <x v="772"/>
    <s v="MOHAMAD AKHIR BIN ABD HADZRI"/>
    <x v="20"/>
    <x v="0"/>
    <x v="1"/>
    <x v="1"/>
    <x v="0"/>
    <x v="1"/>
    <x v="0"/>
    <x v="0"/>
    <x v="0"/>
    <x v="0"/>
    <x v="0"/>
    <x v="0"/>
    <x v="0"/>
    <x v="0"/>
    <x v="0"/>
    <x v="0"/>
    <x v="0"/>
    <x v="0"/>
  </r>
  <r>
    <x v="773"/>
    <s v="MOHAMAD SYAHRIL BIN JAAFAR"/>
    <x v="2"/>
    <x v="0"/>
    <x v="3"/>
    <x v="1"/>
    <x v="0"/>
    <x v="1"/>
    <x v="0"/>
    <x v="0"/>
    <x v="1"/>
    <x v="0"/>
    <x v="0"/>
    <x v="0"/>
    <x v="0"/>
    <x v="0"/>
    <x v="0"/>
    <x v="0"/>
    <x v="0"/>
    <x v="0"/>
  </r>
  <r>
    <x v="774"/>
    <s v="MEOR FIKRI BIN ABD RAZAK"/>
    <x v="14"/>
    <x v="0"/>
    <x v="2"/>
    <x v="1"/>
    <x v="0"/>
    <x v="1"/>
    <x v="0"/>
    <x v="0"/>
    <x v="0"/>
    <x v="0"/>
    <x v="0"/>
    <x v="0"/>
    <x v="0"/>
    <x v="0"/>
    <x v="0"/>
    <x v="0"/>
    <x v="0"/>
    <x v="0"/>
  </r>
  <r>
    <x v="775"/>
    <s v="MUHAMMAD ISHAM AQIL BIN MARZUKI"/>
    <x v="16"/>
    <x v="0"/>
    <x v="2"/>
    <x v="1"/>
    <x v="0"/>
    <x v="1"/>
    <x v="0"/>
    <x v="0"/>
    <x v="1"/>
    <x v="0"/>
    <x v="0"/>
    <x v="0"/>
    <x v="0"/>
    <x v="0"/>
    <x v="0"/>
    <x v="0"/>
    <x v="0"/>
    <x v="0"/>
  </r>
  <r>
    <x v="776"/>
    <s v="ATIFA NAJWA BINTI ADNAN"/>
    <x v="19"/>
    <x v="1"/>
    <x v="3"/>
    <x v="1"/>
    <x v="0"/>
    <x v="1"/>
    <x v="0"/>
    <x v="0"/>
    <x v="1"/>
    <x v="0"/>
    <x v="0"/>
    <x v="0"/>
    <x v="0"/>
    <x v="0"/>
    <x v="0"/>
    <x v="0"/>
    <x v="0"/>
    <x v="0"/>
  </r>
  <r>
    <x v="777"/>
    <s v="GABRIEL ALLEN SMITH ANAK ARREY"/>
    <x v="5"/>
    <x v="0"/>
    <x v="1"/>
    <x v="1"/>
    <x v="0"/>
    <x v="1"/>
    <x v="0"/>
    <x v="0"/>
    <x v="1"/>
    <x v="0"/>
    <x v="0"/>
    <x v="0"/>
    <x v="0"/>
    <x v="0"/>
    <x v="0"/>
    <x v="0"/>
    <x v="0"/>
    <x v="0"/>
  </r>
  <r>
    <x v="778"/>
    <s v="ARIFF EIKMAL BIN MD ZAHIR"/>
    <x v="8"/>
    <x v="0"/>
    <x v="1"/>
    <x v="1"/>
    <x v="0"/>
    <x v="1"/>
    <x v="0"/>
    <x v="0"/>
    <x v="1"/>
    <x v="0"/>
    <x v="0"/>
    <x v="0"/>
    <x v="0"/>
    <x v="0"/>
    <x v="0"/>
    <x v="0"/>
    <x v="0"/>
    <x v="0"/>
  </r>
  <r>
    <x v="779"/>
    <s v="MOHAMAD FIRDAUS BIN RAHIM"/>
    <x v="0"/>
    <x v="0"/>
    <x v="1"/>
    <x v="1"/>
    <x v="0"/>
    <x v="1"/>
    <x v="0"/>
    <x v="0"/>
    <x v="1"/>
    <x v="0"/>
    <x v="0"/>
    <x v="0"/>
    <x v="0"/>
    <x v="0"/>
    <x v="0"/>
    <x v="0"/>
    <x v="0"/>
    <x v="0"/>
  </r>
  <r>
    <x v="780"/>
    <s v="ZAWANIS BINTI MAT DESA"/>
    <x v="19"/>
    <x v="1"/>
    <x v="1"/>
    <x v="1"/>
    <x v="0"/>
    <x v="0"/>
    <x v="0"/>
    <x v="0"/>
    <x v="1"/>
    <x v="0"/>
    <x v="0"/>
    <x v="0"/>
    <x v="0"/>
    <x v="0"/>
    <x v="0"/>
    <x v="0"/>
    <x v="0"/>
    <x v="0"/>
  </r>
  <r>
    <x v="781"/>
    <s v="PRISCA BINTI MAJI"/>
    <x v="3"/>
    <x v="1"/>
    <x v="1"/>
    <x v="1"/>
    <x v="0"/>
    <x v="1"/>
    <x v="0"/>
    <x v="0"/>
    <x v="1"/>
    <x v="0"/>
    <x v="0"/>
    <x v="0"/>
    <x v="0"/>
    <x v="0"/>
    <x v="0"/>
    <x v="0"/>
    <x v="0"/>
    <x v="0"/>
  </r>
  <r>
    <x v="782"/>
    <s v="MOHAMAD ARIF AKMAL BIN MAZLIN"/>
    <x v="5"/>
    <x v="0"/>
    <x v="2"/>
    <x v="1"/>
    <x v="0"/>
    <x v="1"/>
    <x v="0"/>
    <x v="0"/>
    <x v="1"/>
    <x v="0"/>
    <x v="0"/>
    <x v="0"/>
    <x v="0"/>
    <x v="0"/>
    <x v="0"/>
    <x v="0"/>
    <x v="0"/>
    <x v="0"/>
  </r>
  <r>
    <x v="783"/>
    <s v="NUR AZILA BINTI MD ARSHAD"/>
    <x v="19"/>
    <x v="1"/>
    <x v="3"/>
    <x v="1"/>
    <x v="0"/>
    <x v="1"/>
    <x v="0"/>
    <x v="0"/>
    <x v="1"/>
    <x v="0"/>
    <x v="0"/>
    <x v="0"/>
    <x v="0"/>
    <x v="0"/>
    <x v="0"/>
    <x v="0"/>
    <x v="0"/>
    <x v="0"/>
  </r>
  <r>
    <x v="784"/>
    <s v="MOHAMMAD FAREEZ BIN MOHD RADZUAN"/>
    <x v="16"/>
    <x v="0"/>
    <x v="3"/>
    <x v="1"/>
    <x v="0"/>
    <x v="1"/>
    <x v="0"/>
    <x v="0"/>
    <x v="1"/>
    <x v="0"/>
    <x v="0"/>
    <x v="0"/>
    <x v="0"/>
    <x v="0"/>
    <x v="0"/>
    <x v="0"/>
    <x v="0"/>
    <x v="0"/>
  </r>
  <r>
    <x v="785"/>
    <s v="NOOR BAHIYATUN BINTI ABU BAKAR"/>
    <x v="7"/>
    <x v="1"/>
    <x v="1"/>
    <x v="1"/>
    <x v="0"/>
    <x v="1"/>
    <x v="0"/>
    <x v="0"/>
    <x v="1"/>
    <x v="0"/>
    <x v="0"/>
    <x v="0"/>
    <x v="0"/>
    <x v="0"/>
    <x v="0"/>
    <x v="0"/>
    <x v="0"/>
    <x v="0"/>
  </r>
  <r>
    <x v="786"/>
    <s v="NOR ZURAINI BINTI MOHAMAD SALLEH"/>
    <x v="19"/>
    <x v="1"/>
    <x v="2"/>
    <x v="1"/>
    <x v="0"/>
    <x v="1"/>
    <x v="0"/>
    <x v="0"/>
    <x v="1"/>
    <x v="0"/>
    <x v="0"/>
    <x v="0"/>
    <x v="0"/>
    <x v="0"/>
    <x v="0"/>
    <x v="0"/>
    <x v="0"/>
    <x v="0"/>
  </r>
  <r>
    <x v="787"/>
    <s v="NUR SYAFIQAH BINTI MOHD ROSHIDI"/>
    <x v="21"/>
    <x v="1"/>
    <x v="2"/>
    <x v="1"/>
    <x v="0"/>
    <x v="1"/>
    <x v="0"/>
    <x v="0"/>
    <x v="1"/>
    <x v="0"/>
    <x v="0"/>
    <x v="0"/>
    <x v="0"/>
    <x v="0"/>
    <x v="0"/>
    <x v="0"/>
    <x v="0"/>
    <x v="0"/>
  </r>
  <r>
    <x v="788"/>
    <s v="NOR HAFIZAH BINTI MOHAMAD REJAB"/>
    <x v="9"/>
    <x v="1"/>
    <x v="2"/>
    <x v="1"/>
    <x v="0"/>
    <x v="1"/>
    <x v="0"/>
    <x v="0"/>
    <x v="1"/>
    <x v="0"/>
    <x v="0"/>
    <x v="0"/>
    <x v="0"/>
    <x v="0"/>
    <x v="0"/>
    <x v="0"/>
    <x v="0"/>
    <x v="0"/>
  </r>
  <r>
    <x v="789"/>
    <s v="MUHAMMAD ARIF AMIRUL BIN MASHHOR"/>
    <x v="5"/>
    <x v="0"/>
    <x v="3"/>
    <x v="1"/>
    <x v="0"/>
    <x v="1"/>
    <x v="0"/>
    <x v="0"/>
    <x v="1"/>
    <x v="0"/>
    <x v="0"/>
    <x v="0"/>
    <x v="0"/>
    <x v="0"/>
    <x v="0"/>
    <x v="0"/>
    <x v="0"/>
    <x v="0"/>
  </r>
  <r>
    <x v="790"/>
    <s v="MOHAMAD RUZAIMI BIN ABU OSMAN"/>
    <x v="7"/>
    <x v="0"/>
    <x v="2"/>
    <x v="1"/>
    <x v="0"/>
    <x v="1"/>
    <x v="0"/>
    <x v="0"/>
    <x v="1"/>
    <x v="0"/>
    <x v="0"/>
    <x v="0"/>
    <x v="0"/>
    <x v="0"/>
    <x v="0"/>
    <x v="0"/>
    <x v="0"/>
    <x v="0"/>
  </r>
  <r>
    <x v="791"/>
    <s v="NOR SYAHIRAH BINTI ABD MALEK"/>
    <x v="18"/>
    <x v="1"/>
    <x v="3"/>
    <x v="1"/>
    <x v="0"/>
    <x v="1"/>
    <x v="0"/>
    <x v="0"/>
    <x v="1"/>
    <x v="0"/>
    <x v="0"/>
    <x v="0"/>
    <x v="0"/>
    <x v="0"/>
    <x v="0"/>
    <x v="0"/>
    <x v="0"/>
    <x v="0"/>
  </r>
  <r>
    <x v="792"/>
    <s v="SITI NURSHAHIRA BINTI MOHD ABU"/>
    <x v="21"/>
    <x v="1"/>
    <x v="1"/>
    <x v="1"/>
    <x v="0"/>
    <x v="1"/>
    <x v="0"/>
    <x v="0"/>
    <x v="1"/>
    <x v="0"/>
    <x v="0"/>
    <x v="0"/>
    <x v="0"/>
    <x v="0"/>
    <x v="0"/>
    <x v="0"/>
    <x v="0"/>
    <x v="0"/>
  </r>
  <r>
    <x v="793"/>
    <s v="SITI MAHAYU BINTI MOHD HUSSIN"/>
    <x v="19"/>
    <x v="1"/>
    <x v="1"/>
    <x v="1"/>
    <x v="0"/>
    <x v="1"/>
    <x v="0"/>
    <x v="0"/>
    <x v="1"/>
    <x v="0"/>
    <x v="0"/>
    <x v="0"/>
    <x v="0"/>
    <x v="0"/>
    <x v="0"/>
    <x v="0"/>
    <x v="0"/>
    <x v="0"/>
  </r>
  <r>
    <x v="794"/>
    <s v="MOHAMAD ZARIN IZWAN BIN MOHAMAD"/>
    <x v="0"/>
    <x v="0"/>
    <x v="1"/>
    <x v="1"/>
    <x v="0"/>
    <x v="1"/>
    <x v="1"/>
    <x v="1"/>
    <x v="1"/>
    <x v="0"/>
    <x v="0"/>
    <x v="0"/>
    <x v="0"/>
    <x v="0"/>
    <x v="0"/>
    <x v="0"/>
    <x v="0"/>
    <x v="0"/>
  </r>
  <r>
    <x v="795"/>
    <s v="MOHAMAD ROHAIME BIN MOHAMMAD"/>
    <x v="19"/>
    <x v="0"/>
    <x v="1"/>
    <x v="1"/>
    <x v="0"/>
    <x v="1"/>
    <x v="0"/>
    <x v="0"/>
    <x v="1"/>
    <x v="0"/>
    <x v="0"/>
    <x v="0"/>
    <x v="0"/>
    <x v="0"/>
    <x v="0"/>
    <x v="0"/>
    <x v="0"/>
    <x v="0"/>
  </r>
  <r>
    <x v="796"/>
    <s v="SITI NOR WAHIDAH BINTI MOHAMAD RIDZWAN"/>
    <x v="19"/>
    <x v="1"/>
    <x v="1"/>
    <x v="1"/>
    <x v="0"/>
    <x v="1"/>
    <x v="0"/>
    <x v="0"/>
    <x v="1"/>
    <x v="0"/>
    <x v="0"/>
    <x v="0"/>
    <x v="0"/>
    <x v="0"/>
    <x v="0"/>
    <x v="0"/>
    <x v="0"/>
    <x v="0"/>
  </r>
  <r>
    <x v="797"/>
    <s v="MOHAMMAD FIRDAUS BIN ALIAS"/>
    <x v="16"/>
    <x v="0"/>
    <x v="3"/>
    <x v="1"/>
    <x v="0"/>
    <x v="1"/>
    <x v="0"/>
    <x v="0"/>
    <x v="1"/>
    <x v="0"/>
    <x v="0"/>
    <x v="0"/>
    <x v="0"/>
    <x v="0"/>
    <x v="0"/>
    <x v="0"/>
    <x v="0"/>
    <x v="0"/>
  </r>
  <r>
    <x v="798"/>
    <s v="ILI ARDILLA BINTI ABDUL MALEK"/>
    <x v="18"/>
    <x v="1"/>
    <x v="3"/>
    <x v="1"/>
    <x v="0"/>
    <x v="1"/>
    <x v="0"/>
    <x v="0"/>
    <x v="1"/>
    <x v="0"/>
    <x v="0"/>
    <x v="0"/>
    <x v="0"/>
    <x v="0"/>
    <x v="0"/>
    <x v="0"/>
    <x v="0"/>
    <x v="0"/>
  </r>
  <r>
    <x v="799"/>
    <s v="HAZWANI IZZATI BINTI GHAZALI"/>
    <x v="16"/>
    <x v="1"/>
    <x v="3"/>
    <x v="1"/>
    <x v="0"/>
    <x v="1"/>
    <x v="0"/>
    <x v="0"/>
    <x v="1"/>
    <x v="0"/>
    <x v="0"/>
    <x v="0"/>
    <x v="0"/>
    <x v="0"/>
    <x v="0"/>
    <x v="0"/>
    <x v="0"/>
    <x v="0"/>
  </r>
  <r>
    <x v="800"/>
    <s v="MOHAMAD AZMIN AMIRUL BIN AZMI"/>
    <x v="8"/>
    <x v="0"/>
    <x v="3"/>
    <x v="1"/>
    <x v="0"/>
    <x v="1"/>
    <x v="0"/>
    <x v="0"/>
    <x v="1"/>
    <x v="0"/>
    <x v="0"/>
    <x v="0"/>
    <x v="0"/>
    <x v="0"/>
    <x v="0"/>
    <x v="0"/>
    <x v="0"/>
    <x v="0"/>
  </r>
  <r>
    <x v="801"/>
    <s v="NURSYAZWANI BINTI MOHD SHAARI"/>
    <x v="14"/>
    <x v="1"/>
    <x v="2"/>
    <x v="1"/>
    <x v="0"/>
    <x v="1"/>
    <x v="0"/>
    <x v="0"/>
    <x v="0"/>
    <x v="0"/>
    <x v="0"/>
    <x v="0"/>
    <x v="0"/>
    <x v="0"/>
    <x v="0"/>
    <x v="0"/>
    <x v="0"/>
    <x v="0"/>
  </r>
  <r>
    <x v="802"/>
    <s v="NURUL ASHIKIN BINTI SHAFIE"/>
    <x v="19"/>
    <x v="1"/>
    <x v="3"/>
    <x v="1"/>
    <x v="0"/>
    <x v="1"/>
    <x v="0"/>
    <x v="0"/>
    <x v="1"/>
    <x v="0"/>
    <x v="0"/>
    <x v="0"/>
    <x v="0"/>
    <x v="0"/>
    <x v="0"/>
    <x v="0"/>
    <x v="0"/>
    <x v="0"/>
  </r>
  <r>
    <x v="803"/>
    <s v="NUR SYAHIRAH BINTI ABDULLAH"/>
    <x v="19"/>
    <x v="1"/>
    <x v="2"/>
    <x v="1"/>
    <x v="0"/>
    <x v="1"/>
    <x v="0"/>
    <x v="0"/>
    <x v="1"/>
    <x v="0"/>
    <x v="0"/>
    <x v="0"/>
    <x v="0"/>
    <x v="0"/>
    <x v="0"/>
    <x v="0"/>
    <x v="0"/>
    <x v="0"/>
  </r>
  <r>
    <x v="804"/>
    <s v="ARIF FAHMI BIN RAZALI"/>
    <x v="5"/>
    <x v="0"/>
    <x v="0"/>
    <x v="0"/>
    <x v="0"/>
    <x v="1"/>
    <x v="0"/>
    <x v="0"/>
    <x v="1"/>
    <x v="0"/>
    <x v="0"/>
    <x v="0"/>
    <x v="0"/>
    <x v="0"/>
    <x v="0"/>
    <x v="0"/>
    <x v="0"/>
    <x v="0"/>
  </r>
  <r>
    <x v="805"/>
    <s v="JIVA PRIYA A/P KUMERASEN"/>
    <x v="13"/>
    <x v="1"/>
    <x v="1"/>
    <x v="1"/>
    <x v="0"/>
    <x v="1"/>
    <x v="0"/>
    <x v="0"/>
    <x v="0"/>
    <x v="0"/>
    <x v="0"/>
    <x v="0"/>
    <x v="0"/>
    <x v="0"/>
    <x v="0"/>
    <x v="0"/>
    <x v="0"/>
    <x v="0"/>
  </r>
  <r>
    <x v="806"/>
    <s v="MUHAMMAD ZULFAIZ BIN MOHD ZAHIR"/>
    <x v="10"/>
    <x v="0"/>
    <x v="2"/>
    <x v="1"/>
    <x v="0"/>
    <x v="1"/>
    <x v="0"/>
    <x v="0"/>
    <x v="0"/>
    <x v="0"/>
    <x v="0"/>
    <x v="0"/>
    <x v="0"/>
    <x v="0"/>
    <x v="0"/>
    <x v="0"/>
    <x v="0"/>
    <x v="0"/>
  </r>
  <r>
    <x v="807"/>
    <s v="HELMY QAIYUUM BIN RAMLEE"/>
    <x v="4"/>
    <x v="0"/>
    <x v="1"/>
    <x v="1"/>
    <x v="0"/>
    <x v="1"/>
    <x v="0"/>
    <x v="0"/>
    <x v="0"/>
    <x v="0"/>
    <x v="0"/>
    <x v="0"/>
    <x v="0"/>
    <x v="0"/>
    <x v="0"/>
    <x v="0"/>
    <x v="0"/>
    <x v="0"/>
  </r>
  <r>
    <x v="808"/>
    <s v="MUHAMMAD SYAUQI BIN ZAIDI"/>
    <x v="10"/>
    <x v="0"/>
    <x v="1"/>
    <x v="1"/>
    <x v="0"/>
    <x v="1"/>
    <x v="0"/>
    <x v="0"/>
    <x v="1"/>
    <x v="0"/>
    <x v="0"/>
    <x v="0"/>
    <x v="0"/>
    <x v="0"/>
    <x v="0"/>
    <x v="0"/>
    <x v="0"/>
    <x v="0"/>
  </r>
  <r>
    <x v="809"/>
    <s v="IZZAD SHUKRYEN BIN SARIF"/>
    <x v="13"/>
    <x v="0"/>
    <x v="2"/>
    <x v="1"/>
    <x v="0"/>
    <x v="1"/>
    <x v="0"/>
    <x v="0"/>
    <x v="1"/>
    <x v="0"/>
    <x v="0"/>
    <x v="0"/>
    <x v="0"/>
    <x v="0"/>
    <x v="0"/>
    <x v="0"/>
    <x v="0"/>
    <x v="0"/>
  </r>
  <r>
    <x v="810"/>
    <s v="MOHAMAD SAIFUL ZAINI BIN MAT PIAH"/>
    <x v="13"/>
    <x v="0"/>
    <x v="1"/>
    <x v="1"/>
    <x v="0"/>
    <x v="0"/>
    <x v="0"/>
    <x v="0"/>
    <x v="0"/>
    <x v="0"/>
    <x v="0"/>
    <x v="0"/>
    <x v="0"/>
    <x v="0"/>
    <x v="0"/>
    <x v="0"/>
    <x v="0"/>
    <x v="0"/>
  </r>
  <r>
    <x v="811"/>
    <s v="MOHD SHAFARID IQBAL BIN SHEHIDAN"/>
    <x v="13"/>
    <x v="0"/>
    <x v="3"/>
    <x v="1"/>
    <x v="0"/>
    <x v="1"/>
    <x v="0"/>
    <x v="0"/>
    <x v="1"/>
    <x v="0"/>
    <x v="0"/>
    <x v="0"/>
    <x v="0"/>
    <x v="0"/>
    <x v="0"/>
    <x v="0"/>
    <x v="0"/>
    <x v="0"/>
  </r>
  <r>
    <x v="812"/>
    <s v="MUHAMMAD SOLIHIN BIN MANGSOR"/>
    <x v="10"/>
    <x v="0"/>
    <x v="4"/>
    <x v="0"/>
    <x v="0"/>
    <x v="1"/>
    <x v="0"/>
    <x v="0"/>
    <x v="0"/>
    <x v="0"/>
    <x v="0"/>
    <x v="0"/>
    <x v="0"/>
    <x v="0"/>
    <x v="0"/>
    <x v="0"/>
    <x v="0"/>
    <x v="0"/>
  </r>
  <r>
    <x v="813"/>
    <s v="MOHAMAD RIDHWAN BIN AYUB"/>
    <x v="0"/>
    <x v="0"/>
    <x v="1"/>
    <x v="1"/>
    <x v="0"/>
    <x v="1"/>
    <x v="1"/>
    <x v="1"/>
    <x v="1"/>
    <x v="0"/>
    <x v="0"/>
    <x v="0"/>
    <x v="0"/>
    <x v="0"/>
    <x v="0"/>
    <x v="0"/>
    <x v="0"/>
    <x v="0"/>
  </r>
  <r>
    <x v="814"/>
    <s v="MUHAMMAD SYAZWAN BIN SUHAIMI"/>
    <x v="10"/>
    <x v="0"/>
    <x v="3"/>
    <x v="1"/>
    <x v="0"/>
    <x v="1"/>
    <x v="0"/>
    <x v="0"/>
    <x v="1"/>
    <x v="0"/>
    <x v="0"/>
    <x v="0"/>
    <x v="0"/>
    <x v="0"/>
    <x v="0"/>
    <x v="0"/>
    <x v="0"/>
    <x v="0"/>
  </r>
  <r>
    <x v="815"/>
    <s v="MUHAMMAD AMIRUL SYAFIQ BIN MOHAMAD RUSHDI"/>
    <x v="10"/>
    <x v="0"/>
    <x v="2"/>
    <x v="1"/>
    <x v="0"/>
    <x v="1"/>
    <x v="0"/>
    <x v="0"/>
    <x v="0"/>
    <x v="0"/>
    <x v="0"/>
    <x v="0"/>
    <x v="0"/>
    <x v="0"/>
    <x v="0"/>
    <x v="0"/>
    <x v="0"/>
    <x v="0"/>
  </r>
  <r>
    <x v="816"/>
    <s v="MOHAMAD HANIS BIN DESA"/>
    <x v="10"/>
    <x v="0"/>
    <x v="2"/>
    <x v="1"/>
    <x v="0"/>
    <x v="1"/>
    <x v="0"/>
    <x v="0"/>
    <x v="0"/>
    <x v="0"/>
    <x v="0"/>
    <x v="0"/>
    <x v="0"/>
    <x v="0"/>
    <x v="0"/>
    <x v="0"/>
    <x v="0"/>
    <x v="0"/>
  </r>
  <r>
    <x v="817"/>
    <s v="MUHAMMAD FAHIM BIN MOHD FAUZI"/>
    <x v="15"/>
    <x v="0"/>
    <x v="3"/>
    <x v="0"/>
    <x v="1"/>
    <x v="1"/>
    <x v="0"/>
    <x v="0"/>
    <x v="1"/>
    <x v="0"/>
    <x v="0"/>
    <x v="0"/>
    <x v="0"/>
    <x v="0"/>
    <x v="0"/>
    <x v="0"/>
    <x v="0"/>
    <x v="0"/>
  </r>
  <r>
    <x v="818"/>
    <s v="ABDUL SAMAD BIN MOHD MYDIN"/>
    <x v="7"/>
    <x v="0"/>
    <x v="3"/>
    <x v="1"/>
    <x v="0"/>
    <x v="1"/>
    <x v="0"/>
    <x v="0"/>
    <x v="1"/>
    <x v="0"/>
    <x v="0"/>
    <x v="0"/>
    <x v="0"/>
    <x v="0"/>
    <x v="0"/>
    <x v="0"/>
    <x v="0"/>
    <x v="0"/>
  </r>
  <r>
    <x v="819"/>
    <s v="MUHAMMAD ZARIF BIN RAMAN"/>
    <x v="15"/>
    <x v="0"/>
    <x v="1"/>
    <x v="1"/>
    <x v="0"/>
    <x v="1"/>
    <x v="0"/>
    <x v="0"/>
    <x v="1"/>
    <x v="0"/>
    <x v="0"/>
    <x v="0"/>
    <x v="0"/>
    <x v="0"/>
    <x v="0"/>
    <x v="0"/>
    <x v="0"/>
    <x v="0"/>
  </r>
  <r>
    <x v="820"/>
    <s v="MUHAMMAD ADAM BIN ABDUL LATIFF"/>
    <x v="15"/>
    <x v="0"/>
    <x v="2"/>
    <x v="1"/>
    <x v="0"/>
    <x v="1"/>
    <x v="0"/>
    <x v="0"/>
    <x v="1"/>
    <x v="0"/>
    <x v="0"/>
    <x v="0"/>
    <x v="0"/>
    <x v="0"/>
    <x v="0"/>
    <x v="0"/>
    <x v="0"/>
    <x v="0"/>
  </r>
  <r>
    <x v="821"/>
    <s v="MUHAMMAD NAZIRUL MUBIN BIN MOHD RAMZI"/>
    <x v="0"/>
    <x v="0"/>
    <x v="2"/>
    <x v="1"/>
    <x v="0"/>
    <x v="1"/>
    <x v="0"/>
    <x v="0"/>
    <x v="1"/>
    <x v="0"/>
    <x v="0"/>
    <x v="0"/>
    <x v="0"/>
    <x v="0"/>
    <x v="0"/>
    <x v="0"/>
    <x v="0"/>
    <x v="0"/>
  </r>
  <r>
    <x v="822"/>
    <s v="MOHD AKMAL BIN MOHD ROSLAN"/>
    <x v="10"/>
    <x v="0"/>
    <x v="4"/>
    <x v="0"/>
    <x v="0"/>
    <x v="1"/>
    <x v="0"/>
    <x v="0"/>
    <x v="0"/>
    <x v="0"/>
    <x v="0"/>
    <x v="0"/>
    <x v="0"/>
    <x v="0"/>
    <x v="0"/>
    <x v="0"/>
    <x v="0"/>
    <x v="0"/>
  </r>
  <r>
    <x v="823"/>
    <s v="AMIR SAZRIL BIN IBRAHIM"/>
    <x v="10"/>
    <x v="0"/>
    <x v="4"/>
    <x v="0"/>
    <x v="0"/>
    <x v="1"/>
    <x v="0"/>
    <x v="0"/>
    <x v="0"/>
    <x v="0"/>
    <x v="0"/>
    <x v="0"/>
    <x v="0"/>
    <x v="0"/>
    <x v="0"/>
    <x v="0"/>
    <x v="0"/>
    <x v="0"/>
  </r>
  <r>
    <x v="824"/>
    <s v="MOHAMAD SYAHRUL ANWAR BIN SHA'ARI"/>
    <x v="10"/>
    <x v="0"/>
    <x v="4"/>
    <x v="0"/>
    <x v="1"/>
    <x v="1"/>
    <x v="0"/>
    <x v="0"/>
    <x v="0"/>
    <x v="0"/>
    <x v="0"/>
    <x v="0"/>
    <x v="0"/>
    <x v="0"/>
    <x v="0"/>
    <x v="0"/>
    <x v="0"/>
    <x v="0"/>
  </r>
  <r>
    <x v="825"/>
    <s v="HAZRIQ HELMI HAFEZEE BIN AZHAR"/>
    <x v="10"/>
    <x v="0"/>
    <x v="4"/>
    <x v="0"/>
    <x v="0"/>
    <x v="1"/>
    <x v="0"/>
    <x v="0"/>
    <x v="0"/>
    <x v="0"/>
    <x v="0"/>
    <x v="0"/>
    <x v="0"/>
    <x v="0"/>
    <x v="0"/>
    <x v="0"/>
    <x v="0"/>
    <x v="0"/>
  </r>
  <r>
    <x v="826"/>
    <s v="MOHAMAD ASYRAF AMIR BIN ZULKHIMI"/>
    <x v="18"/>
    <x v="0"/>
    <x v="3"/>
    <x v="1"/>
    <x v="0"/>
    <x v="1"/>
    <x v="0"/>
    <x v="0"/>
    <x v="1"/>
    <x v="0"/>
    <x v="0"/>
    <x v="0"/>
    <x v="0"/>
    <x v="0"/>
    <x v="0"/>
    <x v="0"/>
    <x v="0"/>
    <x v="0"/>
  </r>
  <r>
    <x v="827"/>
    <s v="MUHAMMAD FAKNIRUSHAIRIE BIN SHAFIAI"/>
    <x v="16"/>
    <x v="0"/>
    <x v="1"/>
    <x v="1"/>
    <x v="0"/>
    <x v="1"/>
    <x v="0"/>
    <x v="0"/>
    <x v="1"/>
    <x v="0"/>
    <x v="0"/>
    <x v="0"/>
    <x v="0"/>
    <x v="0"/>
    <x v="0"/>
    <x v="0"/>
    <x v="0"/>
    <x v="0"/>
  </r>
  <r>
    <x v="828"/>
    <s v="MUHAMMAD AIMAN NAIM BIN INDERA"/>
    <x v="6"/>
    <x v="0"/>
    <x v="4"/>
    <x v="0"/>
    <x v="0"/>
    <x v="0"/>
    <x v="0"/>
    <x v="0"/>
    <x v="0"/>
    <x v="0"/>
    <x v="0"/>
    <x v="0"/>
    <x v="0"/>
    <x v="0"/>
    <x v="0"/>
    <x v="0"/>
    <x v="0"/>
    <x v="0"/>
  </r>
  <r>
    <x v="829"/>
    <s v="NUR NAJWA BINTI MOHD NAZRIN"/>
    <x v="19"/>
    <x v="1"/>
    <x v="2"/>
    <x v="1"/>
    <x v="0"/>
    <x v="1"/>
    <x v="0"/>
    <x v="0"/>
    <x v="1"/>
    <x v="0"/>
    <x v="0"/>
    <x v="0"/>
    <x v="0"/>
    <x v="0"/>
    <x v="0"/>
    <x v="0"/>
    <x v="0"/>
    <x v="0"/>
  </r>
  <r>
    <x v="830"/>
    <s v="SITI HAJAR BINTI MOHAMED"/>
    <x v="19"/>
    <x v="1"/>
    <x v="2"/>
    <x v="1"/>
    <x v="0"/>
    <x v="1"/>
    <x v="0"/>
    <x v="0"/>
    <x v="1"/>
    <x v="0"/>
    <x v="0"/>
    <x v="0"/>
    <x v="0"/>
    <x v="0"/>
    <x v="0"/>
    <x v="0"/>
    <x v="0"/>
    <x v="0"/>
  </r>
  <r>
    <x v="831"/>
    <s v="NUR SYAZMIRA IZWANY BINTI MOHD SOFFEE"/>
    <x v="19"/>
    <x v="1"/>
    <x v="2"/>
    <x v="1"/>
    <x v="0"/>
    <x v="1"/>
    <x v="0"/>
    <x v="0"/>
    <x v="1"/>
    <x v="0"/>
    <x v="0"/>
    <x v="0"/>
    <x v="0"/>
    <x v="0"/>
    <x v="0"/>
    <x v="0"/>
    <x v="0"/>
    <x v="0"/>
  </r>
  <r>
    <x v="832"/>
    <s v="FATIN FARISHA BINTI SHAMSUDDIN"/>
    <x v="19"/>
    <x v="1"/>
    <x v="3"/>
    <x v="1"/>
    <x v="0"/>
    <x v="1"/>
    <x v="0"/>
    <x v="0"/>
    <x v="1"/>
    <x v="0"/>
    <x v="0"/>
    <x v="0"/>
    <x v="0"/>
    <x v="0"/>
    <x v="0"/>
    <x v="0"/>
    <x v="0"/>
    <x v="0"/>
  </r>
  <r>
    <x v="833"/>
    <s v="MUHAMMAD AMIRUL FIKRI BIN SUHAIMI"/>
    <x v="16"/>
    <x v="0"/>
    <x v="2"/>
    <x v="1"/>
    <x v="0"/>
    <x v="1"/>
    <x v="0"/>
    <x v="0"/>
    <x v="1"/>
    <x v="0"/>
    <x v="0"/>
    <x v="0"/>
    <x v="0"/>
    <x v="0"/>
    <x v="0"/>
    <x v="0"/>
    <x v="0"/>
    <x v="0"/>
  </r>
  <r>
    <x v="834"/>
    <s v="NUR NADIAH BINTI AMINARASID"/>
    <x v="19"/>
    <x v="1"/>
    <x v="3"/>
    <x v="1"/>
    <x v="0"/>
    <x v="1"/>
    <x v="0"/>
    <x v="0"/>
    <x v="1"/>
    <x v="0"/>
    <x v="0"/>
    <x v="0"/>
    <x v="0"/>
    <x v="0"/>
    <x v="0"/>
    <x v="0"/>
    <x v="0"/>
    <x v="0"/>
  </r>
  <r>
    <x v="835"/>
    <s v="MOHAMAD SYAMER BIN MOKHTAR"/>
    <x v="6"/>
    <x v="0"/>
    <x v="1"/>
    <x v="1"/>
    <x v="0"/>
    <x v="1"/>
    <x v="0"/>
    <x v="0"/>
    <x v="1"/>
    <x v="0"/>
    <x v="0"/>
    <x v="0"/>
    <x v="0"/>
    <x v="0"/>
    <x v="0"/>
    <x v="0"/>
    <x v="0"/>
    <x v="0"/>
  </r>
  <r>
    <x v="836"/>
    <s v="NUR ASHIKIN BINTI MOHAMED YUSUFF"/>
    <x v="19"/>
    <x v="1"/>
    <x v="1"/>
    <x v="1"/>
    <x v="0"/>
    <x v="1"/>
    <x v="0"/>
    <x v="0"/>
    <x v="1"/>
    <x v="0"/>
    <x v="0"/>
    <x v="0"/>
    <x v="0"/>
    <x v="0"/>
    <x v="0"/>
    <x v="0"/>
    <x v="0"/>
    <x v="0"/>
  </r>
  <r>
    <x v="837"/>
    <s v="ELLINYANI SYAFIQAH BINTI ABU BAKAR"/>
    <x v="19"/>
    <x v="1"/>
    <x v="3"/>
    <x v="1"/>
    <x v="0"/>
    <x v="1"/>
    <x v="0"/>
    <x v="0"/>
    <x v="1"/>
    <x v="0"/>
    <x v="0"/>
    <x v="0"/>
    <x v="0"/>
    <x v="0"/>
    <x v="0"/>
    <x v="0"/>
    <x v="0"/>
    <x v="0"/>
  </r>
  <r>
    <x v="838"/>
    <s v="KUMUTAMOLI A/P PARASURAMAN"/>
    <x v="3"/>
    <x v="1"/>
    <x v="0"/>
    <x v="0"/>
    <x v="0"/>
    <x v="1"/>
    <x v="0"/>
    <x v="0"/>
    <x v="1"/>
    <x v="0"/>
    <x v="0"/>
    <x v="0"/>
    <x v="0"/>
    <x v="0"/>
    <x v="0"/>
    <x v="0"/>
    <x v="0"/>
    <x v="0"/>
  </r>
  <r>
    <x v="839"/>
    <s v="MUHAMMAD ADLI BIN S.DAUD"/>
    <x v="0"/>
    <x v="0"/>
    <x v="3"/>
    <x v="1"/>
    <x v="0"/>
    <x v="1"/>
    <x v="0"/>
    <x v="0"/>
    <x v="1"/>
    <x v="0"/>
    <x v="0"/>
    <x v="0"/>
    <x v="0"/>
    <x v="0"/>
    <x v="0"/>
    <x v="0"/>
    <x v="0"/>
    <x v="0"/>
  </r>
  <r>
    <x v="840"/>
    <s v="AHMAD IKQBAL BIN ZAINUDDIN"/>
    <x v="16"/>
    <x v="0"/>
    <x v="4"/>
    <x v="0"/>
    <x v="0"/>
    <x v="1"/>
    <x v="0"/>
    <x v="0"/>
    <x v="0"/>
    <x v="0"/>
    <x v="0"/>
    <x v="0"/>
    <x v="0"/>
    <x v="0"/>
    <x v="0"/>
    <x v="0"/>
    <x v="0"/>
    <x v="0"/>
  </r>
  <r>
    <x v="841"/>
    <s v="AYU BADILLAH BINTI BURHAN"/>
    <x v="16"/>
    <x v="1"/>
    <x v="1"/>
    <x v="1"/>
    <x v="0"/>
    <x v="1"/>
    <x v="0"/>
    <x v="0"/>
    <x v="1"/>
    <x v="0"/>
    <x v="0"/>
    <x v="0"/>
    <x v="0"/>
    <x v="0"/>
    <x v="0"/>
    <x v="0"/>
    <x v="0"/>
    <x v="0"/>
  </r>
  <r>
    <x v="842"/>
    <s v="ASRUL HASNI BIN MOHAMAD HIDAYAT"/>
    <x v="0"/>
    <x v="0"/>
    <x v="2"/>
    <x v="1"/>
    <x v="0"/>
    <x v="1"/>
    <x v="0"/>
    <x v="0"/>
    <x v="1"/>
    <x v="0"/>
    <x v="0"/>
    <x v="0"/>
    <x v="0"/>
    <x v="0"/>
    <x v="0"/>
    <x v="0"/>
    <x v="0"/>
    <x v="0"/>
  </r>
  <r>
    <x v="843"/>
    <s v="MUHAMMAD HAKIMI BIN MAHADZIR"/>
    <x v="6"/>
    <x v="0"/>
    <x v="2"/>
    <x v="1"/>
    <x v="0"/>
    <x v="1"/>
    <x v="0"/>
    <x v="0"/>
    <x v="1"/>
    <x v="0"/>
    <x v="0"/>
    <x v="0"/>
    <x v="0"/>
    <x v="0"/>
    <x v="0"/>
    <x v="0"/>
    <x v="0"/>
    <x v="0"/>
  </r>
  <r>
    <x v="844"/>
    <s v="MOHAMMAD MUSSANIF BIN ISMAIL"/>
    <x v="16"/>
    <x v="0"/>
    <x v="2"/>
    <x v="1"/>
    <x v="0"/>
    <x v="1"/>
    <x v="0"/>
    <x v="0"/>
    <x v="1"/>
    <x v="0"/>
    <x v="0"/>
    <x v="0"/>
    <x v="0"/>
    <x v="0"/>
    <x v="0"/>
    <x v="0"/>
    <x v="0"/>
    <x v="0"/>
  </r>
  <r>
    <x v="845"/>
    <s v="AHMAD IZHAM BIN AHMAD NAZRI"/>
    <x v="16"/>
    <x v="0"/>
    <x v="2"/>
    <x v="1"/>
    <x v="0"/>
    <x v="1"/>
    <x v="0"/>
    <x v="0"/>
    <x v="1"/>
    <x v="0"/>
    <x v="0"/>
    <x v="0"/>
    <x v="0"/>
    <x v="0"/>
    <x v="0"/>
    <x v="0"/>
    <x v="0"/>
    <x v="0"/>
  </r>
  <r>
    <x v="846"/>
    <s v="MUHAMMAD ASYRAAF FITRI BIN MOHD YUSOF"/>
    <x v="16"/>
    <x v="0"/>
    <x v="1"/>
    <x v="0"/>
    <x v="1"/>
    <x v="1"/>
    <x v="0"/>
    <x v="0"/>
    <x v="1"/>
    <x v="0"/>
    <x v="0"/>
    <x v="0"/>
    <x v="0"/>
    <x v="0"/>
    <x v="0"/>
    <x v="0"/>
    <x v="0"/>
    <x v="0"/>
  </r>
  <r>
    <x v="847"/>
    <s v="MUHAMMAD KHAIRUL AKMAL BIN MOHD ISA"/>
    <x v="3"/>
    <x v="0"/>
    <x v="2"/>
    <x v="1"/>
    <x v="0"/>
    <x v="1"/>
    <x v="0"/>
    <x v="0"/>
    <x v="1"/>
    <x v="0"/>
    <x v="0"/>
    <x v="0"/>
    <x v="0"/>
    <x v="0"/>
    <x v="0"/>
    <x v="0"/>
    <x v="0"/>
    <x v="0"/>
  </r>
  <r>
    <x v="848"/>
    <s v="MUHAMMAD DANIAL ISKANDAR BIN MOHD NAZIR"/>
    <x v="2"/>
    <x v="0"/>
    <x v="2"/>
    <x v="1"/>
    <x v="0"/>
    <x v="1"/>
    <x v="0"/>
    <x v="0"/>
    <x v="1"/>
    <x v="0"/>
    <x v="0"/>
    <x v="0"/>
    <x v="0"/>
    <x v="0"/>
    <x v="0"/>
    <x v="0"/>
    <x v="0"/>
    <x v="0"/>
  </r>
  <r>
    <x v="849"/>
    <s v="MUHAMAD ARIF BIN JAAFAR"/>
    <x v="7"/>
    <x v="0"/>
    <x v="2"/>
    <x v="1"/>
    <x v="0"/>
    <x v="1"/>
    <x v="0"/>
    <x v="0"/>
    <x v="1"/>
    <x v="0"/>
    <x v="0"/>
    <x v="0"/>
    <x v="0"/>
    <x v="0"/>
    <x v="0"/>
    <x v="0"/>
    <x v="0"/>
    <x v="0"/>
  </r>
  <r>
    <x v="850"/>
    <s v="MUHAMMAD HANIS BIN HISHYAM ZAIME"/>
    <x v="16"/>
    <x v="0"/>
    <x v="3"/>
    <x v="1"/>
    <x v="0"/>
    <x v="1"/>
    <x v="0"/>
    <x v="0"/>
    <x v="1"/>
    <x v="0"/>
    <x v="0"/>
    <x v="0"/>
    <x v="0"/>
    <x v="0"/>
    <x v="0"/>
    <x v="0"/>
    <x v="0"/>
    <x v="0"/>
  </r>
  <r>
    <x v="851"/>
    <s v="MUHAMAD NAJMI BIN MAHMUD"/>
    <x v="16"/>
    <x v="0"/>
    <x v="4"/>
    <x v="0"/>
    <x v="0"/>
    <x v="1"/>
    <x v="0"/>
    <x v="0"/>
    <x v="0"/>
    <x v="0"/>
    <x v="0"/>
    <x v="0"/>
    <x v="0"/>
    <x v="0"/>
    <x v="0"/>
    <x v="0"/>
    <x v="0"/>
    <x v="0"/>
  </r>
  <r>
    <x v="852"/>
    <s v="SHAHIRAH BINTI ROSLAN"/>
    <x v="18"/>
    <x v="1"/>
    <x v="2"/>
    <x v="1"/>
    <x v="0"/>
    <x v="1"/>
    <x v="0"/>
    <x v="0"/>
    <x v="1"/>
    <x v="0"/>
    <x v="0"/>
    <x v="0"/>
    <x v="0"/>
    <x v="0"/>
    <x v="0"/>
    <x v="0"/>
    <x v="0"/>
    <x v="0"/>
  </r>
  <r>
    <x v="853"/>
    <s v="NURUL ATIQAH BINTI ABDUL HAIR"/>
    <x v="5"/>
    <x v="1"/>
    <x v="2"/>
    <x v="1"/>
    <x v="0"/>
    <x v="1"/>
    <x v="0"/>
    <x v="0"/>
    <x v="1"/>
    <x v="0"/>
    <x v="0"/>
    <x v="0"/>
    <x v="0"/>
    <x v="0"/>
    <x v="0"/>
    <x v="0"/>
    <x v="0"/>
    <x v="0"/>
  </r>
  <r>
    <x v="854"/>
    <s v="AZRUL AMIN BIN ZULKIFLE"/>
    <x v="1"/>
    <x v="0"/>
    <x v="3"/>
    <x v="1"/>
    <x v="0"/>
    <x v="1"/>
    <x v="0"/>
    <x v="0"/>
    <x v="1"/>
    <x v="0"/>
    <x v="0"/>
    <x v="0"/>
    <x v="0"/>
    <x v="0"/>
    <x v="0"/>
    <x v="0"/>
    <x v="0"/>
    <x v="0"/>
  </r>
  <r>
    <x v="855"/>
    <s v="AZLAN BIN ABDUL GHANI"/>
    <x v="4"/>
    <x v="0"/>
    <x v="1"/>
    <x v="1"/>
    <x v="0"/>
    <x v="1"/>
    <x v="0"/>
    <x v="0"/>
    <x v="1"/>
    <x v="0"/>
    <x v="0"/>
    <x v="0"/>
    <x v="0"/>
    <x v="0"/>
    <x v="0"/>
    <x v="0"/>
    <x v="0"/>
    <x v="0"/>
  </r>
  <r>
    <x v="856"/>
    <s v="MUHAMMAD SYAFIQ BIN GHAZALI"/>
    <x v="9"/>
    <x v="0"/>
    <x v="3"/>
    <x v="1"/>
    <x v="0"/>
    <x v="1"/>
    <x v="0"/>
    <x v="0"/>
    <x v="1"/>
    <x v="0"/>
    <x v="0"/>
    <x v="0"/>
    <x v="0"/>
    <x v="0"/>
    <x v="0"/>
    <x v="0"/>
    <x v="0"/>
    <x v="0"/>
  </r>
  <r>
    <x v="857"/>
    <s v="MUHAMMAD AZHAR BIN ZULKIFLI"/>
    <x v="7"/>
    <x v="0"/>
    <x v="1"/>
    <x v="1"/>
    <x v="0"/>
    <x v="1"/>
    <x v="0"/>
    <x v="0"/>
    <x v="1"/>
    <x v="0"/>
    <x v="0"/>
    <x v="0"/>
    <x v="0"/>
    <x v="0"/>
    <x v="0"/>
    <x v="0"/>
    <x v="0"/>
    <x v="0"/>
  </r>
  <r>
    <x v="858"/>
    <s v="MUHAMMAD NASIR BIN JALI"/>
    <x v="4"/>
    <x v="0"/>
    <x v="3"/>
    <x v="1"/>
    <x v="0"/>
    <x v="1"/>
    <x v="0"/>
    <x v="0"/>
    <x v="1"/>
    <x v="0"/>
    <x v="0"/>
    <x v="0"/>
    <x v="0"/>
    <x v="0"/>
    <x v="0"/>
    <x v="0"/>
    <x v="0"/>
    <x v="0"/>
  </r>
  <r>
    <x v="859"/>
    <s v="KIZLEEY BIN ROSLIH"/>
    <x v="7"/>
    <x v="0"/>
    <x v="2"/>
    <x v="1"/>
    <x v="0"/>
    <x v="1"/>
    <x v="0"/>
    <x v="0"/>
    <x v="1"/>
    <x v="0"/>
    <x v="0"/>
    <x v="0"/>
    <x v="0"/>
    <x v="0"/>
    <x v="0"/>
    <x v="0"/>
    <x v="0"/>
    <x v="0"/>
  </r>
  <r>
    <x v="860"/>
    <s v="NORSHAMILA BINTI SHARIFULDIN"/>
    <x v="18"/>
    <x v="1"/>
    <x v="2"/>
    <x v="1"/>
    <x v="0"/>
    <x v="1"/>
    <x v="0"/>
    <x v="0"/>
    <x v="1"/>
    <x v="0"/>
    <x v="0"/>
    <x v="0"/>
    <x v="0"/>
    <x v="0"/>
    <x v="0"/>
    <x v="0"/>
    <x v="0"/>
    <x v="0"/>
  </r>
  <r>
    <x v="861"/>
    <s v="SYAMIMI IZZATI BINTI ZAINUDIN"/>
    <x v="7"/>
    <x v="1"/>
    <x v="1"/>
    <x v="1"/>
    <x v="0"/>
    <x v="1"/>
    <x v="0"/>
    <x v="0"/>
    <x v="1"/>
    <x v="0"/>
    <x v="0"/>
    <x v="0"/>
    <x v="0"/>
    <x v="0"/>
    <x v="0"/>
    <x v="0"/>
    <x v="0"/>
    <x v="0"/>
  </r>
  <r>
    <x v="862"/>
    <s v="MUHAMMAD HARIFF BIN SETAFA"/>
    <x v="23"/>
    <x v="0"/>
    <x v="1"/>
    <x v="1"/>
    <x v="0"/>
    <x v="1"/>
    <x v="0"/>
    <x v="0"/>
    <x v="0"/>
    <x v="0"/>
    <x v="0"/>
    <x v="0"/>
    <x v="0"/>
    <x v="0"/>
    <x v="0"/>
    <x v="0"/>
    <x v="0"/>
    <x v="0"/>
  </r>
  <r>
    <x v="863"/>
    <s v="INTAN FARIHAH BINTI MOHAMAD ZAINUDIN"/>
    <x v="16"/>
    <x v="1"/>
    <x v="2"/>
    <x v="1"/>
    <x v="0"/>
    <x v="1"/>
    <x v="0"/>
    <x v="0"/>
    <x v="1"/>
    <x v="0"/>
    <x v="0"/>
    <x v="0"/>
    <x v="0"/>
    <x v="0"/>
    <x v="0"/>
    <x v="0"/>
    <x v="0"/>
    <x v="0"/>
  </r>
  <r>
    <x v="864"/>
    <s v="NURUL ASYIKIN BINTI JAMALUDIN"/>
    <x v="3"/>
    <x v="1"/>
    <x v="2"/>
    <x v="1"/>
    <x v="0"/>
    <x v="1"/>
    <x v="0"/>
    <x v="0"/>
    <x v="1"/>
    <x v="0"/>
    <x v="0"/>
    <x v="0"/>
    <x v="0"/>
    <x v="0"/>
    <x v="0"/>
    <x v="0"/>
    <x v="0"/>
    <x v="0"/>
  </r>
  <r>
    <x v="865"/>
    <s v="MUHAMMAD ALIF AFZAN BIN MAZLAN"/>
    <x v="9"/>
    <x v="0"/>
    <x v="3"/>
    <x v="1"/>
    <x v="0"/>
    <x v="1"/>
    <x v="0"/>
    <x v="0"/>
    <x v="1"/>
    <x v="0"/>
    <x v="0"/>
    <x v="0"/>
    <x v="0"/>
    <x v="0"/>
    <x v="0"/>
    <x v="0"/>
    <x v="0"/>
    <x v="0"/>
  </r>
  <r>
    <x v="866"/>
    <s v="MUHAMAD IRSYADUDDIN BIN MURAD"/>
    <x v="2"/>
    <x v="0"/>
    <x v="2"/>
    <x v="1"/>
    <x v="0"/>
    <x v="1"/>
    <x v="0"/>
    <x v="0"/>
    <x v="1"/>
    <x v="0"/>
    <x v="0"/>
    <x v="0"/>
    <x v="0"/>
    <x v="0"/>
    <x v="0"/>
    <x v="0"/>
    <x v="0"/>
    <x v="0"/>
  </r>
  <r>
    <x v="867"/>
    <s v="WAN MUHAMAD HAZIM IRFAN BIN WAN AHMAD KAMAL"/>
    <x v="0"/>
    <x v="0"/>
    <x v="1"/>
    <x v="1"/>
    <x v="0"/>
    <x v="1"/>
    <x v="0"/>
    <x v="0"/>
    <x v="1"/>
    <x v="0"/>
    <x v="0"/>
    <x v="0"/>
    <x v="0"/>
    <x v="0"/>
    <x v="0"/>
    <x v="0"/>
    <x v="0"/>
    <x v="0"/>
  </r>
  <r>
    <x v="868"/>
    <s v="WINNIE ANAK UCHING"/>
    <x v="16"/>
    <x v="1"/>
    <x v="3"/>
    <x v="1"/>
    <x v="0"/>
    <x v="1"/>
    <x v="0"/>
    <x v="0"/>
    <x v="1"/>
    <x v="0"/>
    <x v="0"/>
    <x v="0"/>
    <x v="0"/>
    <x v="0"/>
    <x v="0"/>
    <x v="0"/>
    <x v="0"/>
    <x v="0"/>
  </r>
  <r>
    <x v="869"/>
    <s v="AIN NUR SYAFIQAH BINTI AHMAD"/>
    <x v="16"/>
    <x v="1"/>
    <x v="1"/>
    <x v="1"/>
    <x v="0"/>
    <x v="1"/>
    <x v="0"/>
    <x v="0"/>
    <x v="1"/>
    <x v="0"/>
    <x v="0"/>
    <x v="0"/>
    <x v="0"/>
    <x v="0"/>
    <x v="0"/>
    <x v="0"/>
    <x v="0"/>
    <x v="0"/>
  </r>
  <r>
    <x v="870"/>
    <s v="SITI ZULAIKHA BINTI BADLIRUS"/>
    <x v="21"/>
    <x v="1"/>
    <x v="3"/>
    <x v="1"/>
    <x v="0"/>
    <x v="1"/>
    <x v="0"/>
    <x v="0"/>
    <x v="1"/>
    <x v="0"/>
    <x v="0"/>
    <x v="0"/>
    <x v="0"/>
    <x v="0"/>
    <x v="0"/>
    <x v="0"/>
    <x v="0"/>
    <x v="0"/>
  </r>
  <r>
    <x v="871"/>
    <s v="NURUL SYAFIQAH BINTI AHMAD SABANI"/>
    <x v="19"/>
    <x v="1"/>
    <x v="3"/>
    <x v="1"/>
    <x v="0"/>
    <x v="1"/>
    <x v="0"/>
    <x v="0"/>
    <x v="1"/>
    <x v="0"/>
    <x v="0"/>
    <x v="0"/>
    <x v="0"/>
    <x v="0"/>
    <x v="0"/>
    <x v="0"/>
    <x v="0"/>
    <x v="0"/>
  </r>
  <r>
    <x v="872"/>
    <s v="MUHAMAD ZULHELMI BIN MD ZAINI"/>
    <x v="21"/>
    <x v="0"/>
    <x v="3"/>
    <x v="1"/>
    <x v="0"/>
    <x v="1"/>
    <x v="0"/>
    <x v="0"/>
    <x v="1"/>
    <x v="0"/>
    <x v="0"/>
    <x v="0"/>
    <x v="0"/>
    <x v="0"/>
    <x v="0"/>
    <x v="0"/>
    <x v="0"/>
    <x v="0"/>
  </r>
  <r>
    <x v="873"/>
    <s v="MUHAMMAD FIRDAUS BIN MD AZIME"/>
    <x v="0"/>
    <x v="0"/>
    <x v="1"/>
    <x v="1"/>
    <x v="0"/>
    <x v="1"/>
    <x v="0"/>
    <x v="0"/>
    <x v="1"/>
    <x v="0"/>
    <x v="0"/>
    <x v="0"/>
    <x v="0"/>
    <x v="0"/>
    <x v="0"/>
    <x v="0"/>
    <x v="0"/>
    <x v="0"/>
  </r>
  <r>
    <x v="874"/>
    <s v="MUHAMMAD ASYRAF ANWARI BIN SUHAIMI"/>
    <x v="16"/>
    <x v="0"/>
    <x v="3"/>
    <x v="1"/>
    <x v="0"/>
    <x v="1"/>
    <x v="0"/>
    <x v="0"/>
    <x v="1"/>
    <x v="0"/>
    <x v="0"/>
    <x v="0"/>
    <x v="0"/>
    <x v="0"/>
    <x v="0"/>
    <x v="0"/>
    <x v="0"/>
    <x v="0"/>
  </r>
  <r>
    <x v="875"/>
    <s v="MOHAMAD DANIEL ASYRAF BIN KHOIRUL ANUAR"/>
    <x v="2"/>
    <x v="0"/>
    <x v="3"/>
    <x v="1"/>
    <x v="0"/>
    <x v="1"/>
    <x v="0"/>
    <x v="0"/>
    <x v="1"/>
    <x v="0"/>
    <x v="0"/>
    <x v="0"/>
    <x v="0"/>
    <x v="0"/>
    <x v="0"/>
    <x v="0"/>
    <x v="0"/>
    <x v="0"/>
  </r>
  <r>
    <x v="876"/>
    <s v="MUHAMMAD ADIB ADAM MAULA MOHD ZAINI"/>
    <x v="14"/>
    <x v="0"/>
    <x v="2"/>
    <x v="1"/>
    <x v="0"/>
    <x v="1"/>
    <x v="0"/>
    <x v="0"/>
    <x v="0"/>
    <x v="0"/>
    <x v="0"/>
    <x v="0"/>
    <x v="0"/>
    <x v="0"/>
    <x v="0"/>
    <x v="0"/>
    <x v="0"/>
    <x v="0"/>
  </r>
  <r>
    <x v="877"/>
    <s v="MUHAMMAD HAFIZ BIN ISMAIL"/>
    <x v="16"/>
    <x v="0"/>
    <x v="3"/>
    <x v="1"/>
    <x v="0"/>
    <x v="1"/>
    <x v="0"/>
    <x v="0"/>
    <x v="0"/>
    <x v="0"/>
    <x v="0"/>
    <x v="0"/>
    <x v="0"/>
    <x v="0"/>
    <x v="0"/>
    <x v="0"/>
    <x v="0"/>
    <x v="0"/>
  </r>
  <r>
    <x v="878"/>
    <s v="NOR ATIRAH BINTI SATTURA ALI"/>
    <x v="16"/>
    <x v="1"/>
    <x v="1"/>
    <x v="1"/>
    <x v="0"/>
    <x v="1"/>
    <x v="0"/>
    <x v="0"/>
    <x v="1"/>
    <x v="0"/>
    <x v="0"/>
    <x v="0"/>
    <x v="0"/>
    <x v="0"/>
    <x v="0"/>
    <x v="0"/>
    <x v="0"/>
    <x v="0"/>
  </r>
  <r>
    <x v="879"/>
    <s v="MUHAMMAD IRFAN BIN MEHAT"/>
    <x v="1"/>
    <x v="0"/>
    <x v="3"/>
    <x v="1"/>
    <x v="0"/>
    <x v="1"/>
    <x v="0"/>
    <x v="0"/>
    <x v="1"/>
    <x v="0"/>
    <x v="0"/>
    <x v="0"/>
    <x v="0"/>
    <x v="0"/>
    <x v="0"/>
    <x v="0"/>
    <x v="0"/>
    <x v="0"/>
  </r>
  <r>
    <x v="880"/>
    <s v="MUHAMMAD TAUFIQ BIN EDI EZEMAR"/>
    <x v="19"/>
    <x v="0"/>
    <x v="1"/>
    <x v="1"/>
    <x v="0"/>
    <x v="1"/>
    <x v="0"/>
    <x v="0"/>
    <x v="1"/>
    <x v="0"/>
    <x v="0"/>
    <x v="0"/>
    <x v="0"/>
    <x v="0"/>
    <x v="0"/>
    <x v="0"/>
    <x v="0"/>
    <x v="0"/>
  </r>
  <r>
    <x v="881"/>
    <s v="MUHAMAD AMMAR HUSAINI BIN JASNI"/>
    <x v="7"/>
    <x v="0"/>
    <x v="2"/>
    <x v="1"/>
    <x v="0"/>
    <x v="1"/>
    <x v="0"/>
    <x v="0"/>
    <x v="1"/>
    <x v="0"/>
    <x v="0"/>
    <x v="0"/>
    <x v="0"/>
    <x v="0"/>
    <x v="0"/>
    <x v="0"/>
    <x v="0"/>
    <x v="0"/>
  </r>
  <r>
    <x v="882"/>
    <s v="ABDUL HAADI BIN ABDUL RAHIM"/>
    <x v="21"/>
    <x v="0"/>
    <x v="2"/>
    <x v="1"/>
    <x v="0"/>
    <x v="1"/>
    <x v="0"/>
    <x v="0"/>
    <x v="1"/>
    <x v="0"/>
    <x v="0"/>
    <x v="0"/>
    <x v="0"/>
    <x v="0"/>
    <x v="0"/>
    <x v="0"/>
    <x v="0"/>
    <x v="0"/>
  </r>
  <r>
    <x v="883"/>
    <s v="MUHAMMAD HAFIZ BIN ZAKARIA"/>
    <x v="6"/>
    <x v="0"/>
    <x v="3"/>
    <x v="1"/>
    <x v="0"/>
    <x v="1"/>
    <x v="0"/>
    <x v="0"/>
    <x v="1"/>
    <x v="0"/>
    <x v="0"/>
    <x v="0"/>
    <x v="0"/>
    <x v="0"/>
    <x v="0"/>
    <x v="0"/>
    <x v="0"/>
    <x v="0"/>
  </r>
  <r>
    <x v="884"/>
    <s v="ASMA AISYAH NAZIRAH BINTI AZMAN"/>
    <x v="19"/>
    <x v="1"/>
    <x v="3"/>
    <x v="1"/>
    <x v="0"/>
    <x v="1"/>
    <x v="0"/>
    <x v="0"/>
    <x v="1"/>
    <x v="0"/>
    <x v="0"/>
    <x v="0"/>
    <x v="0"/>
    <x v="0"/>
    <x v="0"/>
    <x v="0"/>
    <x v="0"/>
    <x v="0"/>
  </r>
  <r>
    <x v="885"/>
    <s v="NUR NAJIHAH BINTI ROZI"/>
    <x v="16"/>
    <x v="1"/>
    <x v="2"/>
    <x v="1"/>
    <x v="0"/>
    <x v="1"/>
    <x v="0"/>
    <x v="0"/>
    <x v="1"/>
    <x v="0"/>
    <x v="0"/>
    <x v="0"/>
    <x v="0"/>
    <x v="0"/>
    <x v="0"/>
    <x v="0"/>
    <x v="0"/>
    <x v="0"/>
  </r>
  <r>
    <x v="886"/>
    <s v="MOHAMAD HAIKAL BIN SOFIAN"/>
    <x v="16"/>
    <x v="0"/>
    <x v="3"/>
    <x v="1"/>
    <x v="0"/>
    <x v="1"/>
    <x v="0"/>
    <x v="0"/>
    <x v="1"/>
    <x v="0"/>
    <x v="0"/>
    <x v="0"/>
    <x v="0"/>
    <x v="0"/>
    <x v="0"/>
    <x v="0"/>
    <x v="0"/>
    <x v="0"/>
  </r>
  <r>
    <x v="887"/>
    <s v="NUR 'ALYAA' BINTI RAMLI"/>
    <x v="16"/>
    <x v="1"/>
    <x v="2"/>
    <x v="1"/>
    <x v="0"/>
    <x v="1"/>
    <x v="0"/>
    <x v="0"/>
    <x v="1"/>
    <x v="0"/>
    <x v="0"/>
    <x v="0"/>
    <x v="0"/>
    <x v="0"/>
    <x v="0"/>
    <x v="0"/>
    <x v="0"/>
    <x v="0"/>
  </r>
  <r>
    <x v="888"/>
    <s v="CHE FAIZ ISKANDAR BIN ABDUL FATAH"/>
    <x v="18"/>
    <x v="0"/>
    <x v="1"/>
    <x v="1"/>
    <x v="0"/>
    <x v="1"/>
    <x v="0"/>
    <x v="0"/>
    <x v="1"/>
    <x v="0"/>
    <x v="0"/>
    <x v="0"/>
    <x v="0"/>
    <x v="0"/>
    <x v="0"/>
    <x v="0"/>
    <x v="0"/>
    <x v="0"/>
  </r>
  <r>
    <x v="889"/>
    <s v="MUHAMMAD ZULKEFLI BIN MOHAMAD SABRI"/>
    <x v="16"/>
    <x v="0"/>
    <x v="1"/>
    <x v="0"/>
    <x v="0"/>
    <x v="1"/>
    <x v="0"/>
    <x v="0"/>
    <x v="1"/>
    <x v="0"/>
    <x v="0"/>
    <x v="0"/>
    <x v="0"/>
    <x v="0"/>
    <x v="0"/>
    <x v="0"/>
    <x v="0"/>
    <x v="0"/>
  </r>
  <r>
    <x v="890"/>
    <s v="MUHAMMAD FAIZ BIN ROSDI"/>
    <x v="0"/>
    <x v="0"/>
    <x v="2"/>
    <x v="1"/>
    <x v="0"/>
    <x v="1"/>
    <x v="0"/>
    <x v="0"/>
    <x v="1"/>
    <x v="0"/>
    <x v="0"/>
    <x v="0"/>
    <x v="0"/>
    <x v="0"/>
    <x v="0"/>
    <x v="0"/>
    <x v="0"/>
    <x v="0"/>
  </r>
  <r>
    <x v="891"/>
    <s v="FARRAH IZZATI BINTI ABDUL MALEK"/>
    <x v="16"/>
    <x v="1"/>
    <x v="1"/>
    <x v="1"/>
    <x v="0"/>
    <x v="1"/>
    <x v="0"/>
    <x v="0"/>
    <x v="0"/>
    <x v="0"/>
    <x v="0"/>
    <x v="0"/>
    <x v="0"/>
    <x v="0"/>
    <x v="0"/>
    <x v="0"/>
    <x v="0"/>
    <x v="0"/>
  </r>
  <r>
    <x v="892"/>
    <s v="NURDAYANA HADIRAH BINTI HARUN"/>
    <x v="5"/>
    <x v="1"/>
    <x v="1"/>
    <x v="1"/>
    <x v="0"/>
    <x v="1"/>
    <x v="0"/>
    <x v="0"/>
    <x v="1"/>
    <x v="0"/>
    <x v="0"/>
    <x v="0"/>
    <x v="0"/>
    <x v="0"/>
    <x v="0"/>
    <x v="0"/>
    <x v="0"/>
    <x v="0"/>
  </r>
  <r>
    <x v="893"/>
    <s v="MOHAMAD SUFIAN BIN ARAN"/>
    <x v="16"/>
    <x v="0"/>
    <x v="1"/>
    <x v="1"/>
    <x v="1"/>
    <x v="1"/>
    <x v="0"/>
    <x v="0"/>
    <x v="1"/>
    <x v="0"/>
    <x v="0"/>
    <x v="0"/>
    <x v="0"/>
    <x v="0"/>
    <x v="0"/>
    <x v="0"/>
    <x v="0"/>
    <x v="0"/>
  </r>
  <r>
    <x v="894"/>
    <s v="AQIL YEO BIN ADAM YEO"/>
    <x v="21"/>
    <x v="0"/>
    <x v="2"/>
    <x v="1"/>
    <x v="0"/>
    <x v="1"/>
    <x v="0"/>
    <x v="0"/>
    <x v="1"/>
    <x v="0"/>
    <x v="0"/>
    <x v="0"/>
    <x v="0"/>
    <x v="0"/>
    <x v="0"/>
    <x v="0"/>
    <x v="0"/>
    <x v="0"/>
  </r>
  <r>
    <x v="895"/>
    <s v="MOHAMAD AMIRUL IBRAHIM"/>
    <x v="20"/>
    <x v="0"/>
    <x v="2"/>
    <x v="1"/>
    <x v="0"/>
    <x v="1"/>
    <x v="0"/>
    <x v="0"/>
    <x v="0"/>
    <x v="0"/>
    <x v="0"/>
    <x v="0"/>
    <x v="0"/>
    <x v="0"/>
    <x v="0"/>
    <x v="0"/>
    <x v="0"/>
    <x v="0"/>
  </r>
  <r>
    <x v="896"/>
    <s v="MUHAMMAD HASIF BIN MOHD ZIN"/>
    <x v="19"/>
    <x v="0"/>
    <x v="1"/>
    <x v="0"/>
    <x v="0"/>
    <x v="0"/>
    <x v="1"/>
    <x v="1"/>
    <x v="1"/>
    <x v="0"/>
    <x v="0"/>
    <x v="0"/>
    <x v="0"/>
    <x v="0"/>
    <x v="0"/>
    <x v="0"/>
    <x v="0"/>
    <x v="0"/>
  </r>
  <r>
    <x v="897"/>
    <s v="MOHAMAD SHAHRIL BIN RAHIMI FAISAL"/>
    <x v="9"/>
    <x v="0"/>
    <x v="2"/>
    <x v="1"/>
    <x v="0"/>
    <x v="1"/>
    <x v="0"/>
    <x v="0"/>
    <x v="1"/>
    <x v="0"/>
    <x v="0"/>
    <x v="0"/>
    <x v="0"/>
    <x v="0"/>
    <x v="0"/>
    <x v="0"/>
    <x v="0"/>
    <x v="0"/>
  </r>
  <r>
    <x v="898"/>
    <s v="NURUL IZZATI BINTI MOHD BAKRI"/>
    <x v="16"/>
    <x v="1"/>
    <x v="1"/>
    <x v="1"/>
    <x v="1"/>
    <x v="1"/>
    <x v="0"/>
    <x v="0"/>
    <x v="1"/>
    <x v="0"/>
    <x v="0"/>
    <x v="0"/>
    <x v="0"/>
    <x v="0"/>
    <x v="0"/>
    <x v="0"/>
    <x v="0"/>
    <x v="0"/>
  </r>
  <r>
    <x v="899"/>
    <s v="NOOR MARIAH BINTI MAT SAAD"/>
    <x v="16"/>
    <x v="1"/>
    <x v="3"/>
    <x v="1"/>
    <x v="0"/>
    <x v="1"/>
    <x v="0"/>
    <x v="0"/>
    <x v="1"/>
    <x v="0"/>
    <x v="0"/>
    <x v="0"/>
    <x v="0"/>
    <x v="0"/>
    <x v="0"/>
    <x v="0"/>
    <x v="0"/>
    <x v="0"/>
  </r>
  <r>
    <x v="900"/>
    <s v="FAKHRUL ADLI BIN HAMDAN SHARUHIL"/>
    <x v="16"/>
    <x v="0"/>
    <x v="3"/>
    <x v="1"/>
    <x v="0"/>
    <x v="1"/>
    <x v="0"/>
    <x v="0"/>
    <x v="1"/>
    <x v="0"/>
    <x v="0"/>
    <x v="0"/>
    <x v="0"/>
    <x v="0"/>
    <x v="0"/>
    <x v="0"/>
    <x v="0"/>
    <x v="0"/>
  </r>
  <r>
    <x v="901"/>
    <s v="MUHAMMAD ZAHIRUL MIFZAL BIN MOHD NOOR AZMAN"/>
    <x v="3"/>
    <x v="0"/>
    <x v="1"/>
    <x v="0"/>
    <x v="0"/>
    <x v="1"/>
    <x v="1"/>
    <x v="0"/>
    <x v="1"/>
    <x v="0"/>
    <x v="0"/>
    <x v="0"/>
    <x v="0"/>
    <x v="0"/>
    <x v="0"/>
    <x v="0"/>
    <x v="0"/>
    <x v="0"/>
  </r>
  <r>
    <x v="902"/>
    <s v="MUHAMAD TAJUDIN BIN ZONASKI"/>
    <x v="19"/>
    <x v="0"/>
    <x v="2"/>
    <x v="1"/>
    <x v="0"/>
    <x v="1"/>
    <x v="0"/>
    <x v="0"/>
    <x v="1"/>
    <x v="0"/>
    <x v="0"/>
    <x v="0"/>
    <x v="0"/>
    <x v="0"/>
    <x v="0"/>
    <x v="0"/>
    <x v="0"/>
    <x v="0"/>
  </r>
  <r>
    <x v="903"/>
    <s v="MUHAMMAD KHALID BIN SABUDDIN"/>
    <x v="5"/>
    <x v="0"/>
    <x v="2"/>
    <x v="1"/>
    <x v="0"/>
    <x v="1"/>
    <x v="0"/>
    <x v="0"/>
    <x v="1"/>
    <x v="0"/>
    <x v="0"/>
    <x v="0"/>
    <x v="0"/>
    <x v="0"/>
    <x v="0"/>
    <x v="0"/>
    <x v="0"/>
    <x v="0"/>
  </r>
  <r>
    <x v="904"/>
    <s v="MOHAMAD FIRDAUS BIN SAMSUDDIN"/>
    <x v="8"/>
    <x v="0"/>
    <x v="3"/>
    <x v="1"/>
    <x v="0"/>
    <x v="1"/>
    <x v="0"/>
    <x v="0"/>
    <x v="1"/>
    <x v="0"/>
    <x v="0"/>
    <x v="0"/>
    <x v="0"/>
    <x v="0"/>
    <x v="0"/>
    <x v="0"/>
    <x v="0"/>
    <x v="0"/>
  </r>
  <r>
    <x v="905"/>
    <s v="NOR HAFIZAH BINTI CHE MAMAT"/>
    <x v="16"/>
    <x v="1"/>
    <x v="1"/>
    <x v="0"/>
    <x v="1"/>
    <x v="0"/>
    <x v="1"/>
    <x v="1"/>
    <x v="1"/>
    <x v="0"/>
    <x v="0"/>
    <x v="0"/>
    <x v="0"/>
    <x v="0"/>
    <x v="0"/>
    <x v="0"/>
    <x v="0"/>
    <x v="0"/>
  </r>
  <r>
    <x v="906"/>
    <s v="NUR ZULAIKHA BINTI NAZELIZAN"/>
    <x v="5"/>
    <x v="1"/>
    <x v="3"/>
    <x v="1"/>
    <x v="0"/>
    <x v="0"/>
    <x v="0"/>
    <x v="0"/>
    <x v="1"/>
    <x v="0"/>
    <x v="0"/>
    <x v="0"/>
    <x v="0"/>
    <x v="0"/>
    <x v="0"/>
    <x v="0"/>
    <x v="0"/>
    <x v="0"/>
  </r>
  <r>
    <x v="907"/>
    <s v="NUR ZAYANAH BINTI ROSLI"/>
    <x v="5"/>
    <x v="1"/>
    <x v="2"/>
    <x v="1"/>
    <x v="0"/>
    <x v="1"/>
    <x v="0"/>
    <x v="0"/>
    <x v="1"/>
    <x v="0"/>
    <x v="0"/>
    <x v="0"/>
    <x v="0"/>
    <x v="0"/>
    <x v="0"/>
    <x v="0"/>
    <x v="0"/>
    <x v="0"/>
  </r>
  <r>
    <x v="908"/>
    <s v="MUHAMMAD IKMAL BIN JAMIL"/>
    <x v="3"/>
    <x v="0"/>
    <x v="0"/>
    <x v="0"/>
    <x v="1"/>
    <x v="0"/>
    <x v="1"/>
    <x v="1"/>
    <x v="1"/>
    <x v="0"/>
    <x v="0"/>
    <x v="0"/>
    <x v="0"/>
    <x v="0"/>
    <x v="0"/>
    <x v="0"/>
    <x v="0"/>
    <x v="0"/>
  </r>
  <r>
    <x v="909"/>
    <s v="MUHAMAD NUR ZAIM BIN ISMAWI"/>
    <x v="16"/>
    <x v="0"/>
    <x v="2"/>
    <x v="1"/>
    <x v="0"/>
    <x v="1"/>
    <x v="0"/>
    <x v="0"/>
    <x v="1"/>
    <x v="0"/>
    <x v="0"/>
    <x v="0"/>
    <x v="0"/>
    <x v="0"/>
    <x v="0"/>
    <x v="0"/>
    <x v="0"/>
    <x v="0"/>
  </r>
  <r>
    <x v="910"/>
    <s v="MOHAMAD ALIF HAIKAL BIN OTHMAN"/>
    <x v="16"/>
    <x v="0"/>
    <x v="2"/>
    <x v="1"/>
    <x v="0"/>
    <x v="1"/>
    <x v="0"/>
    <x v="0"/>
    <x v="1"/>
    <x v="0"/>
    <x v="0"/>
    <x v="0"/>
    <x v="0"/>
    <x v="0"/>
    <x v="0"/>
    <x v="0"/>
    <x v="0"/>
    <x v="0"/>
  </r>
  <r>
    <x v="911"/>
    <s v="MUHAMAD AMIRUL HAFIZ BIN SAMSURI"/>
    <x v="5"/>
    <x v="0"/>
    <x v="2"/>
    <x v="1"/>
    <x v="0"/>
    <x v="1"/>
    <x v="0"/>
    <x v="0"/>
    <x v="1"/>
    <x v="0"/>
    <x v="0"/>
    <x v="0"/>
    <x v="0"/>
    <x v="0"/>
    <x v="0"/>
    <x v="0"/>
    <x v="0"/>
    <x v="0"/>
  </r>
  <r>
    <x v="912"/>
    <s v="MUHAMMAD KHAIRUNNAIM BIN AZHAR"/>
    <x v="0"/>
    <x v="0"/>
    <x v="1"/>
    <x v="0"/>
    <x v="1"/>
    <x v="1"/>
    <x v="1"/>
    <x v="0"/>
    <x v="1"/>
    <x v="0"/>
    <x v="0"/>
    <x v="0"/>
    <x v="0"/>
    <x v="0"/>
    <x v="0"/>
    <x v="0"/>
    <x v="0"/>
    <x v="0"/>
  </r>
  <r>
    <x v="913"/>
    <s v="MUHAMMAD ALIFF SUFIAN BIN SHAHRUL NIZAM"/>
    <x v="16"/>
    <x v="0"/>
    <x v="3"/>
    <x v="1"/>
    <x v="0"/>
    <x v="1"/>
    <x v="0"/>
    <x v="0"/>
    <x v="1"/>
    <x v="0"/>
    <x v="0"/>
    <x v="0"/>
    <x v="0"/>
    <x v="0"/>
    <x v="0"/>
    <x v="0"/>
    <x v="0"/>
    <x v="0"/>
  </r>
  <r>
    <x v="914"/>
    <s v="MUHAMMAD FAWWAZ BIN SALEH"/>
    <x v="2"/>
    <x v="0"/>
    <x v="1"/>
    <x v="1"/>
    <x v="0"/>
    <x v="1"/>
    <x v="1"/>
    <x v="0"/>
    <x v="1"/>
    <x v="0"/>
    <x v="0"/>
    <x v="0"/>
    <x v="0"/>
    <x v="0"/>
    <x v="0"/>
    <x v="0"/>
    <x v="0"/>
    <x v="0"/>
  </r>
  <r>
    <x v="915"/>
    <s v="MUHAMMAD YUNUS BIN ZAHARIN"/>
    <x v="16"/>
    <x v="0"/>
    <x v="3"/>
    <x v="1"/>
    <x v="0"/>
    <x v="1"/>
    <x v="0"/>
    <x v="0"/>
    <x v="1"/>
    <x v="0"/>
    <x v="0"/>
    <x v="0"/>
    <x v="0"/>
    <x v="0"/>
    <x v="0"/>
    <x v="0"/>
    <x v="0"/>
    <x v="0"/>
  </r>
  <r>
    <x v="916"/>
    <s v="NUR SHAZREEN BINTI BADEROL HISAM"/>
    <x v="21"/>
    <x v="1"/>
    <x v="1"/>
    <x v="1"/>
    <x v="0"/>
    <x v="1"/>
    <x v="1"/>
    <x v="0"/>
    <x v="1"/>
    <x v="0"/>
    <x v="0"/>
    <x v="0"/>
    <x v="0"/>
    <x v="0"/>
    <x v="0"/>
    <x v="0"/>
    <x v="0"/>
    <x v="0"/>
  </r>
  <r>
    <x v="917"/>
    <s v="FATIN SHARMIMI BINTI HASSAN MUHAMAD"/>
    <x v="18"/>
    <x v="1"/>
    <x v="1"/>
    <x v="1"/>
    <x v="0"/>
    <x v="1"/>
    <x v="1"/>
    <x v="0"/>
    <x v="1"/>
    <x v="0"/>
    <x v="0"/>
    <x v="0"/>
    <x v="0"/>
    <x v="0"/>
    <x v="0"/>
    <x v="0"/>
    <x v="0"/>
    <x v="0"/>
  </r>
  <r>
    <x v="918"/>
    <s v="IZAMILA BINTI IBRAHIM"/>
    <x v="18"/>
    <x v="1"/>
    <x v="2"/>
    <x v="1"/>
    <x v="0"/>
    <x v="1"/>
    <x v="0"/>
    <x v="0"/>
    <x v="1"/>
    <x v="0"/>
    <x v="0"/>
    <x v="0"/>
    <x v="0"/>
    <x v="0"/>
    <x v="0"/>
    <x v="0"/>
    <x v="0"/>
    <x v="0"/>
  </r>
  <r>
    <x v="919"/>
    <s v="MOHD HASRUL IZZUAN BIN ISMAIL"/>
    <x v="16"/>
    <x v="0"/>
    <x v="1"/>
    <x v="0"/>
    <x v="1"/>
    <x v="0"/>
    <x v="1"/>
    <x v="1"/>
    <x v="1"/>
    <x v="0"/>
    <x v="0"/>
    <x v="0"/>
    <x v="0"/>
    <x v="0"/>
    <x v="0"/>
    <x v="0"/>
    <x v="0"/>
    <x v="0"/>
  </r>
  <r>
    <x v="920"/>
    <s v="MOHD AZWAN BIN MOHD DIN"/>
    <x v="1"/>
    <x v="0"/>
    <x v="0"/>
    <x v="0"/>
    <x v="1"/>
    <x v="0"/>
    <x v="1"/>
    <x v="1"/>
    <x v="0"/>
    <x v="0"/>
    <x v="0"/>
    <x v="0"/>
    <x v="0"/>
    <x v="0"/>
    <x v="0"/>
    <x v="0"/>
    <x v="0"/>
    <x v="0"/>
  </r>
  <r>
    <x v="921"/>
    <s v="NORFAZLIANA BINTI ABDULLAH"/>
    <x v="16"/>
    <x v="1"/>
    <x v="1"/>
    <x v="0"/>
    <x v="1"/>
    <x v="0"/>
    <x v="1"/>
    <x v="1"/>
    <x v="1"/>
    <x v="0"/>
    <x v="0"/>
    <x v="0"/>
    <x v="0"/>
    <x v="0"/>
    <x v="0"/>
    <x v="0"/>
    <x v="0"/>
    <x v="0"/>
  </r>
  <r>
    <x v="922"/>
    <s v="NOORSYFINA BINTI JOHARI"/>
    <x v="19"/>
    <x v="1"/>
    <x v="2"/>
    <x v="1"/>
    <x v="0"/>
    <x v="1"/>
    <x v="0"/>
    <x v="0"/>
    <x v="1"/>
    <x v="0"/>
    <x v="0"/>
    <x v="0"/>
    <x v="0"/>
    <x v="0"/>
    <x v="0"/>
    <x v="0"/>
    <x v="0"/>
    <x v="0"/>
  </r>
  <r>
    <x v="923"/>
    <s v="MUHAMMAD SYAFIQ BIN SADIAN @ SAIDIN"/>
    <x v="18"/>
    <x v="0"/>
    <x v="2"/>
    <x v="1"/>
    <x v="0"/>
    <x v="1"/>
    <x v="0"/>
    <x v="0"/>
    <x v="0"/>
    <x v="0"/>
    <x v="0"/>
    <x v="0"/>
    <x v="0"/>
    <x v="0"/>
    <x v="0"/>
    <x v="0"/>
    <x v="0"/>
    <x v="0"/>
  </r>
  <r>
    <x v="924"/>
    <s v="NURUL AZWANIE BINTI ZAMBERI"/>
    <x v="19"/>
    <x v="1"/>
    <x v="1"/>
    <x v="0"/>
    <x v="1"/>
    <x v="0"/>
    <x v="1"/>
    <x v="1"/>
    <x v="1"/>
    <x v="0"/>
    <x v="0"/>
    <x v="0"/>
    <x v="0"/>
    <x v="0"/>
    <x v="0"/>
    <x v="0"/>
    <x v="0"/>
    <x v="0"/>
  </r>
  <r>
    <x v="925"/>
    <s v="SALMY SAZNIRA BINTI ABDUL RAHIM"/>
    <x v="19"/>
    <x v="1"/>
    <x v="2"/>
    <x v="1"/>
    <x v="0"/>
    <x v="1"/>
    <x v="0"/>
    <x v="0"/>
    <x v="1"/>
    <x v="0"/>
    <x v="0"/>
    <x v="0"/>
    <x v="0"/>
    <x v="0"/>
    <x v="0"/>
    <x v="0"/>
    <x v="0"/>
    <x v="0"/>
  </r>
  <r>
    <x v="926"/>
    <s v="NURUL NAJWA BINTI MOHD NAZARUDDIN"/>
    <x v="19"/>
    <x v="1"/>
    <x v="3"/>
    <x v="1"/>
    <x v="0"/>
    <x v="1"/>
    <x v="0"/>
    <x v="1"/>
    <x v="1"/>
    <x v="0"/>
    <x v="0"/>
    <x v="0"/>
    <x v="0"/>
    <x v="0"/>
    <x v="0"/>
    <x v="0"/>
    <x v="0"/>
    <x v="0"/>
  </r>
  <r>
    <x v="927"/>
    <s v="NUR IFFAH SYAZWANI BINTI NOR AZMAN"/>
    <x v="9"/>
    <x v="1"/>
    <x v="1"/>
    <x v="0"/>
    <x v="1"/>
    <x v="0"/>
    <x v="1"/>
    <x v="1"/>
    <x v="1"/>
    <x v="0"/>
    <x v="0"/>
    <x v="0"/>
    <x v="0"/>
    <x v="0"/>
    <x v="0"/>
    <x v="0"/>
    <x v="0"/>
    <x v="0"/>
  </r>
  <r>
    <x v="928"/>
    <s v="NORNI AMARAHIDAYAH BINTI IDRIS"/>
    <x v="16"/>
    <x v="1"/>
    <x v="3"/>
    <x v="1"/>
    <x v="0"/>
    <x v="1"/>
    <x v="0"/>
    <x v="0"/>
    <x v="1"/>
    <x v="0"/>
    <x v="0"/>
    <x v="0"/>
    <x v="0"/>
    <x v="0"/>
    <x v="0"/>
    <x v="0"/>
    <x v="0"/>
    <x v="0"/>
  </r>
  <r>
    <x v="929"/>
    <s v="NUR IZATUL AKHMA BINTI AZHAR"/>
    <x v="16"/>
    <x v="1"/>
    <x v="3"/>
    <x v="1"/>
    <x v="0"/>
    <x v="1"/>
    <x v="0"/>
    <x v="0"/>
    <x v="1"/>
    <x v="0"/>
    <x v="0"/>
    <x v="0"/>
    <x v="0"/>
    <x v="0"/>
    <x v="0"/>
    <x v="0"/>
    <x v="0"/>
    <x v="0"/>
  </r>
  <r>
    <x v="930"/>
    <s v="MUHAMAD IDRIS HIBATULLAH BIN MD YUSOFF"/>
    <x v="2"/>
    <x v="0"/>
    <x v="1"/>
    <x v="1"/>
    <x v="0"/>
    <x v="1"/>
    <x v="1"/>
    <x v="0"/>
    <x v="1"/>
    <x v="0"/>
    <x v="0"/>
    <x v="0"/>
    <x v="0"/>
    <x v="0"/>
    <x v="0"/>
    <x v="0"/>
    <x v="0"/>
    <x v="0"/>
  </r>
  <r>
    <x v="931"/>
    <s v="MUHAMMAD IDZARUL IKHWAN BIN MOHAMAD ISA"/>
    <x v="6"/>
    <x v="0"/>
    <x v="2"/>
    <x v="1"/>
    <x v="0"/>
    <x v="1"/>
    <x v="0"/>
    <x v="0"/>
    <x v="1"/>
    <x v="0"/>
    <x v="0"/>
    <x v="0"/>
    <x v="0"/>
    <x v="0"/>
    <x v="0"/>
    <x v="0"/>
    <x v="0"/>
    <x v="0"/>
  </r>
  <r>
    <x v="932"/>
    <s v="MOHAMAD ELIAS BIN ZOBBER"/>
    <x v="6"/>
    <x v="0"/>
    <x v="3"/>
    <x v="1"/>
    <x v="0"/>
    <x v="1"/>
    <x v="0"/>
    <x v="0"/>
    <x v="1"/>
    <x v="0"/>
    <x v="0"/>
    <x v="0"/>
    <x v="0"/>
    <x v="0"/>
    <x v="0"/>
    <x v="0"/>
    <x v="0"/>
    <x v="0"/>
  </r>
  <r>
    <x v="933"/>
    <s v="MUHAMMAD FIRDAUS BIN ISMAAIL"/>
    <x v="4"/>
    <x v="0"/>
    <x v="2"/>
    <x v="1"/>
    <x v="0"/>
    <x v="1"/>
    <x v="0"/>
    <x v="0"/>
    <x v="1"/>
    <x v="0"/>
    <x v="0"/>
    <x v="0"/>
    <x v="0"/>
    <x v="0"/>
    <x v="0"/>
    <x v="0"/>
    <x v="0"/>
    <x v="0"/>
  </r>
  <r>
    <x v="934"/>
    <s v="MOHD FARIS AZIM BIN ABU BAKAR"/>
    <x v="14"/>
    <x v="0"/>
    <x v="1"/>
    <x v="1"/>
    <x v="0"/>
    <x v="1"/>
    <x v="0"/>
    <x v="0"/>
    <x v="1"/>
    <x v="0"/>
    <x v="0"/>
    <x v="0"/>
    <x v="0"/>
    <x v="0"/>
    <x v="0"/>
    <x v="0"/>
    <x v="0"/>
    <x v="0"/>
  </r>
  <r>
    <x v="935"/>
    <s v="MOHAMAD ZUL HAIKAL BIN MAT SA'AD"/>
    <x v="7"/>
    <x v="0"/>
    <x v="1"/>
    <x v="1"/>
    <x v="0"/>
    <x v="1"/>
    <x v="1"/>
    <x v="0"/>
    <x v="1"/>
    <x v="0"/>
    <x v="0"/>
    <x v="0"/>
    <x v="0"/>
    <x v="0"/>
    <x v="0"/>
    <x v="0"/>
    <x v="0"/>
    <x v="0"/>
  </r>
  <r>
    <x v="936"/>
    <s v="ABDUL SALAM BIN NAZERI"/>
    <x v="6"/>
    <x v="0"/>
    <x v="1"/>
    <x v="0"/>
    <x v="1"/>
    <x v="0"/>
    <x v="1"/>
    <x v="1"/>
    <x v="1"/>
    <x v="0"/>
    <x v="0"/>
    <x v="0"/>
    <x v="0"/>
    <x v="0"/>
    <x v="0"/>
    <x v="0"/>
    <x v="0"/>
    <x v="0"/>
  </r>
  <r>
    <x v="937"/>
    <s v="MUHAMMAD AZIB BIN MOHD IDRIS"/>
    <x v="21"/>
    <x v="0"/>
    <x v="1"/>
    <x v="1"/>
    <x v="0"/>
    <x v="1"/>
    <x v="1"/>
    <x v="0"/>
    <x v="1"/>
    <x v="0"/>
    <x v="0"/>
    <x v="0"/>
    <x v="0"/>
    <x v="0"/>
    <x v="0"/>
    <x v="0"/>
    <x v="0"/>
    <x v="0"/>
  </r>
  <r>
    <x v="938"/>
    <s v="AMERUL RAHMAN BIN MAHAMUT"/>
    <x v="14"/>
    <x v="0"/>
    <x v="3"/>
    <x v="1"/>
    <x v="0"/>
    <x v="1"/>
    <x v="0"/>
    <x v="0"/>
    <x v="1"/>
    <x v="0"/>
    <x v="0"/>
    <x v="0"/>
    <x v="0"/>
    <x v="0"/>
    <x v="0"/>
    <x v="0"/>
    <x v="0"/>
    <x v="0"/>
  </r>
  <r>
    <x v="939"/>
    <s v="MUHAMMAD HAZMIRUL NAZMI BIN HAIRUDIN"/>
    <x v="3"/>
    <x v="0"/>
    <x v="1"/>
    <x v="0"/>
    <x v="0"/>
    <x v="1"/>
    <x v="1"/>
    <x v="0"/>
    <x v="0"/>
    <x v="0"/>
    <x v="0"/>
    <x v="0"/>
    <x v="0"/>
    <x v="0"/>
    <x v="0"/>
    <x v="0"/>
    <x v="0"/>
    <x v="0"/>
  </r>
  <r>
    <x v="940"/>
    <s v="NUR AFIQAH ALYA BINTI ABDUL AZIZ"/>
    <x v="19"/>
    <x v="1"/>
    <x v="2"/>
    <x v="1"/>
    <x v="0"/>
    <x v="1"/>
    <x v="0"/>
    <x v="0"/>
    <x v="1"/>
    <x v="0"/>
    <x v="0"/>
    <x v="0"/>
    <x v="0"/>
    <x v="0"/>
    <x v="0"/>
    <x v="0"/>
    <x v="0"/>
    <x v="0"/>
  </r>
  <r>
    <x v="941"/>
    <s v="SYARIFAH NASIHAH BINTI SYED MOHAMAD"/>
    <x v="19"/>
    <x v="1"/>
    <x v="2"/>
    <x v="1"/>
    <x v="0"/>
    <x v="1"/>
    <x v="0"/>
    <x v="0"/>
    <x v="1"/>
    <x v="0"/>
    <x v="0"/>
    <x v="0"/>
    <x v="0"/>
    <x v="0"/>
    <x v="0"/>
    <x v="0"/>
    <x v="0"/>
    <x v="0"/>
  </r>
  <r>
    <x v="942"/>
    <s v="IRHAM AZHIM BIN OMAR"/>
    <x v="5"/>
    <x v="0"/>
    <x v="0"/>
    <x v="0"/>
    <x v="1"/>
    <x v="0"/>
    <x v="1"/>
    <x v="1"/>
    <x v="1"/>
    <x v="0"/>
    <x v="0"/>
    <x v="0"/>
    <x v="0"/>
    <x v="0"/>
    <x v="0"/>
    <x v="0"/>
    <x v="0"/>
    <x v="0"/>
  </r>
  <r>
    <x v="943"/>
    <s v="AZRIN ASHRAF BIN HUSSEIN"/>
    <x v="21"/>
    <x v="0"/>
    <x v="2"/>
    <x v="1"/>
    <x v="0"/>
    <x v="1"/>
    <x v="0"/>
    <x v="0"/>
    <x v="1"/>
    <x v="0"/>
    <x v="0"/>
    <x v="0"/>
    <x v="0"/>
    <x v="0"/>
    <x v="0"/>
    <x v="0"/>
    <x v="0"/>
    <x v="0"/>
  </r>
  <r>
    <x v="944"/>
    <s v="AZHARUDDIN BIN ISA"/>
    <x v="8"/>
    <x v="0"/>
    <x v="2"/>
    <x v="1"/>
    <x v="0"/>
    <x v="1"/>
    <x v="0"/>
    <x v="0"/>
    <x v="1"/>
    <x v="0"/>
    <x v="0"/>
    <x v="0"/>
    <x v="0"/>
    <x v="0"/>
    <x v="0"/>
    <x v="0"/>
    <x v="0"/>
    <x v="0"/>
  </r>
  <r>
    <x v="945"/>
    <s v="MUHAMAD AIMAN FIRDAUS BIN ABDUL"/>
    <x v="16"/>
    <x v="0"/>
    <x v="2"/>
    <x v="1"/>
    <x v="0"/>
    <x v="1"/>
    <x v="0"/>
    <x v="0"/>
    <x v="1"/>
    <x v="0"/>
    <x v="0"/>
    <x v="0"/>
    <x v="0"/>
    <x v="0"/>
    <x v="0"/>
    <x v="0"/>
    <x v="0"/>
    <x v="0"/>
  </r>
  <r>
    <x v="946"/>
    <s v="MUHAMAD KHAIRUL BIN MUHAMMAD REDUAN"/>
    <x v="5"/>
    <x v="0"/>
    <x v="3"/>
    <x v="1"/>
    <x v="0"/>
    <x v="1"/>
    <x v="0"/>
    <x v="0"/>
    <x v="1"/>
    <x v="0"/>
    <x v="0"/>
    <x v="0"/>
    <x v="0"/>
    <x v="0"/>
    <x v="0"/>
    <x v="0"/>
    <x v="0"/>
    <x v="0"/>
  </r>
  <r>
    <x v="947"/>
    <s v="SITI KATIJAH BINTI ABDUL SALLEH"/>
    <x v="14"/>
    <x v="1"/>
    <x v="1"/>
    <x v="1"/>
    <x v="0"/>
    <x v="1"/>
    <x v="0"/>
    <x v="0"/>
    <x v="1"/>
    <x v="0"/>
    <x v="0"/>
    <x v="0"/>
    <x v="0"/>
    <x v="0"/>
    <x v="0"/>
    <x v="0"/>
    <x v="0"/>
    <x v="0"/>
  </r>
  <r>
    <x v="948"/>
    <s v="MUHAMMAD KHAIRUL IKHWAN BIN SHAMSUDDIN"/>
    <x v="16"/>
    <x v="0"/>
    <x v="2"/>
    <x v="1"/>
    <x v="0"/>
    <x v="1"/>
    <x v="0"/>
    <x v="0"/>
    <x v="1"/>
    <x v="0"/>
    <x v="0"/>
    <x v="0"/>
    <x v="0"/>
    <x v="0"/>
    <x v="0"/>
    <x v="0"/>
    <x v="0"/>
    <x v="0"/>
  </r>
  <r>
    <x v="949"/>
    <s v="MUHAMAD AFIS BIN HUSSAIN"/>
    <x v="11"/>
    <x v="0"/>
    <x v="1"/>
    <x v="1"/>
    <x v="0"/>
    <x v="1"/>
    <x v="0"/>
    <x v="0"/>
    <x v="1"/>
    <x v="0"/>
    <x v="0"/>
    <x v="0"/>
    <x v="0"/>
    <x v="0"/>
    <x v="0"/>
    <x v="0"/>
    <x v="0"/>
    <x v="0"/>
  </r>
  <r>
    <x v="950"/>
    <s v="NURUL ANIENA BINTI AZLAL"/>
    <x v="16"/>
    <x v="1"/>
    <x v="1"/>
    <x v="0"/>
    <x v="1"/>
    <x v="0"/>
    <x v="1"/>
    <x v="1"/>
    <x v="1"/>
    <x v="0"/>
    <x v="0"/>
    <x v="0"/>
    <x v="0"/>
    <x v="0"/>
    <x v="0"/>
    <x v="0"/>
    <x v="0"/>
    <x v="0"/>
  </r>
  <r>
    <x v="951"/>
    <s v="MOHD NORAZEMIE BIN NORDDIN"/>
    <x v="6"/>
    <x v="0"/>
    <x v="3"/>
    <x v="1"/>
    <x v="0"/>
    <x v="1"/>
    <x v="0"/>
    <x v="0"/>
    <x v="1"/>
    <x v="0"/>
    <x v="0"/>
    <x v="0"/>
    <x v="0"/>
    <x v="0"/>
    <x v="0"/>
    <x v="0"/>
    <x v="0"/>
    <x v="0"/>
  </r>
  <r>
    <x v="952"/>
    <s v="MOHAMAD AIDIEL IKHMAL BIN RAJULI"/>
    <x v="9"/>
    <x v="0"/>
    <x v="3"/>
    <x v="1"/>
    <x v="0"/>
    <x v="1"/>
    <x v="0"/>
    <x v="0"/>
    <x v="1"/>
    <x v="0"/>
    <x v="0"/>
    <x v="0"/>
    <x v="0"/>
    <x v="0"/>
    <x v="0"/>
    <x v="0"/>
    <x v="0"/>
    <x v="0"/>
  </r>
  <r>
    <x v="953"/>
    <s v="MOHAMAD NADZEMAN BIN ROSLI"/>
    <x v="9"/>
    <x v="0"/>
    <x v="1"/>
    <x v="0"/>
    <x v="1"/>
    <x v="0"/>
    <x v="1"/>
    <x v="1"/>
    <x v="0"/>
    <x v="0"/>
    <x v="0"/>
    <x v="0"/>
    <x v="0"/>
    <x v="0"/>
    <x v="0"/>
    <x v="0"/>
    <x v="0"/>
    <x v="0"/>
  </r>
  <r>
    <x v="954"/>
    <s v="MUHAMMAD HAIKAL AIMAN BIN ABDULL MALIK"/>
    <x v="9"/>
    <x v="0"/>
    <x v="2"/>
    <x v="1"/>
    <x v="0"/>
    <x v="1"/>
    <x v="0"/>
    <x v="0"/>
    <x v="1"/>
    <x v="0"/>
    <x v="0"/>
    <x v="0"/>
    <x v="0"/>
    <x v="0"/>
    <x v="0"/>
    <x v="0"/>
    <x v="0"/>
    <x v="0"/>
  </r>
  <r>
    <x v="955"/>
    <s v="SULAIMAN BIN RAZALI"/>
    <x v="2"/>
    <x v="0"/>
    <x v="2"/>
    <x v="1"/>
    <x v="0"/>
    <x v="1"/>
    <x v="0"/>
    <x v="0"/>
    <x v="1"/>
    <x v="0"/>
    <x v="0"/>
    <x v="0"/>
    <x v="0"/>
    <x v="0"/>
    <x v="0"/>
    <x v="0"/>
    <x v="0"/>
    <x v="0"/>
  </r>
  <r>
    <x v="956"/>
    <s v="NUR ALEYA SYAZWANI BINTI MOHD NIZAL"/>
    <x v="3"/>
    <x v="1"/>
    <x v="2"/>
    <x v="1"/>
    <x v="0"/>
    <x v="1"/>
    <x v="0"/>
    <x v="0"/>
    <x v="1"/>
    <x v="0"/>
    <x v="0"/>
    <x v="0"/>
    <x v="0"/>
    <x v="0"/>
    <x v="0"/>
    <x v="0"/>
    <x v="0"/>
    <x v="0"/>
  </r>
  <r>
    <x v="957"/>
    <s v="NUR DAWATUL NIQA BINTI AZIZAN"/>
    <x v="3"/>
    <x v="1"/>
    <x v="3"/>
    <x v="0"/>
    <x v="1"/>
    <x v="1"/>
    <x v="1"/>
    <x v="1"/>
    <x v="1"/>
    <x v="0"/>
    <x v="0"/>
    <x v="0"/>
    <x v="0"/>
    <x v="0"/>
    <x v="0"/>
    <x v="0"/>
    <x v="0"/>
    <x v="0"/>
  </r>
  <r>
    <x v="958"/>
    <s v="NUR FATIHAH SAZWANIE BINTI WAN RAZALI"/>
    <x v="5"/>
    <x v="1"/>
    <x v="1"/>
    <x v="1"/>
    <x v="0"/>
    <x v="1"/>
    <x v="0"/>
    <x v="0"/>
    <x v="1"/>
    <x v="0"/>
    <x v="0"/>
    <x v="0"/>
    <x v="0"/>
    <x v="0"/>
    <x v="0"/>
    <x v="0"/>
    <x v="0"/>
    <x v="0"/>
  </r>
  <r>
    <x v="959"/>
    <s v="NURUL ASMA BINTI ABRAHIM"/>
    <x v="3"/>
    <x v="1"/>
    <x v="1"/>
    <x v="0"/>
    <x v="0"/>
    <x v="1"/>
    <x v="1"/>
    <x v="0"/>
    <x v="1"/>
    <x v="0"/>
    <x v="0"/>
    <x v="0"/>
    <x v="0"/>
    <x v="0"/>
    <x v="0"/>
    <x v="0"/>
    <x v="0"/>
    <x v="0"/>
  </r>
  <r>
    <x v="960"/>
    <s v="MUHAMMAD AIMAN BIN HASIM"/>
    <x v="9"/>
    <x v="0"/>
    <x v="1"/>
    <x v="0"/>
    <x v="1"/>
    <x v="0"/>
    <x v="1"/>
    <x v="1"/>
    <x v="0"/>
    <x v="0"/>
    <x v="0"/>
    <x v="0"/>
    <x v="0"/>
    <x v="0"/>
    <x v="0"/>
    <x v="0"/>
    <x v="0"/>
    <x v="0"/>
  </r>
  <r>
    <x v="961"/>
    <s v="AMELLIA BINTI MUHAMAD AMIN"/>
    <x v="5"/>
    <x v="1"/>
    <x v="3"/>
    <x v="1"/>
    <x v="0"/>
    <x v="1"/>
    <x v="0"/>
    <x v="0"/>
    <x v="1"/>
    <x v="0"/>
    <x v="0"/>
    <x v="0"/>
    <x v="0"/>
    <x v="0"/>
    <x v="0"/>
    <x v="0"/>
    <x v="0"/>
    <x v="0"/>
  </r>
  <r>
    <x v="962"/>
    <s v="MOHAMAD HAKIM BIN MOHAMAD AKHIR"/>
    <x v="8"/>
    <x v="0"/>
    <x v="1"/>
    <x v="0"/>
    <x v="1"/>
    <x v="0"/>
    <x v="1"/>
    <x v="1"/>
    <x v="1"/>
    <x v="0"/>
    <x v="0"/>
    <x v="0"/>
    <x v="0"/>
    <x v="0"/>
    <x v="0"/>
    <x v="0"/>
    <x v="0"/>
    <x v="0"/>
  </r>
  <r>
    <x v="963"/>
    <s v="MOHAMAD JALIL BIN MAT ISA"/>
    <x v="5"/>
    <x v="0"/>
    <x v="1"/>
    <x v="0"/>
    <x v="1"/>
    <x v="0"/>
    <x v="1"/>
    <x v="1"/>
    <x v="1"/>
    <x v="0"/>
    <x v="0"/>
    <x v="0"/>
    <x v="0"/>
    <x v="0"/>
    <x v="0"/>
    <x v="0"/>
    <x v="0"/>
    <x v="0"/>
  </r>
  <r>
    <x v="964"/>
    <s v="MUHAMMAD YUSRI BIN MANSOR"/>
    <x v="3"/>
    <x v="0"/>
    <x v="1"/>
    <x v="0"/>
    <x v="0"/>
    <x v="1"/>
    <x v="1"/>
    <x v="0"/>
    <x v="1"/>
    <x v="0"/>
    <x v="0"/>
    <x v="0"/>
    <x v="0"/>
    <x v="0"/>
    <x v="0"/>
    <x v="0"/>
    <x v="0"/>
    <x v="0"/>
  </r>
  <r>
    <x v="965"/>
    <s v="PEKREALES BIN ABDUL AZEZ"/>
    <x v="3"/>
    <x v="0"/>
    <x v="2"/>
    <x v="1"/>
    <x v="0"/>
    <x v="1"/>
    <x v="0"/>
    <x v="0"/>
    <x v="1"/>
    <x v="0"/>
    <x v="0"/>
    <x v="0"/>
    <x v="0"/>
    <x v="0"/>
    <x v="0"/>
    <x v="0"/>
    <x v="0"/>
    <x v="0"/>
  </r>
  <r>
    <x v="966"/>
    <s v="MOHAMAD ARIF BIN KHALID"/>
    <x v="3"/>
    <x v="0"/>
    <x v="3"/>
    <x v="1"/>
    <x v="0"/>
    <x v="1"/>
    <x v="1"/>
    <x v="0"/>
    <x v="0"/>
    <x v="0"/>
    <x v="0"/>
    <x v="0"/>
    <x v="0"/>
    <x v="0"/>
    <x v="0"/>
    <x v="0"/>
    <x v="0"/>
    <x v="0"/>
  </r>
  <r>
    <x v="967"/>
    <s v="MOHAMAD IZZAD BIN SAIDIN"/>
    <x v="0"/>
    <x v="0"/>
    <x v="0"/>
    <x v="0"/>
    <x v="1"/>
    <x v="0"/>
    <x v="1"/>
    <x v="1"/>
    <x v="0"/>
    <x v="0"/>
    <x v="0"/>
    <x v="0"/>
    <x v="0"/>
    <x v="0"/>
    <x v="0"/>
    <x v="0"/>
    <x v="0"/>
    <x v="0"/>
  </r>
  <r>
    <x v="968"/>
    <s v="MUHAMMAD AL-AMIN BIN MD YAZID"/>
    <x v="0"/>
    <x v="0"/>
    <x v="0"/>
    <x v="0"/>
    <x v="1"/>
    <x v="0"/>
    <x v="1"/>
    <x v="1"/>
    <x v="0"/>
    <x v="0"/>
    <x v="0"/>
    <x v="0"/>
    <x v="0"/>
    <x v="0"/>
    <x v="0"/>
    <x v="0"/>
    <x v="0"/>
    <x v="0"/>
  </r>
  <r>
    <x v="969"/>
    <s v="MUHAMMAD FAIZ BIN ROSENI"/>
    <x v="0"/>
    <x v="0"/>
    <x v="0"/>
    <x v="0"/>
    <x v="1"/>
    <x v="0"/>
    <x v="1"/>
    <x v="1"/>
    <x v="0"/>
    <x v="0"/>
    <x v="0"/>
    <x v="0"/>
    <x v="0"/>
    <x v="0"/>
    <x v="0"/>
    <x v="0"/>
    <x v="0"/>
    <x v="0"/>
  </r>
  <r>
    <x v="970"/>
    <s v="NOOR SYAMIRA BINTI AHMAD CHUKRI"/>
    <x v="5"/>
    <x v="1"/>
    <x v="0"/>
    <x v="0"/>
    <x v="1"/>
    <x v="0"/>
    <x v="1"/>
    <x v="1"/>
    <x v="1"/>
    <x v="0"/>
    <x v="0"/>
    <x v="0"/>
    <x v="0"/>
    <x v="0"/>
    <x v="0"/>
    <x v="0"/>
    <x v="0"/>
    <x v="0"/>
  </r>
  <r>
    <x v="971"/>
    <s v="NORSALINASALMI BINTI AZMI"/>
    <x v="3"/>
    <x v="1"/>
    <x v="3"/>
    <x v="1"/>
    <x v="0"/>
    <x v="1"/>
    <x v="0"/>
    <x v="0"/>
    <x v="1"/>
    <x v="0"/>
    <x v="0"/>
    <x v="0"/>
    <x v="0"/>
    <x v="0"/>
    <x v="0"/>
    <x v="0"/>
    <x v="0"/>
    <x v="0"/>
  </r>
  <r>
    <x v="972"/>
    <s v="NUR ATHIRAH AZLY"/>
    <x v="3"/>
    <x v="1"/>
    <x v="0"/>
    <x v="0"/>
    <x v="1"/>
    <x v="0"/>
    <x v="1"/>
    <x v="1"/>
    <x v="0"/>
    <x v="0"/>
    <x v="0"/>
    <x v="0"/>
    <x v="0"/>
    <x v="0"/>
    <x v="0"/>
    <x v="0"/>
    <x v="0"/>
    <x v="0"/>
  </r>
  <r>
    <x v="973"/>
    <s v="NURUL SYAFIQAH BINTI JAAFAR"/>
    <x v="3"/>
    <x v="1"/>
    <x v="3"/>
    <x v="1"/>
    <x v="0"/>
    <x v="1"/>
    <x v="0"/>
    <x v="0"/>
    <x v="1"/>
    <x v="0"/>
    <x v="0"/>
    <x v="0"/>
    <x v="0"/>
    <x v="0"/>
    <x v="0"/>
    <x v="0"/>
    <x v="0"/>
    <x v="0"/>
  </r>
  <r>
    <x v="974"/>
    <s v="MUHAMMAD AMIR AMRI BIN RAMLI"/>
    <x v="13"/>
    <x v="0"/>
    <x v="3"/>
    <x v="1"/>
    <x v="0"/>
    <x v="1"/>
    <x v="0"/>
    <x v="0"/>
    <x v="1"/>
    <x v="0"/>
    <x v="0"/>
    <x v="0"/>
    <x v="0"/>
    <x v="0"/>
    <x v="0"/>
    <x v="0"/>
    <x v="0"/>
    <x v="0"/>
  </r>
  <r>
    <x v="975"/>
    <s v="DANI HAIKAL BIN AHMAD DANIAL"/>
    <x v="13"/>
    <x v="0"/>
    <x v="1"/>
    <x v="0"/>
    <x v="1"/>
    <x v="0"/>
    <x v="1"/>
    <x v="1"/>
    <x v="0"/>
    <x v="0"/>
    <x v="0"/>
    <x v="0"/>
    <x v="0"/>
    <x v="0"/>
    <x v="0"/>
    <x v="0"/>
    <x v="0"/>
    <x v="0"/>
  </r>
  <r>
    <x v="976"/>
    <s v="AZMIR BIN ABDULLAH"/>
    <x v="11"/>
    <x v="0"/>
    <x v="3"/>
    <x v="1"/>
    <x v="0"/>
    <x v="1"/>
    <x v="0"/>
    <x v="0"/>
    <x v="1"/>
    <x v="0"/>
    <x v="0"/>
    <x v="0"/>
    <x v="0"/>
    <x v="0"/>
    <x v="0"/>
    <x v="0"/>
    <x v="0"/>
    <x v="0"/>
  </r>
  <r>
    <x v="977"/>
    <s v="MOHAMMAD HAFIZ BIN MOHAMMAD TANGGAMANI"/>
    <x v="11"/>
    <x v="0"/>
    <x v="1"/>
    <x v="1"/>
    <x v="0"/>
    <x v="1"/>
    <x v="0"/>
    <x v="0"/>
    <x v="1"/>
    <x v="0"/>
    <x v="0"/>
    <x v="0"/>
    <x v="0"/>
    <x v="0"/>
    <x v="0"/>
    <x v="0"/>
    <x v="0"/>
    <x v="0"/>
  </r>
  <r>
    <x v="978"/>
    <s v="AIZIRUL ASYRAFF BIN IDRIS"/>
    <x v="13"/>
    <x v="0"/>
    <x v="1"/>
    <x v="0"/>
    <x v="1"/>
    <x v="0"/>
    <x v="1"/>
    <x v="1"/>
    <x v="0"/>
    <x v="0"/>
    <x v="0"/>
    <x v="0"/>
    <x v="0"/>
    <x v="0"/>
    <x v="0"/>
    <x v="0"/>
    <x v="0"/>
    <x v="0"/>
  </r>
  <r>
    <x v="979"/>
    <s v="NUR SYAZANA BINTI OMAR BAKHI"/>
    <x v="14"/>
    <x v="1"/>
    <x v="3"/>
    <x v="1"/>
    <x v="0"/>
    <x v="0"/>
    <x v="1"/>
    <x v="0"/>
    <x v="1"/>
    <x v="0"/>
    <x v="0"/>
    <x v="0"/>
    <x v="0"/>
    <x v="0"/>
    <x v="0"/>
    <x v="0"/>
    <x v="0"/>
    <x v="0"/>
  </r>
  <r>
    <x v="980"/>
    <s v="AZIMAH BINTI AZIZ"/>
    <x v="7"/>
    <x v="1"/>
    <x v="3"/>
    <x v="1"/>
    <x v="0"/>
    <x v="1"/>
    <x v="0"/>
    <x v="0"/>
    <x v="1"/>
    <x v="0"/>
    <x v="0"/>
    <x v="0"/>
    <x v="0"/>
    <x v="0"/>
    <x v="0"/>
    <x v="0"/>
    <x v="0"/>
    <x v="0"/>
  </r>
  <r>
    <x v="981"/>
    <s v="SITI HAJAR BINTI ROSMAN"/>
    <x v="7"/>
    <x v="1"/>
    <x v="3"/>
    <x v="1"/>
    <x v="0"/>
    <x v="1"/>
    <x v="0"/>
    <x v="0"/>
    <x v="1"/>
    <x v="0"/>
    <x v="0"/>
    <x v="0"/>
    <x v="0"/>
    <x v="0"/>
    <x v="0"/>
    <x v="0"/>
    <x v="0"/>
    <x v="0"/>
  </r>
  <r>
    <x v="982"/>
    <s v="NOOR SHUHADA BINTI ABD RASHID"/>
    <x v="7"/>
    <x v="1"/>
    <x v="1"/>
    <x v="0"/>
    <x v="1"/>
    <x v="0"/>
    <x v="1"/>
    <x v="1"/>
    <x v="1"/>
    <x v="0"/>
    <x v="0"/>
    <x v="0"/>
    <x v="0"/>
    <x v="0"/>
    <x v="0"/>
    <x v="0"/>
    <x v="0"/>
    <x v="0"/>
  </r>
  <r>
    <x v="983"/>
    <s v="MAZATUL NAZIRAH BINTI MAT ESA"/>
    <x v="8"/>
    <x v="1"/>
    <x v="2"/>
    <x v="1"/>
    <x v="0"/>
    <x v="1"/>
    <x v="0"/>
    <x v="0"/>
    <x v="1"/>
    <x v="0"/>
    <x v="0"/>
    <x v="0"/>
    <x v="0"/>
    <x v="0"/>
    <x v="0"/>
    <x v="0"/>
    <x v="0"/>
    <x v="0"/>
  </r>
  <r>
    <x v="984"/>
    <s v="SALSABILA BINTI SHAHARUL IZAM"/>
    <x v="7"/>
    <x v="1"/>
    <x v="2"/>
    <x v="1"/>
    <x v="0"/>
    <x v="1"/>
    <x v="0"/>
    <x v="0"/>
    <x v="1"/>
    <x v="0"/>
    <x v="0"/>
    <x v="0"/>
    <x v="0"/>
    <x v="0"/>
    <x v="0"/>
    <x v="0"/>
    <x v="0"/>
    <x v="0"/>
  </r>
  <r>
    <x v="985"/>
    <s v="NUR FIFI NABILA BINTI ZULKPLEE"/>
    <x v="3"/>
    <x v="1"/>
    <x v="0"/>
    <x v="0"/>
    <x v="1"/>
    <x v="0"/>
    <x v="1"/>
    <x v="1"/>
    <x v="0"/>
    <x v="0"/>
    <x v="0"/>
    <x v="0"/>
    <x v="0"/>
    <x v="0"/>
    <x v="0"/>
    <x v="0"/>
    <x v="0"/>
    <x v="0"/>
  </r>
  <r>
    <x v="986"/>
    <s v="SITI SYARIFAH ALIAH BINTI HALIM"/>
    <x v="8"/>
    <x v="1"/>
    <x v="1"/>
    <x v="0"/>
    <x v="1"/>
    <x v="0"/>
    <x v="1"/>
    <x v="1"/>
    <x v="1"/>
    <x v="0"/>
    <x v="0"/>
    <x v="0"/>
    <x v="0"/>
    <x v="0"/>
    <x v="0"/>
    <x v="0"/>
    <x v="0"/>
    <x v="0"/>
  </r>
  <r>
    <x v="987"/>
    <s v="SITI AISHAH BINTI ABD GHANI"/>
    <x v="8"/>
    <x v="1"/>
    <x v="1"/>
    <x v="0"/>
    <x v="1"/>
    <x v="0"/>
    <x v="1"/>
    <x v="1"/>
    <x v="1"/>
    <x v="0"/>
    <x v="0"/>
    <x v="0"/>
    <x v="0"/>
    <x v="0"/>
    <x v="0"/>
    <x v="0"/>
    <x v="0"/>
    <x v="0"/>
  </r>
  <r>
    <x v="988"/>
    <s v="NUR AINA NAJIHAH BINTI ZAINUDDIN"/>
    <x v="3"/>
    <x v="1"/>
    <x v="0"/>
    <x v="0"/>
    <x v="1"/>
    <x v="0"/>
    <x v="1"/>
    <x v="1"/>
    <x v="1"/>
    <x v="0"/>
    <x v="0"/>
    <x v="0"/>
    <x v="0"/>
    <x v="0"/>
    <x v="0"/>
    <x v="0"/>
    <x v="0"/>
    <x v="0"/>
  </r>
  <r>
    <x v="989"/>
    <s v="AINA NABILA BINTI ALLIAS"/>
    <x v="3"/>
    <x v="1"/>
    <x v="0"/>
    <x v="0"/>
    <x v="1"/>
    <x v="0"/>
    <x v="1"/>
    <x v="1"/>
    <x v="0"/>
    <x v="0"/>
    <x v="0"/>
    <x v="0"/>
    <x v="0"/>
    <x v="0"/>
    <x v="0"/>
    <x v="0"/>
    <x v="0"/>
    <x v="0"/>
  </r>
  <r>
    <x v="990"/>
    <s v="MUHAMMAD FARIS BIN MASARI"/>
    <x v="0"/>
    <x v="0"/>
    <x v="0"/>
    <x v="0"/>
    <x v="1"/>
    <x v="0"/>
    <x v="1"/>
    <x v="1"/>
    <x v="0"/>
    <x v="0"/>
    <x v="0"/>
    <x v="0"/>
    <x v="0"/>
    <x v="0"/>
    <x v="0"/>
    <x v="0"/>
    <x v="0"/>
    <x v="0"/>
  </r>
  <r>
    <x v="991"/>
    <s v="MOHD AMIRUL ASHRAF BIN ABDULLAH"/>
    <x v="2"/>
    <x v="0"/>
    <x v="3"/>
    <x v="1"/>
    <x v="0"/>
    <x v="1"/>
    <x v="0"/>
    <x v="0"/>
    <x v="1"/>
    <x v="0"/>
    <x v="0"/>
    <x v="0"/>
    <x v="0"/>
    <x v="0"/>
    <x v="0"/>
    <x v="0"/>
    <x v="0"/>
    <x v="0"/>
  </r>
  <r>
    <x v="992"/>
    <s v="MOHAMAD DANIEL SUHAIZAT BIN MOHAMAD SUHAIMI"/>
    <x v="7"/>
    <x v="0"/>
    <x v="2"/>
    <x v="1"/>
    <x v="0"/>
    <x v="1"/>
    <x v="0"/>
    <x v="0"/>
    <x v="1"/>
    <x v="0"/>
    <x v="0"/>
    <x v="0"/>
    <x v="0"/>
    <x v="0"/>
    <x v="0"/>
    <x v="0"/>
    <x v="0"/>
    <x v="0"/>
  </r>
  <r>
    <x v="993"/>
    <s v="NUR MOHAMAD AL AMIN BIN SAABAN"/>
    <x v="1"/>
    <x v="0"/>
    <x v="0"/>
    <x v="0"/>
    <x v="1"/>
    <x v="0"/>
    <x v="1"/>
    <x v="1"/>
    <x v="0"/>
    <x v="0"/>
    <x v="0"/>
    <x v="0"/>
    <x v="0"/>
    <x v="0"/>
    <x v="0"/>
    <x v="0"/>
    <x v="0"/>
    <x v="0"/>
  </r>
  <r>
    <x v="994"/>
    <s v="SUHAIL MUHAIMIN BIN NAJMI SALAM"/>
    <x v="0"/>
    <x v="0"/>
    <x v="0"/>
    <x v="0"/>
    <x v="1"/>
    <x v="0"/>
    <x v="1"/>
    <x v="1"/>
    <x v="0"/>
    <x v="0"/>
    <x v="0"/>
    <x v="0"/>
    <x v="0"/>
    <x v="0"/>
    <x v="0"/>
    <x v="0"/>
    <x v="0"/>
    <x v="0"/>
  </r>
  <r>
    <x v="995"/>
    <s v="WAN AIMAN FAHMIE BIN WAN AMIR"/>
    <x v="1"/>
    <x v="0"/>
    <x v="0"/>
    <x v="0"/>
    <x v="1"/>
    <x v="0"/>
    <x v="1"/>
    <x v="1"/>
    <x v="1"/>
    <x v="0"/>
    <x v="0"/>
    <x v="0"/>
    <x v="0"/>
    <x v="0"/>
    <x v="0"/>
    <x v="0"/>
    <x v="0"/>
    <x v="0"/>
  </r>
  <r>
    <x v="996"/>
    <s v="MUHAMMAD SYAHIR BIN HAMZAR"/>
    <x v="6"/>
    <x v="0"/>
    <x v="0"/>
    <x v="0"/>
    <x v="1"/>
    <x v="0"/>
    <x v="1"/>
    <x v="1"/>
    <x v="1"/>
    <x v="0"/>
    <x v="0"/>
    <x v="0"/>
    <x v="0"/>
    <x v="0"/>
    <x v="0"/>
    <x v="0"/>
    <x v="0"/>
    <x v="0"/>
  </r>
  <r>
    <x v="997"/>
    <s v="MUHAMMAD AZRI AKMAR BIN ZAINAL"/>
    <x v="6"/>
    <x v="0"/>
    <x v="0"/>
    <x v="0"/>
    <x v="1"/>
    <x v="0"/>
    <x v="1"/>
    <x v="1"/>
    <x v="1"/>
    <x v="0"/>
    <x v="0"/>
    <x v="0"/>
    <x v="0"/>
    <x v="0"/>
    <x v="0"/>
    <x v="0"/>
    <x v="0"/>
    <x v="0"/>
  </r>
  <r>
    <x v="998"/>
    <s v="MOHAMAD SAIFUL NIZAM BIN MOHD ISA"/>
    <x v="2"/>
    <x v="0"/>
    <x v="2"/>
    <x v="1"/>
    <x v="0"/>
    <x v="1"/>
    <x v="0"/>
    <x v="0"/>
    <x v="1"/>
    <x v="0"/>
    <x v="0"/>
    <x v="0"/>
    <x v="0"/>
    <x v="0"/>
    <x v="0"/>
    <x v="0"/>
    <x v="0"/>
    <x v="0"/>
  </r>
  <r>
    <x v="999"/>
    <s v="MOHAMAD HAFIQ BIN SUFIAN"/>
    <x v="6"/>
    <x v="0"/>
    <x v="0"/>
    <x v="0"/>
    <x v="1"/>
    <x v="0"/>
    <x v="1"/>
    <x v="1"/>
    <x v="0"/>
    <x v="0"/>
    <x v="0"/>
    <x v="0"/>
    <x v="0"/>
    <x v="0"/>
    <x v="0"/>
    <x v="0"/>
    <x v="0"/>
    <x v="0"/>
  </r>
  <r>
    <x v="1000"/>
    <s v="MOHAMAD AKMAL YAZID BIN AHMAD FADIL"/>
    <x v="5"/>
    <x v="0"/>
    <x v="0"/>
    <x v="0"/>
    <x v="1"/>
    <x v="0"/>
    <x v="1"/>
    <x v="1"/>
    <x v="1"/>
    <x v="0"/>
    <x v="0"/>
    <x v="0"/>
    <x v="0"/>
    <x v="0"/>
    <x v="0"/>
    <x v="0"/>
    <x v="0"/>
    <x v="0"/>
  </r>
  <r>
    <x v="1001"/>
    <s v="AZRIQ SHAQUAN DANIEL BIN NORHISHAM"/>
    <x v="5"/>
    <x v="0"/>
    <x v="0"/>
    <x v="0"/>
    <x v="1"/>
    <x v="0"/>
    <x v="1"/>
    <x v="1"/>
    <x v="1"/>
    <x v="0"/>
    <x v="0"/>
    <x v="0"/>
    <x v="0"/>
    <x v="0"/>
    <x v="0"/>
    <x v="0"/>
    <x v="0"/>
    <x v="0"/>
  </r>
  <r>
    <x v="1002"/>
    <s v="MUHAMMAD NIZAMMUDDIN BIN ZAHIRUDDIN"/>
    <x v="5"/>
    <x v="0"/>
    <x v="0"/>
    <x v="0"/>
    <x v="1"/>
    <x v="0"/>
    <x v="1"/>
    <x v="1"/>
    <x v="1"/>
    <x v="0"/>
    <x v="0"/>
    <x v="0"/>
    <x v="0"/>
    <x v="0"/>
    <x v="0"/>
    <x v="0"/>
    <x v="0"/>
    <x v="0"/>
  </r>
  <r>
    <x v="1003"/>
    <s v="MUHAMMAD DANIEL BIN FEROZ"/>
    <x v="2"/>
    <x v="0"/>
    <x v="2"/>
    <x v="1"/>
    <x v="0"/>
    <x v="1"/>
    <x v="0"/>
    <x v="0"/>
    <x v="1"/>
    <x v="0"/>
    <x v="0"/>
    <x v="0"/>
    <x v="0"/>
    <x v="0"/>
    <x v="0"/>
    <x v="0"/>
    <x v="0"/>
    <x v="0"/>
  </r>
  <r>
    <x v="1004"/>
    <s v="AHMAD ALIFFITRI BIN ABDULLAH"/>
    <x v="6"/>
    <x v="0"/>
    <x v="0"/>
    <x v="0"/>
    <x v="1"/>
    <x v="0"/>
    <x v="1"/>
    <x v="1"/>
    <x v="0"/>
    <x v="0"/>
    <x v="0"/>
    <x v="0"/>
    <x v="0"/>
    <x v="0"/>
    <x v="0"/>
    <x v="0"/>
    <x v="0"/>
    <x v="0"/>
  </r>
  <r>
    <x v="1005"/>
    <s v="ADAM AZWAR BIN DARUS"/>
    <x v="2"/>
    <x v="0"/>
    <x v="1"/>
    <x v="0"/>
    <x v="1"/>
    <x v="0"/>
    <x v="1"/>
    <x v="1"/>
    <x v="0"/>
    <x v="0"/>
    <x v="0"/>
    <x v="0"/>
    <x v="0"/>
    <x v="0"/>
    <x v="0"/>
    <x v="0"/>
    <x v="0"/>
    <x v="0"/>
  </r>
  <r>
    <x v="1006"/>
    <s v="MUHAMMAD NUR AFFENDI BIN MAT SALIH"/>
    <x v="7"/>
    <x v="0"/>
    <x v="2"/>
    <x v="1"/>
    <x v="0"/>
    <x v="1"/>
    <x v="0"/>
    <x v="0"/>
    <x v="1"/>
    <x v="0"/>
    <x v="0"/>
    <x v="0"/>
    <x v="0"/>
    <x v="0"/>
    <x v="0"/>
    <x v="0"/>
    <x v="0"/>
    <x v="0"/>
  </r>
  <r>
    <x v="1007"/>
    <s v="HAIQAL HAFIZ ROZMAN BIN ABDUL AZIZ"/>
    <x v="1"/>
    <x v="0"/>
    <x v="0"/>
    <x v="0"/>
    <x v="1"/>
    <x v="0"/>
    <x v="1"/>
    <x v="1"/>
    <x v="0"/>
    <x v="0"/>
    <x v="0"/>
    <x v="0"/>
    <x v="0"/>
    <x v="0"/>
    <x v="0"/>
    <x v="0"/>
    <x v="0"/>
    <x v="0"/>
  </r>
  <r>
    <x v="1008"/>
    <s v="MUHAMMAD NASRUL BIN AZMAN"/>
    <x v="6"/>
    <x v="0"/>
    <x v="0"/>
    <x v="0"/>
    <x v="1"/>
    <x v="0"/>
    <x v="1"/>
    <x v="1"/>
    <x v="0"/>
    <x v="0"/>
    <x v="0"/>
    <x v="0"/>
    <x v="0"/>
    <x v="0"/>
    <x v="0"/>
    <x v="0"/>
    <x v="0"/>
    <x v="0"/>
  </r>
  <r>
    <x v="1009"/>
    <s v="MUHAMMAD SUHAIMI BIN ABD KARIM"/>
    <x v="7"/>
    <x v="0"/>
    <x v="1"/>
    <x v="0"/>
    <x v="1"/>
    <x v="0"/>
    <x v="1"/>
    <x v="1"/>
    <x v="1"/>
    <x v="0"/>
    <x v="0"/>
    <x v="0"/>
    <x v="0"/>
    <x v="0"/>
    <x v="0"/>
    <x v="0"/>
    <x v="0"/>
    <x v="0"/>
  </r>
  <r>
    <x v="1010"/>
    <s v="ALIF NAJMI BIN MOHD KAMAL"/>
    <x v="0"/>
    <x v="0"/>
    <x v="0"/>
    <x v="0"/>
    <x v="1"/>
    <x v="0"/>
    <x v="1"/>
    <x v="1"/>
    <x v="0"/>
    <x v="0"/>
    <x v="0"/>
    <x v="0"/>
    <x v="0"/>
    <x v="0"/>
    <x v="0"/>
    <x v="0"/>
    <x v="0"/>
    <x v="0"/>
  </r>
  <r>
    <x v="1011"/>
    <s v="MOHAMAD SYAFIQ IDHAM BIN MOHD HANAFI"/>
    <x v="4"/>
    <x v="0"/>
    <x v="0"/>
    <x v="0"/>
    <x v="1"/>
    <x v="0"/>
    <x v="1"/>
    <x v="1"/>
    <x v="0"/>
    <x v="0"/>
    <x v="0"/>
    <x v="0"/>
    <x v="0"/>
    <x v="0"/>
    <x v="0"/>
    <x v="0"/>
    <x v="0"/>
    <x v="0"/>
  </r>
  <r>
    <x v="1012"/>
    <s v="MOHAMAD SYAMIL IZWAN BIN MD HANAPIAH"/>
    <x v="7"/>
    <x v="0"/>
    <x v="3"/>
    <x v="1"/>
    <x v="0"/>
    <x v="1"/>
    <x v="0"/>
    <x v="0"/>
    <x v="1"/>
    <x v="0"/>
    <x v="0"/>
    <x v="0"/>
    <x v="0"/>
    <x v="0"/>
    <x v="0"/>
    <x v="0"/>
    <x v="0"/>
    <x v="0"/>
  </r>
  <r>
    <x v="1013"/>
    <s v="NURUL SYAHIMA BINTI RIPIN"/>
    <x v="8"/>
    <x v="1"/>
    <x v="2"/>
    <x v="1"/>
    <x v="0"/>
    <x v="1"/>
    <x v="0"/>
    <x v="0"/>
    <x v="1"/>
    <x v="0"/>
    <x v="0"/>
    <x v="0"/>
    <x v="0"/>
    <x v="0"/>
    <x v="0"/>
    <x v="0"/>
    <x v="0"/>
    <x v="0"/>
  </r>
  <r>
    <x v="1014"/>
    <s v="NURUL AINA AINSYIRAH BINTI OTHMAN"/>
    <x v="8"/>
    <x v="1"/>
    <x v="3"/>
    <x v="1"/>
    <x v="0"/>
    <x v="1"/>
    <x v="0"/>
    <x v="0"/>
    <x v="1"/>
    <x v="0"/>
    <x v="0"/>
    <x v="0"/>
    <x v="0"/>
    <x v="0"/>
    <x v="0"/>
    <x v="0"/>
    <x v="0"/>
    <x v="0"/>
  </r>
  <r>
    <x v="1015"/>
    <s v="NOOR SHAHIRAH BINTI SHAHRIN"/>
    <x v="7"/>
    <x v="1"/>
    <x v="2"/>
    <x v="1"/>
    <x v="0"/>
    <x v="1"/>
    <x v="0"/>
    <x v="0"/>
    <x v="1"/>
    <x v="0"/>
    <x v="0"/>
    <x v="0"/>
    <x v="0"/>
    <x v="0"/>
    <x v="0"/>
    <x v="0"/>
    <x v="0"/>
    <x v="0"/>
  </r>
  <r>
    <x v="1016"/>
    <s v="MUHAMMAD SHAHMI BIN MOHAMMAD RASHID"/>
    <x v="5"/>
    <x v="0"/>
    <x v="0"/>
    <x v="0"/>
    <x v="1"/>
    <x v="0"/>
    <x v="1"/>
    <x v="1"/>
    <x v="1"/>
    <x v="0"/>
    <x v="0"/>
    <x v="0"/>
    <x v="0"/>
    <x v="0"/>
    <x v="0"/>
    <x v="0"/>
    <x v="0"/>
    <x v="0"/>
  </r>
  <r>
    <x v="1017"/>
    <s v="MUHAMAD FAREEZ BIN MD REJAB"/>
    <x v="6"/>
    <x v="0"/>
    <x v="0"/>
    <x v="0"/>
    <x v="1"/>
    <x v="0"/>
    <x v="1"/>
    <x v="1"/>
    <x v="1"/>
    <x v="0"/>
    <x v="0"/>
    <x v="0"/>
    <x v="0"/>
    <x v="0"/>
    <x v="0"/>
    <x v="0"/>
    <x v="0"/>
    <x v="0"/>
  </r>
  <r>
    <x v="1018"/>
    <s v="MUHAMMAD AMIRUL RAZIQ BIN SAUPI"/>
    <x v="1"/>
    <x v="0"/>
    <x v="0"/>
    <x v="0"/>
    <x v="1"/>
    <x v="0"/>
    <x v="1"/>
    <x v="1"/>
    <x v="0"/>
    <x v="0"/>
    <x v="0"/>
    <x v="0"/>
    <x v="0"/>
    <x v="0"/>
    <x v="0"/>
    <x v="0"/>
    <x v="0"/>
    <x v="0"/>
  </r>
  <r>
    <x v="1019"/>
    <s v="MUHAMMAD DZULKARNAIN BIN ISMAIL"/>
    <x v="2"/>
    <x v="0"/>
    <x v="3"/>
    <x v="1"/>
    <x v="0"/>
    <x v="1"/>
    <x v="0"/>
    <x v="0"/>
    <x v="1"/>
    <x v="0"/>
    <x v="0"/>
    <x v="0"/>
    <x v="0"/>
    <x v="0"/>
    <x v="0"/>
    <x v="0"/>
    <x v="0"/>
    <x v="0"/>
  </r>
  <r>
    <x v="1020"/>
    <s v="AIN NUR IZZATI BINTI MAT NOOR"/>
    <x v="16"/>
    <x v="1"/>
    <x v="1"/>
    <x v="0"/>
    <x v="1"/>
    <x v="0"/>
    <x v="1"/>
    <x v="1"/>
    <x v="1"/>
    <x v="0"/>
    <x v="0"/>
    <x v="0"/>
    <x v="0"/>
    <x v="0"/>
    <x v="0"/>
    <x v="0"/>
    <x v="0"/>
    <x v="0"/>
  </r>
  <r>
    <x v="1021"/>
    <s v="LIYANA KHAIRUNNISA BINTI ROSLAN"/>
    <x v="16"/>
    <x v="1"/>
    <x v="1"/>
    <x v="0"/>
    <x v="1"/>
    <x v="0"/>
    <x v="1"/>
    <x v="1"/>
    <x v="1"/>
    <x v="0"/>
    <x v="0"/>
    <x v="0"/>
    <x v="0"/>
    <x v="0"/>
    <x v="0"/>
    <x v="0"/>
    <x v="0"/>
    <x v="0"/>
  </r>
  <r>
    <x v="1022"/>
    <s v="MOHAMAD FADLI NAIM BIN ROZUAN"/>
    <x v="0"/>
    <x v="0"/>
    <x v="0"/>
    <x v="0"/>
    <x v="1"/>
    <x v="0"/>
    <x v="1"/>
    <x v="1"/>
    <x v="0"/>
    <x v="0"/>
    <x v="0"/>
    <x v="0"/>
    <x v="0"/>
    <x v="0"/>
    <x v="0"/>
    <x v="0"/>
    <x v="0"/>
    <x v="0"/>
  </r>
  <r>
    <x v="1023"/>
    <s v="MOHAMMAD KHABIR BIN YAHYA"/>
    <x v="16"/>
    <x v="0"/>
    <x v="2"/>
    <x v="1"/>
    <x v="0"/>
    <x v="1"/>
    <x v="0"/>
    <x v="0"/>
    <x v="1"/>
    <x v="0"/>
    <x v="0"/>
    <x v="0"/>
    <x v="0"/>
    <x v="0"/>
    <x v="0"/>
    <x v="0"/>
    <x v="0"/>
    <x v="0"/>
  </r>
  <r>
    <x v="1024"/>
    <s v="MUHAMAD AFIQ IMAN BIN MOHD KAMAL"/>
    <x v="19"/>
    <x v="0"/>
    <x v="2"/>
    <x v="1"/>
    <x v="0"/>
    <x v="1"/>
    <x v="0"/>
    <x v="0"/>
    <x v="1"/>
    <x v="0"/>
    <x v="0"/>
    <x v="0"/>
    <x v="0"/>
    <x v="0"/>
    <x v="0"/>
    <x v="0"/>
    <x v="0"/>
    <x v="0"/>
  </r>
  <r>
    <x v="1025"/>
    <s v="MUHAMAD DANISH FARIHIN BIN MOHD AMINIZAM"/>
    <x v="16"/>
    <x v="0"/>
    <x v="1"/>
    <x v="0"/>
    <x v="1"/>
    <x v="0"/>
    <x v="1"/>
    <x v="1"/>
    <x v="1"/>
    <x v="0"/>
    <x v="0"/>
    <x v="0"/>
    <x v="0"/>
    <x v="0"/>
    <x v="0"/>
    <x v="0"/>
    <x v="0"/>
    <x v="0"/>
  </r>
  <r>
    <x v="1026"/>
    <s v="MUHAMAD SYAMIM BIN AZIZ"/>
    <x v="0"/>
    <x v="0"/>
    <x v="0"/>
    <x v="0"/>
    <x v="1"/>
    <x v="0"/>
    <x v="1"/>
    <x v="1"/>
    <x v="0"/>
    <x v="0"/>
    <x v="0"/>
    <x v="0"/>
    <x v="0"/>
    <x v="0"/>
    <x v="0"/>
    <x v="0"/>
    <x v="0"/>
    <x v="0"/>
  </r>
  <r>
    <x v="1027"/>
    <s v="MUHAMMAD AIMAN BIN AZMI"/>
    <x v="16"/>
    <x v="0"/>
    <x v="2"/>
    <x v="1"/>
    <x v="0"/>
    <x v="1"/>
    <x v="0"/>
    <x v="0"/>
    <x v="1"/>
    <x v="0"/>
    <x v="0"/>
    <x v="0"/>
    <x v="0"/>
    <x v="0"/>
    <x v="0"/>
    <x v="0"/>
    <x v="0"/>
    <x v="0"/>
  </r>
  <r>
    <x v="1028"/>
    <s v="MUHAMMAD AMIN BIN AZMI"/>
    <x v="16"/>
    <x v="0"/>
    <x v="3"/>
    <x v="1"/>
    <x v="0"/>
    <x v="1"/>
    <x v="0"/>
    <x v="0"/>
    <x v="1"/>
    <x v="0"/>
    <x v="0"/>
    <x v="0"/>
    <x v="0"/>
    <x v="0"/>
    <x v="0"/>
    <x v="0"/>
    <x v="0"/>
    <x v="0"/>
  </r>
  <r>
    <x v="1029"/>
    <s v="MUHAMMAD AMIRUL BIN IBRAHIM"/>
    <x v="1"/>
    <x v="0"/>
    <x v="0"/>
    <x v="0"/>
    <x v="1"/>
    <x v="0"/>
    <x v="1"/>
    <x v="1"/>
    <x v="0"/>
    <x v="0"/>
    <x v="0"/>
    <x v="0"/>
    <x v="0"/>
    <x v="0"/>
    <x v="0"/>
    <x v="0"/>
    <x v="0"/>
    <x v="0"/>
  </r>
  <r>
    <x v="1030"/>
    <s v="MUHAMMAD ASYRAF BIN MANSOR"/>
    <x v="5"/>
    <x v="0"/>
    <x v="0"/>
    <x v="0"/>
    <x v="1"/>
    <x v="0"/>
    <x v="1"/>
    <x v="1"/>
    <x v="1"/>
    <x v="0"/>
    <x v="0"/>
    <x v="0"/>
    <x v="0"/>
    <x v="0"/>
    <x v="0"/>
    <x v="0"/>
    <x v="0"/>
    <x v="0"/>
  </r>
  <r>
    <x v="1031"/>
    <s v="MUHAMMAD HIZAT BIN JEEFRI"/>
    <x v="16"/>
    <x v="0"/>
    <x v="1"/>
    <x v="0"/>
    <x v="1"/>
    <x v="0"/>
    <x v="1"/>
    <x v="1"/>
    <x v="1"/>
    <x v="0"/>
    <x v="0"/>
    <x v="0"/>
    <x v="0"/>
    <x v="0"/>
    <x v="0"/>
    <x v="0"/>
    <x v="0"/>
    <x v="0"/>
  </r>
  <r>
    <x v="1032"/>
    <s v="NUR QAMARINA BINTI KAMESSAN"/>
    <x v="16"/>
    <x v="1"/>
    <x v="3"/>
    <x v="1"/>
    <x v="0"/>
    <x v="1"/>
    <x v="0"/>
    <x v="1"/>
    <x v="1"/>
    <x v="0"/>
    <x v="0"/>
    <x v="0"/>
    <x v="0"/>
    <x v="0"/>
    <x v="0"/>
    <x v="0"/>
    <x v="0"/>
    <x v="0"/>
  </r>
  <r>
    <x v="1033"/>
    <s v="NUR SYAKQIRA NAZIFA BINTI AMRAN"/>
    <x v="16"/>
    <x v="1"/>
    <x v="1"/>
    <x v="0"/>
    <x v="1"/>
    <x v="0"/>
    <x v="1"/>
    <x v="1"/>
    <x v="1"/>
    <x v="0"/>
    <x v="0"/>
    <x v="0"/>
    <x v="0"/>
    <x v="0"/>
    <x v="0"/>
    <x v="0"/>
    <x v="0"/>
    <x v="0"/>
  </r>
  <r>
    <x v="1034"/>
    <s v="NURUL AIN NAJWA BINTI ABDUL LATIF"/>
    <x v="16"/>
    <x v="1"/>
    <x v="3"/>
    <x v="1"/>
    <x v="0"/>
    <x v="1"/>
    <x v="0"/>
    <x v="0"/>
    <x v="1"/>
    <x v="0"/>
    <x v="0"/>
    <x v="0"/>
    <x v="0"/>
    <x v="0"/>
    <x v="0"/>
    <x v="0"/>
    <x v="0"/>
    <x v="0"/>
  </r>
  <r>
    <x v="1035"/>
    <s v="SITI NOR AIDA BINTI MD YATIN"/>
    <x v="16"/>
    <x v="1"/>
    <x v="2"/>
    <x v="1"/>
    <x v="0"/>
    <x v="1"/>
    <x v="0"/>
    <x v="0"/>
    <x v="1"/>
    <x v="0"/>
    <x v="0"/>
    <x v="0"/>
    <x v="0"/>
    <x v="0"/>
    <x v="0"/>
    <x v="0"/>
    <x v="0"/>
    <x v="0"/>
  </r>
  <r>
    <x v="1036"/>
    <s v="MUHAMAD IRFAN FAREEZ BIN AZEMI"/>
    <x v="3"/>
    <x v="0"/>
    <x v="0"/>
    <x v="2"/>
    <x v="2"/>
    <x v="2"/>
    <x v="2"/>
    <x v="2"/>
    <x v="0"/>
    <x v="0"/>
    <x v="0"/>
    <x v="0"/>
    <x v="0"/>
    <x v="0"/>
    <x v="0"/>
    <x v="0"/>
    <x v="0"/>
    <x v="0"/>
  </r>
  <r>
    <x v="1037"/>
    <s v="NORFARAHIDA BINTI KAMARUDDIN"/>
    <x v="16"/>
    <x v="1"/>
    <x v="3"/>
    <x v="2"/>
    <x v="2"/>
    <x v="2"/>
    <x v="2"/>
    <x v="2"/>
    <x v="1"/>
    <x v="0"/>
    <x v="0"/>
    <x v="0"/>
    <x v="0"/>
    <x v="0"/>
    <x v="0"/>
    <x v="0"/>
    <x v="0"/>
    <x v="0"/>
  </r>
  <r>
    <x v="1038"/>
    <s v="NURUL SYUHAZMIZAH BINTI MOHAMAD SUHAIMI"/>
    <x v="19"/>
    <x v="1"/>
    <x v="2"/>
    <x v="2"/>
    <x v="2"/>
    <x v="2"/>
    <x v="2"/>
    <x v="2"/>
    <x v="2"/>
    <x v="0"/>
    <x v="0"/>
    <x v="0"/>
    <x v="0"/>
    <x v="0"/>
    <x v="0"/>
    <x v="0"/>
    <x v="0"/>
    <x v="0"/>
  </r>
  <r>
    <x v="1039"/>
    <s v="ROBAYAH BINTI MOHAMAD TAMIZI"/>
    <x v="19"/>
    <x v="1"/>
    <x v="3"/>
    <x v="2"/>
    <x v="2"/>
    <x v="2"/>
    <x v="2"/>
    <x v="2"/>
    <x v="2"/>
    <x v="0"/>
    <x v="0"/>
    <x v="0"/>
    <x v="0"/>
    <x v="0"/>
    <x v="0"/>
    <x v="0"/>
    <x v="0"/>
    <x v="0"/>
  </r>
  <r>
    <x v="1040"/>
    <s v="NOR ZAHIRAH IZZATY BINTI ISHAK"/>
    <x v="19"/>
    <x v="1"/>
    <x v="2"/>
    <x v="2"/>
    <x v="2"/>
    <x v="2"/>
    <x v="2"/>
    <x v="2"/>
    <x v="2"/>
    <x v="0"/>
    <x v="0"/>
    <x v="0"/>
    <x v="0"/>
    <x v="0"/>
    <x v="0"/>
    <x v="0"/>
    <x v="0"/>
    <x v="0"/>
  </r>
  <r>
    <x v="1041"/>
    <s v="HANA HUMAIRA BINTI YUSRIZAL"/>
    <x v="19"/>
    <x v="1"/>
    <x v="1"/>
    <x v="2"/>
    <x v="2"/>
    <x v="2"/>
    <x v="2"/>
    <x v="2"/>
    <x v="0"/>
    <x v="0"/>
    <x v="0"/>
    <x v="0"/>
    <x v="0"/>
    <x v="0"/>
    <x v="0"/>
    <x v="0"/>
    <x v="0"/>
    <x v="0"/>
  </r>
  <r>
    <x v="1042"/>
    <s v="IDHAM BIN MUHAMAD AMIRSYARIFUDDIN"/>
    <x v="7"/>
    <x v="0"/>
    <x v="4"/>
    <x v="2"/>
    <x v="2"/>
    <x v="2"/>
    <x v="2"/>
    <x v="2"/>
    <x v="2"/>
    <x v="0"/>
    <x v="0"/>
    <x v="0"/>
    <x v="0"/>
    <x v="0"/>
    <x v="0"/>
    <x v="0"/>
    <x v="0"/>
    <x v="0"/>
  </r>
  <r>
    <x v="1043"/>
    <s v="MOHAMAD AZIZI BIN MD RADZI"/>
    <x v="3"/>
    <x v="0"/>
    <x v="0"/>
    <x v="2"/>
    <x v="2"/>
    <x v="2"/>
    <x v="2"/>
    <x v="2"/>
    <x v="0"/>
    <x v="0"/>
    <x v="0"/>
    <x v="0"/>
    <x v="0"/>
    <x v="0"/>
    <x v="0"/>
    <x v="0"/>
    <x v="0"/>
    <x v="0"/>
  </r>
  <r>
    <x v="1044"/>
    <s v="MOHAMAD FARIS BIN MAT KHOSNI"/>
    <x v="2"/>
    <x v="0"/>
    <x v="1"/>
    <x v="2"/>
    <x v="2"/>
    <x v="2"/>
    <x v="2"/>
    <x v="2"/>
    <x v="2"/>
    <x v="0"/>
    <x v="0"/>
    <x v="0"/>
    <x v="0"/>
    <x v="0"/>
    <x v="0"/>
    <x v="0"/>
    <x v="0"/>
    <x v="0"/>
  </r>
  <r>
    <x v="1045"/>
    <s v="MOHAMAD HAFIZUL BIN YA'ACOB"/>
    <x v="7"/>
    <x v="0"/>
    <x v="4"/>
    <x v="2"/>
    <x v="2"/>
    <x v="2"/>
    <x v="2"/>
    <x v="2"/>
    <x v="2"/>
    <x v="0"/>
    <x v="0"/>
    <x v="0"/>
    <x v="0"/>
    <x v="0"/>
    <x v="0"/>
    <x v="0"/>
    <x v="0"/>
    <x v="0"/>
  </r>
  <r>
    <x v="1046"/>
    <s v="MOHAMAD ZAMRI BIN AMIR"/>
    <x v="2"/>
    <x v="0"/>
    <x v="3"/>
    <x v="2"/>
    <x v="2"/>
    <x v="2"/>
    <x v="2"/>
    <x v="2"/>
    <x v="2"/>
    <x v="0"/>
    <x v="0"/>
    <x v="0"/>
    <x v="0"/>
    <x v="0"/>
    <x v="0"/>
    <x v="0"/>
    <x v="0"/>
    <x v="0"/>
  </r>
  <r>
    <x v="1047"/>
    <s v="MUHAMMAD AFIQ AMINUDDIN BIN ZAINAL"/>
    <x v="2"/>
    <x v="0"/>
    <x v="1"/>
    <x v="2"/>
    <x v="2"/>
    <x v="2"/>
    <x v="2"/>
    <x v="2"/>
    <x v="2"/>
    <x v="0"/>
    <x v="0"/>
    <x v="0"/>
    <x v="0"/>
    <x v="0"/>
    <x v="0"/>
    <x v="0"/>
    <x v="0"/>
    <x v="0"/>
  </r>
  <r>
    <x v="1048"/>
    <s v="MUHAMMAD FAKHRUR RAZI BIN HASWIRA"/>
    <x v="3"/>
    <x v="0"/>
    <x v="0"/>
    <x v="2"/>
    <x v="2"/>
    <x v="2"/>
    <x v="2"/>
    <x v="2"/>
    <x v="0"/>
    <x v="0"/>
    <x v="0"/>
    <x v="0"/>
    <x v="0"/>
    <x v="0"/>
    <x v="0"/>
    <x v="0"/>
    <x v="0"/>
    <x v="0"/>
  </r>
  <r>
    <x v="1049"/>
    <s v="MUHAMMAD IKRAM BIN SHAMSUL"/>
    <x v="7"/>
    <x v="0"/>
    <x v="4"/>
    <x v="2"/>
    <x v="2"/>
    <x v="2"/>
    <x v="2"/>
    <x v="2"/>
    <x v="1"/>
    <x v="0"/>
    <x v="0"/>
    <x v="0"/>
    <x v="0"/>
    <x v="0"/>
    <x v="0"/>
    <x v="0"/>
    <x v="0"/>
    <x v="0"/>
  </r>
  <r>
    <x v="1050"/>
    <s v="MUHAMMAD SYAHMI IQBAL BIN SUHALI"/>
    <x v="7"/>
    <x v="0"/>
    <x v="4"/>
    <x v="2"/>
    <x v="2"/>
    <x v="2"/>
    <x v="2"/>
    <x v="2"/>
    <x v="2"/>
    <x v="0"/>
    <x v="0"/>
    <x v="0"/>
    <x v="0"/>
    <x v="0"/>
    <x v="0"/>
    <x v="0"/>
    <x v="0"/>
    <x v="0"/>
  </r>
  <r>
    <x v="1051"/>
    <s v="NORFARAHIN BINTI SEBANI"/>
    <x v="19"/>
    <x v="1"/>
    <x v="1"/>
    <x v="2"/>
    <x v="2"/>
    <x v="2"/>
    <x v="2"/>
    <x v="2"/>
    <x v="0"/>
    <x v="0"/>
    <x v="0"/>
    <x v="0"/>
    <x v="0"/>
    <x v="0"/>
    <x v="0"/>
    <x v="0"/>
    <x v="0"/>
    <x v="0"/>
  </r>
  <r>
    <x v="1052"/>
    <s v="NUR AISYAH BINTI MOHD SHUKORI"/>
    <x v="3"/>
    <x v="1"/>
    <x v="0"/>
    <x v="2"/>
    <x v="2"/>
    <x v="2"/>
    <x v="2"/>
    <x v="2"/>
    <x v="0"/>
    <x v="0"/>
    <x v="0"/>
    <x v="0"/>
    <x v="0"/>
    <x v="0"/>
    <x v="0"/>
    <x v="0"/>
    <x v="0"/>
    <x v="0"/>
  </r>
  <r>
    <x v="1053"/>
    <s v="SHAMINI A/P MUTHU KUMARAN"/>
    <x v="19"/>
    <x v="1"/>
    <x v="3"/>
    <x v="2"/>
    <x v="2"/>
    <x v="2"/>
    <x v="2"/>
    <x v="2"/>
    <x v="2"/>
    <x v="0"/>
    <x v="0"/>
    <x v="0"/>
    <x v="0"/>
    <x v="0"/>
    <x v="0"/>
    <x v="0"/>
    <x v="0"/>
    <x v="0"/>
  </r>
  <r>
    <x v="1054"/>
    <s v="WAN MUHAMAD ALAUDDIN BIN WAN ISMADI"/>
    <x v="7"/>
    <x v="0"/>
    <x v="4"/>
    <x v="2"/>
    <x v="2"/>
    <x v="2"/>
    <x v="2"/>
    <x v="2"/>
    <x v="2"/>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F5F70-8D00-4B44-8EA2-00C145FC3533}" name="PivotTable30"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0:B162"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s>
  <rowFields count="1">
    <field x="15"/>
  </rowFields>
  <rowItems count="2">
    <i>
      <x/>
    </i>
    <i t="grand">
      <x/>
    </i>
  </rowItems>
  <colItems count="1">
    <i/>
  </colItems>
  <dataFields count="1">
    <dataField name="Count of Safe use of tools and equipmen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BFD5EB-12BB-412C-97DF-4C9A90311D70}" name="PivotTable21"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1"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Safety Ladder"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402E43-AFA3-4D50-AFDF-2298A379DB32}" name="PivotTable24"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B76"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LOTO"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F192AD-F894-45DA-998A-BF025212D934}" name="PivotTable27"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5:B127"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s>
  <rowFields count="1">
    <field x="12"/>
  </rowFields>
  <rowItems count="2">
    <i>
      <x/>
    </i>
    <i t="grand">
      <x/>
    </i>
  </rowItems>
  <colItems count="1">
    <i/>
  </colItems>
  <dataFields count="1">
    <dataField name="Count of Hearing Conversatio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38F1BF-BA0F-4D7A-9CD4-511F2E508960}" name="PivotTable4"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7:B91"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Slip Trip and Fall"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EB78A2-7EE2-49D4-85AD-07DDB88CA92B}" name="PivotTable28"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7:B139"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s>
  <rowFields count="1">
    <field x="13"/>
  </rowFields>
  <rowItems count="2">
    <i>
      <x/>
    </i>
    <i t="grand">
      <x/>
    </i>
  </rowItems>
  <colItems count="1">
    <i/>
  </colItems>
  <dataFields count="1">
    <dataField name="Count of Chemical hazard sig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F59CAE-FDFF-45C6-8853-ACD9682232DF}" name="PivotTable26"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5:B117"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s>
  <rowFields count="1">
    <field x="11"/>
  </rowFields>
  <rowItems count="2">
    <i>
      <x/>
    </i>
    <i t="grand">
      <x/>
    </i>
  </rowItems>
  <colItems count="1">
    <i/>
  </colItems>
  <dataFields count="1">
    <dataField name="Count of Follow SOP"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EFB5094-DF6A-41EB-BD98-1CD1E1B8C25B}" name="PivotTable33"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4:B196"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s>
  <rowFields count="1">
    <field x="18"/>
  </rowFields>
  <rowItems count="2">
    <i>
      <x/>
    </i>
    <i t="grand">
      <x/>
    </i>
  </rowItems>
  <colItems count="1">
    <i/>
  </colItems>
  <dataFields count="1">
    <dataField name="Count of Fire Safe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F75B820-72B1-4530-871D-0F35A2B5DB55}" name="PivotTable34"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6:B208"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s>
  <rowFields count="1">
    <field x="19"/>
  </rowFields>
  <rowItems count="2">
    <i>
      <x/>
    </i>
    <i t="grand">
      <x/>
    </i>
  </rowItems>
  <colItems count="1">
    <i/>
  </colItems>
  <dataFields count="1">
    <dataField name="Count of Ergonomic"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FB2FE-1D82-489F-BC08-95AD93CAAB00}" name="PivotTable29"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8:B150"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s>
  <rowFields count="1">
    <field x="14"/>
  </rowFields>
  <rowItems count="2">
    <i>
      <x/>
    </i>
    <i t="grand">
      <x/>
    </i>
  </rowItems>
  <colItems count="1">
    <i/>
  </colItems>
  <dataFields count="1">
    <dataField name="Count of Machine Safety "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69967-8BB0-46F4-A434-6861797A2596}" name="PivotTable1"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0">
    <pivotField dataField="1"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axis="axisRow" showAll="0">
      <items count="3">
        <item x="1"/>
        <item x="0"/>
        <item t="default"/>
      </items>
    </pivotField>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loyee No." fld="0" subtotal="count" baseField="0" baseItem="0"/>
  </dataField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A1D933-FF80-4CDE-8EF3-4F17CBA5A013}" name="PivotTable32"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2:B184"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s>
  <rowFields count="1">
    <field x="17"/>
  </rowFields>
  <rowItems count="2">
    <i>
      <x/>
    </i>
    <i t="grand">
      <x/>
    </i>
  </rowItems>
  <colItems count="1">
    <i/>
  </colItems>
  <dataFields count="1">
    <dataField name="Count of Importance of housekeeping"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E5ECE5-B294-449F-A843-51CB0CE9FAC6}" name="PivotTable31"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2:B174"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s>
  <rowFields count="1">
    <field x="16"/>
  </rowFields>
  <rowItems count="2">
    <i>
      <x/>
    </i>
    <i t="grand">
      <x/>
    </i>
  </rowItems>
  <colItems count="1">
    <i/>
  </colItems>
  <dataFields count="1">
    <dataField name="Count of Emergency spill response"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D0C748-D664-465B-B90D-949E928EBD1D}" name="PivotTable22"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B53"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Eyes Safety"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02815A-C25C-4A9C-AE74-C90CA86A2D1A}" name="PivotTable20"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0"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Chemical Handling"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0B7D5E-1A01-46CD-855F-B5C9CEFCD345}" name="PivotTable2"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8" firstHeaderRow="1" firstDataRow="1" firstDataCol="1"/>
  <pivotFields count="20">
    <pivotField dataField="1"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axis="axisRow"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Employee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7C14F1-6AF8-4BD7-84F9-1FF1369CA535}" name="PivotTable23" cacheId="10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B65" firstHeaderRow="1" firstDataRow="1" firstDataCol="1"/>
  <pivotFields count="20">
    <pivotField showAll="0"/>
    <pivotField showAll="0"/>
    <pivotField showAll="0">
      <items count="25">
        <item x="3"/>
        <item x="1"/>
        <item x="5"/>
        <item x="21"/>
        <item x="4"/>
        <item x="18"/>
        <item x="0"/>
        <item x="7"/>
        <item x="15"/>
        <item x="10"/>
        <item x="11"/>
        <item x="19"/>
        <item x="13"/>
        <item x="17"/>
        <item x="22"/>
        <item x="9"/>
        <item x="23"/>
        <item x="8"/>
        <item x="20"/>
        <item x="16"/>
        <item x="12"/>
        <item x="2"/>
        <item x="6"/>
        <item x="14"/>
        <item t="default"/>
      </items>
    </pivotField>
    <pivotField showAll="0"/>
    <pivotField showAll="0">
      <items count="6">
        <item x="1"/>
        <item x="2"/>
        <item x="3"/>
        <item x="0"/>
        <item x="4"/>
        <item t="default"/>
      </items>
    </pivotField>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Emergency Shower &amp; Eyewash" fld="8"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296D5A3-55F5-45DF-8287-640E1CBED330}" autoFormatId="16" applyNumberFormats="0" applyBorderFormats="0" applyFontFormats="0" applyPatternFormats="0" applyAlignmentFormats="0" applyWidthHeightFormats="0">
  <queryTableRefresh nextId="34" unboundColumnsRight="1">
    <queryTableFields count="10">
      <queryTableField id="1" name="No." tableColumnId="1"/>
      <queryTableField id="2" name="Employee No." tableColumnId="2"/>
      <queryTableField id="3" name="Employee Name" tableColumnId="3"/>
      <queryTableField id="4" name="Employee Position" tableColumnId="4"/>
      <queryTableField id="5" name="Employee Department Desc.(F)" tableColumnId="5"/>
      <queryTableField id="6" name="Employee Section Desc.(F)" tableColumnId="6"/>
      <queryTableField id="16" dataBound="0" tableColumnId="16"/>
      <queryTableField id="9" name="Gender" tableColumnId="9"/>
      <queryTableField id="13" name="Employee Shift Group Desc.(F)" tableColumnId="13"/>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121122B9-029D-4BEA-9C27-C4A8FC45E6B8}" sourceName="Shift">
  <pivotTables>
    <pivotTable tabId="13" name="PivotTable2"/>
    <pivotTable tabId="13" name="PivotTable1"/>
    <pivotTable tabId="13" name="PivotTable20"/>
    <pivotTable tabId="13" name="PivotTable21"/>
    <pivotTable tabId="13" name="PivotTable22"/>
    <pivotTable tabId="13" name="PivotTable23"/>
    <pivotTable tabId="13" name="PivotTable24"/>
    <pivotTable tabId="13" name="PivotTable26"/>
    <pivotTable tabId="13" name="PivotTable27"/>
    <pivotTable tabId="13" name="PivotTable28"/>
    <pivotTable tabId="13" name="PivotTable29"/>
    <pivotTable tabId="13" name="PivotTable30"/>
    <pivotTable tabId="13" name="PivotTable31"/>
    <pivotTable tabId="13" name="PivotTable32"/>
    <pivotTable tabId="13" name="PivotTable33"/>
    <pivotTable tabId="13" name="PivotTable34"/>
    <pivotTable tabId="13" name="PivotTable4"/>
  </pivotTables>
  <data>
    <tabular pivotCacheId="189909653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6F2526A-627A-47B9-A4DD-03EEC2EE6601}" sourceName="Department">
  <pivotTables>
    <pivotTable tabId="13" name="PivotTable2"/>
    <pivotTable tabId="13" name="PivotTable1"/>
    <pivotTable tabId="13" name="PivotTable20"/>
    <pivotTable tabId="13" name="PivotTable21"/>
    <pivotTable tabId="13" name="PivotTable22"/>
    <pivotTable tabId="13" name="PivotTable23"/>
    <pivotTable tabId="13" name="PivotTable24"/>
    <pivotTable tabId="13" name="PivotTable26"/>
    <pivotTable tabId="13" name="PivotTable27"/>
    <pivotTable tabId="13" name="PivotTable28"/>
    <pivotTable tabId="13" name="PivotTable29"/>
    <pivotTable tabId="13" name="PivotTable30"/>
    <pivotTable tabId="13" name="PivotTable31"/>
    <pivotTable tabId="13" name="PivotTable32"/>
    <pivotTable tabId="13" name="PivotTable33"/>
    <pivotTable tabId="13" name="PivotTable34"/>
    <pivotTable tabId="13" name="PivotTable4"/>
  </pivotTables>
  <data>
    <tabular pivotCacheId="1899096531">
      <items count="24">
        <i x="3" s="1"/>
        <i x="1" s="1"/>
        <i x="5" s="1"/>
        <i x="21" s="1"/>
        <i x="4" s="1"/>
        <i x="18" s="1"/>
        <i x="0" s="1"/>
        <i x="7" s="1"/>
        <i x="15" s="1"/>
        <i x="10" s="1"/>
        <i x="11" s="1"/>
        <i x="19" s="1"/>
        <i x="13" s="1"/>
        <i x="17" s="1"/>
        <i x="22" s="1"/>
        <i x="9" s="1"/>
        <i x="23" s="1"/>
        <i x="8" s="1"/>
        <i x="20" s="1"/>
        <i x="16" s="1"/>
        <i x="12" s="1"/>
        <i x="2"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1" xr10:uid="{EA2F1A40-C6FF-49C0-B99F-4E99EE6886FD}" cache="Slicer_Shift" caption="Shift" columnCount="2" style="SlicerStyleDark1" rowHeight="360000"/>
  <slicer name="Department 1" xr10:uid="{5859DBF7-A31A-446B-89DF-9326A6ECFB06}" cache="Slicer_Department" caption="Department" columnCount="2" style="SlicerStyleDark1" rowHeight="406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xr10:uid="{E52079B2-6CDB-49E4-9C10-8DC7EFBA0DF2}" cache="Slicer_Shift" caption="Shift" columnCount="2" rowHeight="360000"/>
  <slicer name="Department" xr10:uid="{6E7D1E17-DE53-4940-B4E2-DA5DDE44C67A}" cache="Slicer_Department" caption="Department"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BFFA9-C374-44A0-AD42-B7603A903AB5}" name="Table1" displayName="Table1" ref="A2:X1309" totalsRowShown="0" headerRowDxfId="58" dataDxfId="57" tableBorderDxfId="56">
  <autoFilter ref="A2:X1309" xr:uid="{00000000-0001-0000-0000-000000000000}"/>
  <sortState xmlns:xlrd2="http://schemas.microsoft.com/office/spreadsheetml/2017/richdata2" ref="A3:X1309">
    <sortCondition ref="A2:A1128"/>
  </sortState>
  <tableColumns count="24">
    <tableColumn id="1" xr3:uid="{A275C757-601C-44FE-9139-CA58F2F9AB3E}" name="No." dataDxfId="55"/>
    <tableColumn id="2" xr3:uid="{DDD24CD4-E0F4-47EE-AF45-CC5345460E94}" name="Employee No." dataDxfId="54"/>
    <tableColumn id="3" xr3:uid="{E6AFF1E4-8E3F-479D-A6FA-B716BE4EB716}" name="Salutation" dataDxfId="53"/>
    <tableColumn id="4" xr3:uid="{396673E1-1400-41CD-BB6F-C4D6D9C0B651}" name="Employee Name" dataDxfId="52"/>
    <tableColumn id="5" xr3:uid="{2C618A3C-E379-4F3C-9D00-2C14470F6E86}" name="Employee Position" dataDxfId="51"/>
    <tableColumn id="6" xr3:uid="{BF986912-F282-42A7-AA95-D8CECC11D04C}" name="Employee Department Desc.(F)" dataDxfId="50"/>
    <tableColumn id="7" xr3:uid="{4D520046-ABD4-408F-A663-5E7D3AEDBC57}" name="Employee Section Desc.(F)" dataDxfId="49"/>
    <tableColumn id="8" xr3:uid="{A592181E-1C52-49FE-978E-5C45EA37AB78}" name="Employee Cost Centre Desc.(F)" dataDxfId="48"/>
    <tableColumn id="9" xr3:uid="{D7B95883-A6B8-47CA-8E13-B2F91EEF5868}" name="New NRIC No." dataDxfId="47"/>
    <tableColumn id="10" xr3:uid="{76FBB6DA-3B02-4C2B-892C-1B163AB04E0C}" name="Employee Nationality Desc.(F)" dataDxfId="46"/>
    <tableColumn id="11" xr3:uid="{4383EE5B-55F4-484F-9796-F163080CF9CE}" name="Gender" dataDxfId="45"/>
    <tableColumn id="12" xr3:uid="{2AE07F5D-BE8B-4808-9953-9CD1C42E781F}" name="Race" dataDxfId="44"/>
    <tableColumn id="13" xr3:uid="{503F3874-A13B-47DF-8C52-22F11C72742C}" name="Religion" dataDxfId="43"/>
    <tableColumn id="14" xr3:uid="{4FE73F03-7BCA-479C-8AA1-F11904A2EE16}" name="Hire Date" dataDxfId="42"/>
    <tableColumn id="15" xr3:uid="{6EA51BC3-B48C-4C82-B98F-E2FD67E65B42}" name="Transport" dataDxfId="41"/>
    <tableColumn id="16" xr3:uid="{9266B222-DAF6-4A49-9A56-E76F5034ABA8}" name="Employee Supervisor Desc.(F)" dataDxfId="40"/>
    <tableColumn id="17" xr3:uid="{D975C356-8B75-4E01-8C42-18738FEC34D0}" name="Employee Category Desc.(F)" dataDxfId="39"/>
    <tableColumn id="18" xr3:uid="{2B6BB260-6331-4565-842E-375F4450D2BC}" name="Email" dataDxfId="38"/>
    <tableColumn id="19" xr3:uid="{525EE077-65D9-443B-83F5-12F73B98F62E}" name="Employee Superior Desc.(F)" dataDxfId="37"/>
    <tableColumn id="20" xr3:uid="{93F4DEC5-4E9F-4572-A7DF-6C4C78231517}" name="Employee Age" dataDxfId="36"/>
    <tableColumn id="21" xr3:uid="{70943941-AB39-46D1-BB4C-091C03F64AED}" name="Employee Position ID Desc.(F)" dataDxfId="35"/>
    <tableColumn id="22" xr3:uid="{B987F3DE-B8EB-4697-A653-AE9E761B57E5}" name="Employee Shift Group Desc.(F)" dataDxfId="34"/>
    <tableColumn id="23" xr3:uid="{07017E19-7CA3-412D-9DD3-256BE1B6D604}" name="Employee Section" dataDxfId="33"/>
    <tableColumn id="24" xr3:uid="{D37C8606-5BCC-41CC-8C43-8AF46746A48B}" name="Employee Confirm Date" dataDxfId="3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747747-CD2E-4C85-AC5B-C5613D618BAC}" name="Table3" displayName="Table3" ref="C3:V1058" totalsRowShown="0" headerRowDxfId="31" tableBorderDxfId="30">
  <autoFilter ref="C3:V1058" xr:uid="{52747747-CD2E-4C85-AC5B-C5613D618BAC}"/>
  <tableColumns count="20">
    <tableColumn id="1" xr3:uid="{D1008C17-2102-4A81-9110-F809F995C557}" name="Employee No." dataDxfId="29"/>
    <tableColumn id="2" xr3:uid="{AC42D86F-C19C-445B-920B-684EFA183C62}" name="Employee Name" dataDxfId="28">
      <calculatedColumnFormula>VLOOKUP(Table3[[#This Row],[Employee No.]],Table1_1[[Employee No.]:[Employee Name]],2,FALSE)</calculatedColumnFormula>
    </tableColumn>
    <tableColumn id="3" xr3:uid="{A3F5502E-0B17-462C-AAA6-88E2FD8FE925}" name="Department" dataDxfId="27">
      <calculatedColumnFormula>VLOOKUP(Table3[[#This Row],[Employee No.]],Table1_1[[Employee No.]:[Department]],6,FALSE)</calculatedColumnFormula>
    </tableColumn>
    <tableColumn id="20" xr3:uid="{7AA35EC3-5EDA-48F6-9001-225577EB3266}" name="Gender" dataDxfId="26">
      <calculatedColumnFormula>VLOOKUP(Table3[[#This Row],[Employee No.]],Table1_1[[Employee No.]:[Gender]],7,FALSE)</calculatedColumnFormula>
    </tableColumn>
    <tableColumn id="4" xr3:uid="{7DC6A812-4AE5-4000-ACCF-9A3AA2359231}" name="Shift" dataDxfId="25">
      <calculatedColumnFormula>VLOOKUP(Table3[[#This Row],[Employee No.]],Table1_1[[Employee No.]:[Shift]],9,FALSE)</calculatedColumnFormula>
    </tableColumn>
    <tableColumn id="5" xr3:uid="{11F56BDF-B1E0-46D0-B0CF-21E33F3B58E7}" name="Chemical Handling" dataDxfId="24"/>
    <tableColumn id="6" xr3:uid="{A281D18F-7E05-4D8E-A933-1115A8C8344D}" name="Safety Ladder" dataDxfId="23"/>
    <tableColumn id="7" xr3:uid="{C71FFCB8-EA7B-4072-B2E0-D2BE341C5B4E}" name="Eyes Safety" dataDxfId="22"/>
    <tableColumn id="8" xr3:uid="{3AAAB5E3-0D54-4C0D-AF70-4AF13A136302}" name="Emergency Shower &amp; Eyewash" dataDxfId="21"/>
    <tableColumn id="9" xr3:uid="{972C90CC-CF9B-40FE-973C-39DF78129203}" name="LOTO" dataDxfId="20"/>
    <tableColumn id="10" xr3:uid="{85548DAD-CAE1-42FC-8AFF-72D377AEF83E}" name="Slip Trip and Fall" dataDxfId="19"/>
    <tableColumn id="11" xr3:uid="{A3643941-B562-4292-BFE1-BB4186F4A27B}" name="Follow SOP" dataDxfId="18"/>
    <tableColumn id="12" xr3:uid="{A4F0B268-41C7-4AB5-9B61-C243BFE9A855}" name="Hearing Conversation" dataDxfId="17"/>
    <tableColumn id="13" xr3:uid="{6B515380-1DBF-47D8-AC83-AEA582FB53EA}" name="Chemical hazard sign" dataDxfId="16"/>
    <tableColumn id="14" xr3:uid="{78EBA3B0-28F0-47F3-9895-9D4F9BED1926}" name="Machine Safety " dataDxfId="15"/>
    <tableColumn id="15" xr3:uid="{25E80706-1DE6-4265-9A56-46085C94DBC7}" name="Safe use of tools and equipment" dataDxfId="14"/>
    <tableColumn id="16" xr3:uid="{76E34B27-C76C-4654-A756-305FC5291A42}" name="Emergency spill response" dataDxfId="13"/>
    <tableColumn id="17" xr3:uid="{8742194C-8F61-421E-8024-F816BA4F2D25}" name="Importance of housekeeping" dataDxfId="12"/>
    <tableColumn id="18" xr3:uid="{2DE3190D-C69B-4459-893A-C2734CFB3067}" name="Fire Safety" dataDxfId="11"/>
    <tableColumn id="19" xr3:uid="{D5A4D22B-4F84-4356-A626-A288306F4926}" name="Ergonomic" dataDxfId="1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A60143-C624-42D9-8ACB-AEA3B0683E4E}" name="Table1_1" displayName="Table1_1" ref="A3:J1058" tableType="queryTable" totalsRowShown="0" headerRowDxfId="9">
  <autoFilter ref="A3:J1058" xr:uid="{96A60143-C624-42D9-8ACB-AEA3B0683E4E}"/>
  <tableColumns count="10">
    <tableColumn id="1" xr3:uid="{A6942E13-8CFC-4F0B-B097-673BFEADE7A0}" uniqueName="1" name="No." queryTableFieldId="1"/>
    <tableColumn id="2" xr3:uid="{E75BC4C2-EB28-43B3-872E-68669BC94968}" uniqueName="2" name="Employee No." queryTableFieldId="2" dataDxfId="8"/>
    <tableColumn id="3" xr3:uid="{3BA84615-B3BF-4584-926F-EC0EF2C28CEF}" uniqueName="3" name="Employee Name" queryTableFieldId="3" dataDxfId="7"/>
    <tableColumn id="4" xr3:uid="{B08E6442-F5B0-49C7-87E9-E8618792E17B}" uniqueName="4" name="Employee Position" queryTableFieldId="4" dataDxfId="6"/>
    <tableColumn id="5" xr3:uid="{8ECE7B30-3904-43C2-B9CD-D3085F40A9B2}" uniqueName="5" name="Employee Department Desc.(F)" queryTableFieldId="5" dataDxfId="5"/>
    <tableColumn id="6" xr3:uid="{3A51B169-8B90-40D6-8B6F-62E227747DB0}" uniqueName="6" name="Employee Section Desc.(F)" queryTableFieldId="6" dataDxfId="4"/>
    <tableColumn id="16" xr3:uid="{477FE40B-A7EE-428A-8333-830F86C97AF4}" uniqueName="16" name="Department" queryTableFieldId="16" dataDxfId="3">
      <calculatedColumnFormula>IF(OR(ISNUMBER(SEARCH("P1",F4)),ISNUMBER(SEARCH("P2",F4)),ISNUMBER(SEARCH("P3",F4)),ISNUMBER(SEARCH("P4",F4)),ISNUMBER(SEARCH("P5",F4))),"EQUIPMENT",
IF(ISNUMBER(SEARCH("Warehouse",F4)),"WAREHOUSE",
IF(ISNUMBER(SEARCH("WWTP",F4)),"ENVIRONMENT",
IF(OR(ISNUMBER(SEARCH("QC",F4)),ISNUMBER(SEARCH("RELIABILITY",F4)),ISNUMBER(SEARCH("OQA",F4)),ISNUMBER(SEARCH("CHEMICAL",F4))),"QUALITY",
IF(OR(ISNUMBER(SEARCH("OPERATION",F4)),ISNUMBER(SEARCH("PSM",F4))),"HS",
IF(ISNUMBER(SEARCH("FVI",F4)),"FVI",
IF(OR(ISNUMBER(SEARCH("ELECTRICITY",F4)),ISNUMBER(SEARCH("FACILITIES",F4)),ISNUMBER(SEARCH("MECHANICAL",F4))),"FACILITY",F4)))))))</calculatedColumnFormula>
    </tableColumn>
    <tableColumn id="9" xr3:uid="{82BBF329-8FD8-46B2-A465-20F9FA1A2E35}" uniqueName="9" name="Gender" queryTableFieldId="9" dataDxfId="2"/>
    <tableColumn id="13" xr3:uid="{BB01211A-9027-45AF-B98E-3DBBEE5D42C2}" uniqueName="13" name="Employee Shift Group Desc.(F)" queryTableFieldId="13" dataDxfId="1"/>
    <tableColumn id="17" xr3:uid="{45D4606A-7EC0-4B96-AE9E-DFCD31AE5A76}" uniqueName="17" name="Shift" queryTableFieldId="17" dataDxfId="0">
      <calculatedColumnFormula>IF(ISNUMBER(SEARCH("GROUP C",I4)),"SHIFT C",
IF(ISNUMBER(SEARCH("GROUP A",I4)),"SHIFT A",
IF(ISNUMBER(SEARCH("GROUP O",I4)),"SHIFT O",
IF(ISNUMBER(SEARCH("GROUP B",I4)),"SHIFT B",
IF(ISNUMBER(SEARCH("GROUP E",I4)),"SHIFT 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10"/>
  <sheetViews>
    <sheetView topLeftCell="B329" zoomScale="70" zoomScaleNormal="70" workbookViewId="0">
      <selection activeCell="D371" sqref="D371"/>
    </sheetView>
  </sheetViews>
  <sheetFormatPr defaultColWidth="9.140625" defaultRowHeight="14.45"/>
  <cols>
    <col min="2" max="2" width="14.140625" style="15" customWidth="1"/>
    <col min="3" max="3" width="11.140625" style="15" customWidth="1"/>
    <col min="4" max="4" width="47.7109375" style="15" customWidth="1"/>
    <col min="5" max="5" width="17.85546875" style="3" customWidth="1"/>
    <col min="6" max="6" width="27.85546875" style="3" customWidth="1"/>
    <col min="7" max="7" width="24.140625" style="3" customWidth="1"/>
    <col min="8" max="8" width="27.5703125" style="15" customWidth="1"/>
    <col min="9" max="9" width="14.7109375" style="16" hidden="1" customWidth="1"/>
    <col min="10" max="13" width="13.5703125" style="11" hidden="1" customWidth="1"/>
    <col min="14" max="15" width="13.5703125" style="3" customWidth="1"/>
    <col min="16" max="16" width="26.7109375" customWidth="1"/>
    <col min="17" max="17" width="25.42578125" customWidth="1"/>
    <col min="18" max="18" width="13.5703125" customWidth="1"/>
    <col min="19" max="19" width="25.140625" customWidth="1"/>
    <col min="20" max="20" width="14.42578125" style="11" customWidth="1"/>
    <col min="21" max="21" width="26.85546875" style="3" customWidth="1"/>
    <col min="22" max="22" width="27.42578125" style="3" customWidth="1"/>
    <col min="23" max="23" width="17.28515625" style="3" customWidth="1"/>
    <col min="24" max="24" width="21.85546875" style="3" customWidth="1"/>
    <col min="25" max="25" width="9.140625" customWidth="1"/>
  </cols>
  <sheetData>
    <row r="1" spans="1:25" ht="61.5" customHeight="1">
      <c r="B1" s="39" t="s">
        <v>0</v>
      </c>
      <c r="C1" s="39"/>
      <c r="D1" s="39"/>
      <c r="E1" s="39"/>
      <c r="F1" s="39"/>
      <c r="G1" s="39"/>
      <c r="H1" s="39"/>
      <c r="I1" s="39"/>
      <c r="J1" s="39"/>
      <c r="K1" s="39"/>
      <c r="L1" s="40"/>
      <c r="M1" s="40"/>
      <c r="N1" s="39"/>
      <c r="O1" s="39"/>
      <c r="P1" s="39"/>
      <c r="Q1" s="39"/>
      <c r="R1" s="39"/>
      <c r="S1" s="39"/>
      <c r="T1" s="39"/>
      <c r="U1" s="39"/>
      <c r="V1" s="39"/>
      <c r="W1" s="39"/>
      <c r="X1" s="39"/>
    </row>
    <row r="2" spans="1:25" s="1" customFormat="1">
      <c r="A2" s="2" t="s">
        <v>1</v>
      </c>
      <c r="B2" s="10" t="s">
        <v>2</v>
      </c>
      <c r="C2" s="10" t="s">
        <v>3</v>
      </c>
      <c r="D2" s="10" t="s">
        <v>4</v>
      </c>
      <c r="E2" s="10" t="s">
        <v>5</v>
      </c>
      <c r="F2" s="10" t="s">
        <v>6</v>
      </c>
      <c r="G2" s="12" t="s">
        <v>7</v>
      </c>
      <c r="H2" s="12" t="s">
        <v>8</v>
      </c>
      <c r="I2" s="10" t="s">
        <v>9</v>
      </c>
      <c r="J2" s="10" t="s">
        <v>10</v>
      </c>
      <c r="K2" s="10" t="s">
        <v>11</v>
      </c>
      <c r="L2" s="10" t="s">
        <v>12</v>
      </c>
      <c r="M2" s="10" t="s">
        <v>13</v>
      </c>
      <c r="N2" s="10" t="s">
        <v>14</v>
      </c>
      <c r="O2" s="10" t="s">
        <v>15</v>
      </c>
      <c r="P2" s="9" t="s">
        <v>16</v>
      </c>
      <c r="Q2" s="9" t="s">
        <v>17</v>
      </c>
      <c r="R2" s="9" t="s">
        <v>18</v>
      </c>
      <c r="S2" s="9" t="s">
        <v>19</v>
      </c>
      <c r="T2" s="10" t="s">
        <v>20</v>
      </c>
      <c r="U2" s="10" t="s">
        <v>21</v>
      </c>
      <c r="V2" s="10" t="s">
        <v>22</v>
      </c>
      <c r="W2" s="10" t="s">
        <v>23</v>
      </c>
      <c r="X2" s="18" t="s">
        <v>24</v>
      </c>
    </row>
    <row r="3" spans="1:25" ht="45" customHeight="1">
      <c r="A3" s="3">
        <v>1</v>
      </c>
      <c r="B3" s="13" t="s">
        <v>25</v>
      </c>
      <c r="C3" s="13" t="s">
        <v>26</v>
      </c>
      <c r="D3" s="13" t="s">
        <v>27</v>
      </c>
      <c r="E3" s="13" t="s">
        <v>28</v>
      </c>
      <c r="F3" s="13" t="s">
        <v>29</v>
      </c>
      <c r="G3" s="13" t="s">
        <v>30</v>
      </c>
      <c r="H3" s="13" t="s">
        <v>31</v>
      </c>
      <c r="I3" s="27" t="s">
        <v>32</v>
      </c>
      <c r="J3" s="27" t="s">
        <v>33</v>
      </c>
      <c r="K3" s="27" t="s">
        <v>34</v>
      </c>
      <c r="L3" s="27" t="s">
        <v>35</v>
      </c>
      <c r="M3" s="27" t="s">
        <v>36</v>
      </c>
      <c r="N3" s="17">
        <f t="shared" ref="N3:N25" si="0">DATE(2025,3,10)</f>
        <v>45726</v>
      </c>
      <c r="O3" s="13" t="s">
        <v>34</v>
      </c>
      <c r="P3" s="13" t="s">
        <v>37</v>
      </c>
      <c r="Q3" s="13" t="s">
        <v>38</v>
      </c>
      <c r="R3" s="13" t="s">
        <v>39</v>
      </c>
      <c r="S3" s="13" t="s">
        <v>37</v>
      </c>
      <c r="T3" s="28">
        <v>21.33</v>
      </c>
      <c r="U3" s="13" t="s">
        <v>28</v>
      </c>
      <c r="V3" s="13" t="s">
        <v>40</v>
      </c>
      <c r="W3" s="13" t="s">
        <v>30</v>
      </c>
      <c r="X3" s="17">
        <f t="shared" ref="X3:X25" si="1">DATE(2025,3,10)</f>
        <v>45726</v>
      </c>
      <c r="Y3" s="3"/>
    </row>
    <row r="4" spans="1:25" ht="45" customHeight="1">
      <c r="A4" s="3">
        <v>2</v>
      </c>
      <c r="B4" s="13" t="s">
        <v>41</v>
      </c>
      <c r="C4" s="13" t="s">
        <v>26</v>
      </c>
      <c r="D4" s="13" t="s">
        <v>42</v>
      </c>
      <c r="E4" s="13" t="s">
        <v>28</v>
      </c>
      <c r="F4" s="13" t="s">
        <v>29</v>
      </c>
      <c r="G4" s="13" t="s">
        <v>43</v>
      </c>
      <c r="H4" s="13" t="s">
        <v>31</v>
      </c>
      <c r="I4" s="27" t="s">
        <v>44</v>
      </c>
      <c r="J4" s="27" t="s">
        <v>33</v>
      </c>
      <c r="K4" s="27" t="s">
        <v>34</v>
      </c>
      <c r="L4" s="27" t="s">
        <v>35</v>
      </c>
      <c r="M4" s="27" t="s">
        <v>36</v>
      </c>
      <c r="N4" s="17">
        <f t="shared" si="0"/>
        <v>45726</v>
      </c>
      <c r="O4" s="13" t="s">
        <v>34</v>
      </c>
      <c r="P4" s="13" t="s">
        <v>37</v>
      </c>
      <c r="Q4" s="13" t="s">
        <v>38</v>
      </c>
      <c r="R4" s="13" t="s">
        <v>45</v>
      </c>
      <c r="S4" s="13" t="s">
        <v>37</v>
      </c>
      <c r="T4" s="28">
        <v>21.48</v>
      </c>
      <c r="U4" s="13" t="s">
        <v>28</v>
      </c>
      <c r="V4" s="13" t="s">
        <v>40</v>
      </c>
      <c r="W4" s="13" t="s">
        <v>43</v>
      </c>
      <c r="X4" s="17">
        <f t="shared" si="1"/>
        <v>45726</v>
      </c>
      <c r="Y4" s="3"/>
    </row>
    <row r="5" spans="1:25" ht="45" customHeight="1">
      <c r="A5" s="3">
        <v>3</v>
      </c>
      <c r="B5" s="13" t="s">
        <v>46</v>
      </c>
      <c r="C5" s="13" t="s">
        <v>26</v>
      </c>
      <c r="D5" s="13" t="s">
        <v>47</v>
      </c>
      <c r="E5" s="13" t="s">
        <v>28</v>
      </c>
      <c r="F5" s="13" t="s">
        <v>29</v>
      </c>
      <c r="G5" s="13" t="s">
        <v>48</v>
      </c>
      <c r="H5" s="13" t="s">
        <v>31</v>
      </c>
      <c r="I5" s="27" t="s">
        <v>49</v>
      </c>
      <c r="J5" s="27" t="s">
        <v>33</v>
      </c>
      <c r="K5" s="27" t="s">
        <v>34</v>
      </c>
      <c r="L5" s="27" t="s">
        <v>35</v>
      </c>
      <c r="M5" s="27" t="s">
        <v>36</v>
      </c>
      <c r="N5" s="17">
        <f t="shared" si="0"/>
        <v>45726</v>
      </c>
      <c r="O5" s="13" t="s">
        <v>34</v>
      </c>
      <c r="P5" s="13" t="s">
        <v>50</v>
      </c>
      <c r="Q5" s="13" t="s">
        <v>38</v>
      </c>
      <c r="R5" s="13" t="s">
        <v>51</v>
      </c>
      <c r="S5" s="13" t="s">
        <v>52</v>
      </c>
      <c r="T5" s="28">
        <v>26.29</v>
      </c>
      <c r="U5" s="13" t="s">
        <v>28</v>
      </c>
      <c r="V5" s="13" t="s">
        <v>53</v>
      </c>
      <c r="W5" s="13" t="s">
        <v>48</v>
      </c>
      <c r="X5" s="17">
        <f t="shared" si="1"/>
        <v>45726</v>
      </c>
      <c r="Y5" s="3"/>
    </row>
    <row r="6" spans="1:25" ht="45" customHeight="1">
      <c r="A6" s="3">
        <v>4</v>
      </c>
      <c r="B6" s="13" t="s">
        <v>54</v>
      </c>
      <c r="C6" s="13" t="s">
        <v>26</v>
      </c>
      <c r="D6" s="13" t="s">
        <v>55</v>
      </c>
      <c r="E6" s="13" t="s">
        <v>28</v>
      </c>
      <c r="F6" s="13" t="s">
        <v>29</v>
      </c>
      <c r="G6" s="13" t="s">
        <v>56</v>
      </c>
      <c r="H6" s="13" t="s">
        <v>31</v>
      </c>
      <c r="I6" s="27" t="s">
        <v>57</v>
      </c>
      <c r="J6" s="27" t="s">
        <v>33</v>
      </c>
      <c r="K6" s="27" t="s">
        <v>34</v>
      </c>
      <c r="L6" s="27" t="s">
        <v>35</v>
      </c>
      <c r="M6" s="27" t="s">
        <v>36</v>
      </c>
      <c r="N6" s="17">
        <f t="shared" si="0"/>
        <v>45726</v>
      </c>
      <c r="O6" s="13" t="s">
        <v>34</v>
      </c>
      <c r="P6" s="13" t="s">
        <v>58</v>
      </c>
      <c r="Q6" s="13" t="s">
        <v>38</v>
      </c>
      <c r="R6" s="13" t="s">
        <v>59</v>
      </c>
      <c r="S6" s="13" t="s">
        <v>58</v>
      </c>
      <c r="T6" s="28">
        <v>23.77</v>
      </c>
      <c r="U6" s="13" t="s">
        <v>28</v>
      </c>
      <c r="V6" s="13" t="s">
        <v>40</v>
      </c>
      <c r="W6" s="13" t="s">
        <v>56</v>
      </c>
      <c r="X6" s="17">
        <f t="shared" si="1"/>
        <v>45726</v>
      </c>
      <c r="Y6" s="3"/>
    </row>
    <row r="7" spans="1:25" ht="45" customHeight="1">
      <c r="A7" s="3">
        <v>5</v>
      </c>
      <c r="B7" s="13" t="s">
        <v>60</v>
      </c>
      <c r="C7" s="13" t="s">
        <v>26</v>
      </c>
      <c r="D7" s="13" t="s">
        <v>61</v>
      </c>
      <c r="E7" s="13" t="s">
        <v>28</v>
      </c>
      <c r="F7" s="13" t="s">
        <v>29</v>
      </c>
      <c r="G7" s="13" t="s">
        <v>62</v>
      </c>
      <c r="H7" s="13" t="s">
        <v>31</v>
      </c>
      <c r="I7" s="27" t="s">
        <v>63</v>
      </c>
      <c r="J7" s="27" t="s">
        <v>33</v>
      </c>
      <c r="K7" s="27" t="s">
        <v>34</v>
      </c>
      <c r="L7" s="27" t="s">
        <v>35</v>
      </c>
      <c r="M7" s="27" t="s">
        <v>36</v>
      </c>
      <c r="N7" s="17">
        <f t="shared" si="0"/>
        <v>45726</v>
      </c>
      <c r="O7" s="13" t="s">
        <v>34</v>
      </c>
      <c r="P7" s="13" t="s">
        <v>64</v>
      </c>
      <c r="Q7" s="13" t="s">
        <v>38</v>
      </c>
      <c r="R7" s="13" t="s">
        <v>65</v>
      </c>
      <c r="S7" s="13" t="s">
        <v>64</v>
      </c>
      <c r="T7" s="28">
        <v>30.09</v>
      </c>
      <c r="U7" s="13" t="s">
        <v>28</v>
      </c>
      <c r="V7" s="13" t="s">
        <v>40</v>
      </c>
      <c r="W7" s="13" t="s">
        <v>62</v>
      </c>
      <c r="X7" s="17">
        <f t="shared" si="1"/>
        <v>45726</v>
      </c>
      <c r="Y7" s="3"/>
    </row>
    <row r="8" spans="1:25" ht="45" customHeight="1">
      <c r="A8" s="3">
        <v>6</v>
      </c>
      <c r="B8" s="13" t="s">
        <v>66</v>
      </c>
      <c r="C8" s="13" t="s">
        <v>26</v>
      </c>
      <c r="D8" s="13" t="s">
        <v>67</v>
      </c>
      <c r="E8" s="13" t="s">
        <v>28</v>
      </c>
      <c r="F8" s="13" t="s">
        <v>29</v>
      </c>
      <c r="G8" s="13" t="s">
        <v>48</v>
      </c>
      <c r="H8" s="13" t="s">
        <v>31</v>
      </c>
      <c r="I8" s="27" t="s">
        <v>68</v>
      </c>
      <c r="J8" s="27" t="s">
        <v>33</v>
      </c>
      <c r="K8" s="27" t="s">
        <v>34</v>
      </c>
      <c r="L8" s="27" t="s">
        <v>35</v>
      </c>
      <c r="M8" s="27" t="s">
        <v>36</v>
      </c>
      <c r="N8" s="17">
        <f t="shared" si="0"/>
        <v>45726</v>
      </c>
      <c r="O8" s="13" t="s">
        <v>34</v>
      </c>
      <c r="P8" s="13" t="s">
        <v>50</v>
      </c>
      <c r="Q8" s="13" t="s">
        <v>38</v>
      </c>
      <c r="R8" s="13" t="s">
        <v>69</v>
      </c>
      <c r="S8" s="13" t="s">
        <v>52</v>
      </c>
      <c r="T8" s="28">
        <v>27.54</v>
      </c>
      <c r="U8" s="13" t="s">
        <v>28</v>
      </c>
      <c r="V8" s="13" t="s">
        <v>53</v>
      </c>
      <c r="W8" s="13" t="s">
        <v>48</v>
      </c>
      <c r="X8" s="17">
        <f t="shared" si="1"/>
        <v>45726</v>
      </c>
      <c r="Y8" s="3"/>
    </row>
    <row r="9" spans="1:25" ht="45" customHeight="1">
      <c r="A9" s="3">
        <v>7</v>
      </c>
      <c r="B9" s="13" t="s">
        <v>70</v>
      </c>
      <c r="C9" s="13" t="s">
        <v>26</v>
      </c>
      <c r="D9" s="13" t="s">
        <v>71</v>
      </c>
      <c r="E9" s="13" t="s">
        <v>28</v>
      </c>
      <c r="F9" s="13" t="s">
        <v>29</v>
      </c>
      <c r="G9" s="13" t="s">
        <v>72</v>
      </c>
      <c r="H9" s="13" t="s">
        <v>31</v>
      </c>
      <c r="I9" s="27" t="s">
        <v>73</v>
      </c>
      <c r="J9" s="27" t="s">
        <v>33</v>
      </c>
      <c r="K9" s="27" t="s">
        <v>34</v>
      </c>
      <c r="L9" s="27" t="s">
        <v>35</v>
      </c>
      <c r="M9" s="27" t="s">
        <v>36</v>
      </c>
      <c r="N9" s="17">
        <f t="shared" si="0"/>
        <v>45726</v>
      </c>
      <c r="O9" s="13" t="s">
        <v>34</v>
      </c>
      <c r="P9" s="13" t="s">
        <v>74</v>
      </c>
      <c r="Q9" s="13" t="s">
        <v>38</v>
      </c>
      <c r="R9" s="13" t="s">
        <v>75</v>
      </c>
      <c r="S9" s="13" t="s">
        <v>74</v>
      </c>
      <c r="T9" s="28">
        <v>21.13</v>
      </c>
      <c r="U9" s="13" t="s">
        <v>28</v>
      </c>
      <c r="V9" s="13" t="s">
        <v>76</v>
      </c>
      <c r="W9" s="13" t="s">
        <v>72</v>
      </c>
      <c r="X9" s="17">
        <f t="shared" si="1"/>
        <v>45726</v>
      </c>
      <c r="Y9" s="3"/>
    </row>
    <row r="10" spans="1:25" ht="45" customHeight="1">
      <c r="A10" s="3">
        <v>8</v>
      </c>
      <c r="B10" s="13" t="s">
        <v>77</v>
      </c>
      <c r="C10" s="13" t="s">
        <v>26</v>
      </c>
      <c r="D10" s="13" t="s">
        <v>78</v>
      </c>
      <c r="E10" s="13" t="s">
        <v>28</v>
      </c>
      <c r="F10" s="13" t="s">
        <v>29</v>
      </c>
      <c r="G10" s="13" t="s">
        <v>79</v>
      </c>
      <c r="H10" s="13" t="s">
        <v>31</v>
      </c>
      <c r="I10" s="27" t="s">
        <v>80</v>
      </c>
      <c r="J10" s="27" t="s">
        <v>33</v>
      </c>
      <c r="K10" s="27" t="s">
        <v>34</v>
      </c>
      <c r="L10" s="27" t="s">
        <v>35</v>
      </c>
      <c r="M10" s="27" t="s">
        <v>36</v>
      </c>
      <c r="N10" s="17">
        <f t="shared" si="0"/>
        <v>45726</v>
      </c>
      <c r="O10" s="13" t="s">
        <v>34</v>
      </c>
      <c r="P10" s="13" t="s">
        <v>81</v>
      </c>
      <c r="Q10" s="13" t="s">
        <v>38</v>
      </c>
      <c r="R10" s="13" t="s">
        <v>82</v>
      </c>
      <c r="S10" s="13" t="s">
        <v>81</v>
      </c>
      <c r="T10" s="28">
        <v>25.2</v>
      </c>
      <c r="U10" s="13" t="s">
        <v>28</v>
      </c>
      <c r="V10" s="13" t="s">
        <v>40</v>
      </c>
      <c r="W10" s="13" t="s">
        <v>79</v>
      </c>
      <c r="X10" s="17">
        <f t="shared" si="1"/>
        <v>45726</v>
      </c>
      <c r="Y10" s="3"/>
    </row>
    <row r="11" spans="1:25" ht="45" customHeight="1">
      <c r="A11" s="3">
        <v>9</v>
      </c>
      <c r="B11" s="13" t="s">
        <v>83</v>
      </c>
      <c r="C11" s="13" t="s">
        <v>26</v>
      </c>
      <c r="D11" s="13" t="s">
        <v>84</v>
      </c>
      <c r="E11" s="13" t="s">
        <v>28</v>
      </c>
      <c r="F11" s="13" t="s">
        <v>29</v>
      </c>
      <c r="G11" s="13" t="s">
        <v>85</v>
      </c>
      <c r="H11" s="13" t="s">
        <v>31</v>
      </c>
      <c r="I11" s="27" t="s">
        <v>86</v>
      </c>
      <c r="J11" s="27" t="s">
        <v>33</v>
      </c>
      <c r="K11" s="27" t="s">
        <v>34</v>
      </c>
      <c r="L11" s="27" t="s">
        <v>35</v>
      </c>
      <c r="M11" s="27" t="s">
        <v>36</v>
      </c>
      <c r="N11" s="17">
        <f t="shared" si="0"/>
        <v>45726</v>
      </c>
      <c r="O11" s="13" t="s">
        <v>34</v>
      </c>
      <c r="P11" s="13" t="s">
        <v>87</v>
      </c>
      <c r="Q11" s="13" t="s">
        <v>38</v>
      </c>
      <c r="R11" s="13" t="s">
        <v>88</v>
      </c>
      <c r="S11" s="13" t="s">
        <v>87</v>
      </c>
      <c r="T11" s="28">
        <v>31.77</v>
      </c>
      <c r="U11" s="13" t="s">
        <v>28</v>
      </c>
      <c r="V11" s="13" t="s">
        <v>89</v>
      </c>
      <c r="W11" s="13" t="s">
        <v>85</v>
      </c>
      <c r="X11" s="17">
        <f t="shared" si="1"/>
        <v>45726</v>
      </c>
      <c r="Y11" s="3"/>
    </row>
    <row r="12" spans="1:25" ht="45" customHeight="1">
      <c r="A12" s="3">
        <v>10</v>
      </c>
      <c r="B12" s="13" t="s">
        <v>90</v>
      </c>
      <c r="C12" s="13" t="s">
        <v>26</v>
      </c>
      <c r="D12" s="13" t="s">
        <v>91</v>
      </c>
      <c r="E12" s="13" t="s">
        <v>28</v>
      </c>
      <c r="F12" s="13" t="s">
        <v>29</v>
      </c>
      <c r="G12" s="13" t="s">
        <v>79</v>
      </c>
      <c r="H12" s="13" t="s">
        <v>31</v>
      </c>
      <c r="I12" s="27" t="s">
        <v>92</v>
      </c>
      <c r="J12" s="27" t="s">
        <v>33</v>
      </c>
      <c r="K12" s="27" t="s">
        <v>34</v>
      </c>
      <c r="L12" s="27" t="s">
        <v>35</v>
      </c>
      <c r="M12" s="27" t="s">
        <v>36</v>
      </c>
      <c r="N12" s="17">
        <f t="shared" si="0"/>
        <v>45726</v>
      </c>
      <c r="O12" s="13" t="s">
        <v>34</v>
      </c>
      <c r="P12" s="13" t="s">
        <v>81</v>
      </c>
      <c r="Q12" s="13" t="s">
        <v>38</v>
      </c>
      <c r="R12" s="13" t="s">
        <v>93</v>
      </c>
      <c r="S12" s="13" t="s">
        <v>81</v>
      </c>
      <c r="T12" s="28">
        <v>23.65</v>
      </c>
      <c r="U12" s="13" t="s">
        <v>28</v>
      </c>
      <c r="V12" s="13" t="s">
        <v>76</v>
      </c>
      <c r="W12" s="13" t="s">
        <v>79</v>
      </c>
      <c r="X12" s="17">
        <f t="shared" si="1"/>
        <v>45726</v>
      </c>
      <c r="Y12" s="3"/>
    </row>
    <row r="13" spans="1:25" ht="45" customHeight="1">
      <c r="A13" s="3">
        <v>11</v>
      </c>
      <c r="B13" s="13" t="s">
        <v>94</v>
      </c>
      <c r="C13" s="13" t="s">
        <v>26</v>
      </c>
      <c r="D13" s="13" t="s">
        <v>95</v>
      </c>
      <c r="E13" s="13" t="s">
        <v>28</v>
      </c>
      <c r="F13" s="13" t="s">
        <v>29</v>
      </c>
      <c r="G13" s="13" t="s">
        <v>43</v>
      </c>
      <c r="H13" s="13" t="s">
        <v>31</v>
      </c>
      <c r="I13" s="27" t="s">
        <v>96</v>
      </c>
      <c r="J13" s="27" t="s">
        <v>33</v>
      </c>
      <c r="K13" s="27" t="s">
        <v>34</v>
      </c>
      <c r="L13" s="27" t="s">
        <v>35</v>
      </c>
      <c r="M13" s="27" t="s">
        <v>36</v>
      </c>
      <c r="N13" s="17">
        <f t="shared" si="0"/>
        <v>45726</v>
      </c>
      <c r="O13" s="13" t="s">
        <v>34</v>
      </c>
      <c r="P13" s="13" t="s">
        <v>37</v>
      </c>
      <c r="Q13" s="13" t="s">
        <v>38</v>
      </c>
      <c r="R13" s="13" t="s">
        <v>97</v>
      </c>
      <c r="S13" s="13" t="s">
        <v>37</v>
      </c>
      <c r="T13" s="28">
        <v>23.24</v>
      </c>
      <c r="U13" s="13" t="s">
        <v>28</v>
      </c>
      <c r="V13" s="13" t="s">
        <v>40</v>
      </c>
      <c r="W13" s="13" t="s">
        <v>43</v>
      </c>
      <c r="X13" s="17">
        <f t="shared" si="1"/>
        <v>45726</v>
      </c>
      <c r="Y13" s="3"/>
    </row>
    <row r="14" spans="1:25" ht="45" customHeight="1">
      <c r="A14" s="3">
        <v>12</v>
      </c>
      <c r="B14" s="13" t="s">
        <v>98</v>
      </c>
      <c r="C14" s="13" t="s">
        <v>26</v>
      </c>
      <c r="D14" s="13" t="s">
        <v>99</v>
      </c>
      <c r="E14" s="13" t="s">
        <v>28</v>
      </c>
      <c r="F14" s="13" t="s">
        <v>29</v>
      </c>
      <c r="G14" s="13" t="s">
        <v>72</v>
      </c>
      <c r="H14" s="13" t="s">
        <v>31</v>
      </c>
      <c r="I14" s="27" t="s">
        <v>100</v>
      </c>
      <c r="J14" s="27" t="s">
        <v>33</v>
      </c>
      <c r="K14" s="27" t="s">
        <v>34</v>
      </c>
      <c r="L14" s="27" t="s">
        <v>35</v>
      </c>
      <c r="M14" s="27" t="s">
        <v>36</v>
      </c>
      <c r="N14" s="17">
        <f t="shared" si="0"/>
        <v>45726</v>
      </c>
      <c r="O14" s="13" t="s">
        <v>34</v>
      </c>
      <c r="P14" s="13" t="s">
        <v>74</v>
      </c>
      <c r="Q14" s="13" t="s">
        <v>38</v>
      </c>
      <c r="R14" s="13" t="s">
        <v>101</v>
      </c>
      <c r="S14" s="13" t="s">
        <v>74</v>
      </c>
      <c r="T14" s="28">
        <v>25.02</v>
      </c>
      <c r="U14" s="13" t="s">
        <v>28</v>
      </c>
      <c r="V14" s="13" t="s">
        <v>76</v>
      </c>
      <c r="W14" s="13" t="s">
        <v>72</v>
      </c>
      <c r="X14" s="17">
        <f t="shared" si="1"/>
        <v>45726</v>
      </c>
      <c r="Y14" s="3"/>
    </row>
    <row r="15" spans="1:25" ht="45" customHeight="1">
      <c r="A15" s="3">
        <v>13</v>
      </c>
      <c r="B15" s="13" t="s">
        <v>102</v>
      </c>
      <c r="C15" s="13" t="s">
        <v>103</v>
      </c>
      <c r="D15" s="13" t="s">
        <v>104</v>
      </c>
      <c r="E15" s="13" t="s">
        <v>28</v>
      </c>
      <c r="F15" s="13" t="s">
        <v>29</v>
      </c>
      <c r="G15" s="13" t="s">
        <v>56</v>
      </c>
      <c r="H15" s="13" t="s">
        <v>31</v>
      </c>
      <c r="I15" s="27" t="s">
        <v>105</v>
      </c>
      <c r="J15" s="27" t="s">
        <v>33</v>
      </c>
      <c r="K15" s="27" t="s">
        <v>106</v>
      </c>
      <c r="L15" s="27" t="s">
        <v>35</v>
      </c>
      <c r="M15" s="27" t="s">
        <v>36</v>
      </c>
      <c r="N15" s="17">
        <f t="shared" si="0"/>
        <v>45726</v>
      </c>
      <c r="O15" s="13" t="s">
        <v>107</v>
      </c>
      <c r="P15" s="13" t="s">
        <v>58</v>
      </c>
      <c r="Q15" s="13" t="s">
        <v>38</v>
      </c>
      <c r="R15" s="13" t="s">
        <v>108</v>
      </c>
      <c r="S15" s="13" t="s">
        <v>58</v>
      </c>
      <c r="T15" s="28">
        <v>24.59</v>
      </c>
      <c r="U15" s="13" t="s">
        <v>28</v>
      </c>
      <c r="V15" s="13" t="s">
        <v>76</v>
      </c>
      <c r="W15" s="13" t="s">
        <v>56</v>
      </c>
      <c r="X15" s="17">
        <f t="shared" si="1"/>
        <v>45726</v>
      </c>
      <c r="Y15" s="3"/>
    </row>
    <row r="16" spans="1:25" ht="45" customHeight="1">
      <c r="A16" s="3">
        <v>14</v>
      </c>
      <c r="B16" s="13" t="s">
        <v>109</v>
      </c>
      <c r="C16" s="13" t="s">
        <v>103</v>
      </c>
      <c r="D16" s="13" t="s">
        <v>110</v>
      </c>
      <c r="E16" s="13" t="s">
        <v>28</v>
      </c>
      <c r="F16" s="13" t="s">
        <v>29</v>
      </c>
      <c r="G16" s="13" t="s">
        <v>56</v>
      </c>
      <c r="H16" s="13" t="s">
        <v>31</v>
      </c>
      <c r="I16" s="27" t="s">
        <v>111</v>
      </c>
      <c r="J16" s="27" t="s">
        <v>33</v>
      </c>
      <c r="K16" s="27" t="s">
        <v>106</v>
      </c>
      <c r="L16" s="27" t="s">
        <v>35</v>
      </c>
      <c r="M16" s="27" t="s">
        <v>36</v>
      </c>
      <c r="N16" s="17">
        <f t="shared" si="0"/>
        <v>45726</v>
      </c>
      <c r="O16" s="13" t="s">
        <v>107</v>
      </c>
      <c r="P16" s="13" t="s">
        <v>58</v>
      </c>
      <c r="Q16" s="13" t="s">
        <v>38</v>
      </c>
      <c r="R16" s="13" t="s">
        <v>112</v>
      </c>
      <c r="S16" s="13" t="s">
        <v>58</v>
      </c>
      <c r="T16" s="28">
        <v>26.27</v>
      </c>
      <c r="U16" s="13" t="s">
        <v>28</v>
      </c>
      <c r="V16" s="13" t="s">
        <v>76</v>
      </c>
      <c r="W16" s="13" t="s">
        <v>56</v>
      </c>
      <c r="X16" s="17">
        <f t="shared" si="1"/>
        <v>45726</v>
      </c>
      <c r="Y16" s="3"/>
    </row>
    <row r="17" spans="1:25" ht="45" customHeight="1">
      <c r="A17" s="3">
        <v>15</v>
      </c>
      <c r="B17" s="13" t="s">
        <v>113</v>
      </c>
      <c r="C17" s="13" t="s">
        <v>103</v>
      </c>
      <c r="D17" s="13" t="s">
        <v>114</v>
      </c>
      <c r="E17" s="13" t="s">
        <v>28</v>
      </c>
      <c r="F17" s="13" t="s">
        <v>29</v>
      </c>
      <c r="G17" s="13" t="s">
        <v>56</v>
      </c>
      <c r="H17" s="13" t="s">
        <v>31</v>
      </c>
      <c r="I17" s="27" t="s">
        <v>115</v>
      </c>
      <c r="J17" s="27" t="s">
        <v>33</v>
      </c>
      <c r="K17" s="27" t="s">
        <v>106</v>
      </c>
      <c r="L17" s="27" t="s">
        <v>35</v>
      </c>
      <c r="M17" s="27" t="s">
        <v>36</v>
      </c>
      <c r="N17" s="17">
        <f t="shared" si="0"/>
        <v>45726</v>
      </c>
      <c r="O17" s="13" t="s">
        <v>107</v>
      </c>
      <c r="P17" s="13" t="s">
        <v>58</v>
      </c>
      <c r="Q17" s="13" t="s">
        <v>38</v>
      </c>
      <c r="R17" s="13" t="s">
        <v>116</v>
      </c>
      <c r="S17" s="13" t="s">
        <v>58</v>
      </c>
      <c r="T17" s="28">
        <v>24.09</v>
      </c>
      <c r="U17" s="13" t="s">
        <v>28</v>
      </c>
      <c r="V17" s="13" t="s">
        <v>40</v>
      </c>
      <c r="W17" s="13" t="s">
        <v>56</v>
      </c>
      <c r="X17" s="17">
        <f t="shared" si="1"/>
        <v>45726</v>
      </c>
      <c r="Y17" s="3"/>
    </row>
    <row r="18" spans="1:25" ht="45" customHeight="1">
      <c r="A18" s="3">
        <v>16</v>
      </c>
      <c r="B18" s="13" t="s">
        <v>117</v>
      </c>
      <c r="C18" s="13" t="s">
        <v>103</v>
      </c>
      <c r="D18" s="13" t="s">
        <v>118</v>
      </c>
      <c r="E18" s="13" t="s">
        <v>28</v>
      </c>
      <c r="F18" s="13" t="s">
        <v>29</v>
      </c>
      <c r="G18" s="13" t="s">
        <v>56</v>
      </c>
      <c r="H18" s="13" t="s">
        <v>31</v>
      </c>
      <c r="I18" s="27" t="s">
        <v>119</v>
      </c>
      <c r="J18" s="27" t="s">
        <v>33</v>
      </c>
      <c r="K18" s="27" t="s">
        <v>106</v>
      </c>
      <c r="L18" s="27" t="s">
        <v>35</v>
      </c>
      <c r="M18" s="27" t="s">
        <v>36</v>
      </c>
      <c r="N18" s="17">
        <f t="shared" si="0"/>
        <v>45726</v>
      </c>
      <c r="O18" s="13" t="s">
        <v>107</v>
      </c>
      <c r="P18" s="13" t="s">
        <v>58</v>
      </c>
      <c r="Q18" s="13" t="s">
        <v>38</v>
      </c>
      <c r="R18" s="13" t="s">
        <v>120</v>
      </c>
      <c r="S18" s="13" t="s">
        <v>58</v>
      </c>
      <c r="T18" s="28">
        <v>23.39</v>
      </c>
      <c r="U18" s="13" t="s">
        <v>28</v>
      </c>
      <c r="V18" s="13" t="s">
        <v>40</v>
      </c>
      <c r="W18" s="13" t="s">
        <v>56</v>
      </c>
      <c r="X18" s="17">
        <f t="shared" si="1"/>
        <v>45726</v>
      </c>
      <c r="Y18" s="3"/>
    </row>
    <row r="19" spans="1:25" ht="45" customHeight="1">
      <c r="A19" s="3">
        <v>17</v>
      </c>
      <c r="B19" s="13" t="s">
        <v>121</v>
      </c>
      <c r="C19" s="13" t="s">
        <v>103</v>
      </c>
      <c r="D19" s="13" t="s">
        <v>122</v>
      </c>
      <c r="E19" s="13" t="s">
        <v>28</v>
      </c>
      <c r="F19" s="13" t="s">
        <v>29</v>
      </c>
      <c r="G19" s="13" t="s">
        <v>123</v>
      </c>
      <c r="H19" s="13" t="s">
        <v>31</v>
      </c>
      <c r="I19" s="27" t="s">
        <v>124</v>
      </c>
      <c r="J19" s="27" t="s">
        <v>33</v>
      </c>
      <c r="K19" s="27" t="s">
        <v>106</v>
      </c>
      <c r="L19" s="27" t="s">
        <v>35</v>
      </c>
      <c r="M19" s="27" t="s">
        <v>36</v>
      </c>
      <c r="N19" s="17">
        <f t="shared" si="0"/>
        <v>45726</v>
      </c>
      <c r="O19" s="13" t="s">
        <v>107</v>
      </c>
      <c r="P19" s="13" t="s">
        <v>125</v>
      </c>
      <c r="Q19" s="13" t="s">
        <v>38</v>
      </c>
      <c r="R19" s="13" t="s">
        <v>126</v>
      </c>
      <c r="S19" s="13" t="s">
        <v>127</v>
      </c>
      <c r="T19" s="28">
        <v>20.399999999999999</v>
      </c>
      <c r="U19" s="13" t="s">
        <v>28</v>
      </c>
      <c r="V19" s="13" t="s">
        <v>89</v>
      </c>
      <c r="W19" s="13" t="s">
        <v>128</v>
      </c>
      <c r="X19" s="17">
        <f t="shared" si="1"/>
        <v>45726</v>
      </c>
      <c r="Y19" s="3"/>
    </row>
    <row r="20" spans="1:25" ht="45" customHeight="1">
      <c r="A20" s="3">
        <v>18</v>
      </c>
      <c r="B20" s="13" t="s">
        <v>129</v>
      </c>
      <c r="C20" s="13" t="s">
        <v>103</v>
      </c>
      <c r="D20" s="13" t="s">
        <v>130</v>
      </c>
      <c r="E20" s="13" t="s">
        <v>28</v>
      </c>
      <c r="F20" s="13" t="s">
        <v>29</v>
      </c>
      <c r="G20" s="13" t="s">
        <v>79</v>
      </c>
      <c r="H20" s="13" t="s">
        <v>31</v>
      </c>
      <c r="I20" s="27" t="s">
        <v>131</v>
      </c>
      <c r="J20" s="27" t="s">
        <v>33</v>
      </c>
      <c r="K20" s="27" t="s">
        <v>106</v>
      </c>
      <c r="L20" s="27" t="s">
        <v>35</v>
      </c>
      <c r="M20" s="27" t="s">
        <v>36</v>
      </c>
      <c r="N20" s="17">
        <f t="shared" si="0"/>
        <v>45726</v>
      </c>
      <c r="O20" s="13" t="s">
        <v>107</v>
      </c>
      <c r="P20" s="13" t="s">
        <v>81</v>
      </c>
      <c r="Q20" s="13" t="s">
        <v>38</v>
      </c>
      <c r="R20" s="13" t="s">
        <v>132</v>
      </c>
      <c r="S20" s="13" t="s">
        <v>81</v>
      </c>
      <c r="T20" s="28">
        <v>26.17</v>
      </c>
      <c r="U20" s="13" t="s">
        <v>28</v>
      </c>
      <c r="V20" s="13" t="s">
        <v>40</v>
      </c>
      <c r="W20" s="13" t="s">
        <v>79</v>
      </c>
      <c r="X20" s="17">
        <f t="shared" si="1"/>
        <v>45726</v>
      </c>
      <c r="Y20" s="3"/>
    </row>
    <row r="21" spans="1:25" ht="45" customHeight="1">
      <c r="A21" s="3">
        <v>19</v>
      </c>
      <c r="B21" s="13" t="s">
        <v>133</v>
      </c>
      <c r="C21" s="13" t="s">
        <v>103</v>
      </c>
      <c r="D21" s="13" t="s">
        <v>134</v>
      </c>
      <c r="E21" s="13" t="s">
        <v>28</v>
      </c>
      <c r="F21" s="13" t="s">
        <v>29</v>
      </c>
      <c r="G21" s="13" t="s">
        <v>56</v>
      </c>
      <c r="H21" s="13" t="s">
        <v>31</v>
      </c>
      <c r="I21" s="27" t="s">
        <v>135</v>
      </c>
      <c r="J21" s="27" t="s">
        <v>33</v>
      </c>
      <c r="K21" s="27" t="s">
        <v>106</v>
      </c>
      <c r="L21" s="27" t="s">
        <v>35</v>
      </c>
      <c r="M21" s="27" t="s">
        <v>36</v>
      </c>
      <c r="N21" s="17">
        <f t="shared" si="0"/>
        <v>45726</v>
      </c>
      <c r="O21" s="13" t="s">
        <v>107</v>
      </c>
      <c r="P21" s="13" t="s">
        <v>58</v>
      </c>
      <c r="Q21" s="13" t="s">
        <v>38</v>
      </c>
      <c r="R21" s="13" t="s">
        <v>136</v>
      </c>
      <c r="S21" s="13" t="s">
        <v>58</v>
      </c>
      <c r="T21" s="28">
        <v>23.99</v>
      </c>
      <c r="U21" s="13" t="s">
        <v>28</v>
      </c>
      <c r="V21" s="13" t="s">
        <v>40</v>
      </c>
      <c r="W21" s="13" t="s">
        <v>56</v>
      </c>
      <c r="X21" s="17">
        <f t="shared" si="1"/>
        <v>45726</v>
      </c>
      <c r="Y21" s="3"/>
    </row>
    <row r="22" spans="1:25" ht="45" customHeight="1">
      <c r="A22" s="3">
        <v>20</v>
      </c>
      <c r="B22" s="13" t="s">
        <v>137</v>
      </c>
      <c r="C22" s="13" t="s">
        <v>103</v>
      </c>
      <c r="D22" s="13" t="s">
        <v>138</v>
      </c>
      <c r="E22" s="13" t="s">
        <v>28</v>
      </c>
      <c r="F22" s="13" t="s">
        <v>29</v>
      </c>
      <c r="G22" s="13" t="s">
        <v>85</v>
      </c>
      <c r="H22" s="13" t="s">
        <v>31</v>
      </c>
      <c r="I22" s="27" t="s">
        <v>139</v>
      </c>
      <c r="J22" s="27" t="s">
        <v>33</v>
      </c>
      <c r="K22" s="27" t="s">
        <v>106</v>
      </c>
      <c r="L22" s="27" t="s">
        <v>35</v>
      </c>
      <c r="M22" s="27" t="s">
        <v>36</v>
      </c>
      <c r="N22" s="17">
        <f t="shared" si="0"/>
        <v>45726</v>
      </c>
      <c r="O22" s="13" t="s">
        <v>107</v>
      </c>
      <c r="P22" s="13" t="s">
        <v>87</v>
      </c>
      <c r="Q22" s="13" t="s">
        <v>38</v>
      </c>
      <c r="R22" s="13" t="s">
        <v>140</v>
      </c>
      <c r="S22" s="13" t="s">
        <v>87</v>
      </c>
      <c r="T22" s="28">
        <v>24.62</v>
      </c>
      <c r="U22" s="13" t="s">
        <v>28</v>
      </c>
      <c r="V22" s="13" t="s">
        <v>53</v>
      </c>
      <c r="W22" s="13" t="s">
        <v>85</v>
      </c>
      <c r="X22" s="17">
        <f t="shared" si="1"/>
        <v>45726</v>
      </c>
      <c r="Y22" s="3"/>
    </row>
    <row r="23" spans="1:25" ht="45" customHeight="1">
      <c r="A23" s="3">
        <v>21</v>
      </c>
      <c r="B23" s="13" t="s">
        <v>141</v>
      </c>
      <c r="C23" s="13" t="s">
        <v>103</v>
      </c>
      <c r="D23" s="13" t="s">
        <v>142</v>
      </c>
      <c r="E23" s="13" t="s">
        <v>28</v>
      </c>
      <c r="F23" s="13" t="s">
        <v>29</v>
      </c>
      <c r="G23" s="13" t="s">
        <v>123</v>
      </c>
      <c r="H23" s="13" t="s">
        <v>31</v>
      </c>
      <c r="I23" s="27" t="s">
        <v>143</v>
      </c>
      <c r="J23" s="27" t="s">
        <v>33</v>
      </c>
      <c r="K23" s="27" t="s">
        <v>106</v>
      </c>
      <c r="L23" s="27" t="s">
        <v>35</v>
      </c>
      <c r="M23" s="27" t="s">
        <v>36</v>
      </c>
      <c r="N23" s="17">
        <f t="shared" si="0"/>
        <v>45726</v>
      </c>
      <c r="O23" s="13" t="s">
        <v>107</v>
      </c>
      <c r="P23" s="13" t="s">
        <v>144</v>
      </c>
      <c r="Q23" s="13" t="s">
        <v>38</v>
      </c>
      <c r="R23" s="13" t="s">
        <v>145</v>
      </c>
      <c r="S23" s="13" t="s">
        <v>127</v>
      </c>
      <c r="T23" s="28">
        <v>21.92</v>
      </c>
      <c r="U23" s="13" t="s">
        <v>28</v>
      </c>
      <c r="V23" s="13" t="s">
        <v>146</v>
      </c>
      <c r="W23" s="13" t="s">
        <v>128</v>
      </c>
      <c r="X23" s="17">
        <f t="shared" si="1"/>
        <v>45726</v>
      </c>
      <c r="Y23" s="3"/>
    </row>
    <row r="24" spans="1:25" ht="45" customHeight="1">
      <c r="A24" s="3">
        <v>22</v>
      </c>
      <c r="B24" s="13" t="s">
        <v>147</v>
      </c>
      <c r="C24" s="13" t="s">
        <v>103</v>
      </c>
      <c r="D24" s="13" t="s">
        <v>148</v>
      </c>
      <c r="E24" s="13" t="s">
        <v>28</v>
      </c>
      <c r="F24" s="13" t="s">
        <v>29</v>
      </c>
      <c r="G24" s="13" t="s">
        <v>72</v>
      </c>
      <c r="H24" s="13" t="s">
        <v>31</v>
      </c>
      <c r="I24" s="27" t="s">
        <v>149</v>
      </c>
      <c r="J24" s="27" t="s">
        <v>33</v>
      </c>
      <c r="K24" s="27" t="s">
        <v>106</v>
      </c>
      <c r="L24" s="27" t="s">
        <v>35</v>
      </c>
      <c r="M24" s="27" t="s">
        <v>36</v>
      </c>
      <c r="N24" s="17">
        <f t="shared" si="0"/>
        <v>45726</v>
      </c>
      <c r="O24" s="13" t="s">
        <v>107</v>
      </c>
      <c r="P24" s="13" t="s">
        <v>74</v>
      </c>
      <c r="Q24" s="13" t="s">
        <v>38</v>
      </c>
      <c r="R24" s="13" t="s">
        <v>150</v>
      </c>
      <c r="S24" s="13" t="s">
        <v>74</v>
      </c>
      <c r="T24" s="28">
        <v>29.21</v>
      </c>
      <c r="U24" s="13" t="s">
        <v>28</v>
      </c>
      <c r="V24" s="13" t="s">
        <v>40</v>
      </c>
      <c r="W24" s="13" t="s">
        <v>72</v>
      </c>
      <c r="X24" s="17">
        <f t="shared" si="1"/>
        <v>45726</v>
      </c>
      <c r="Y24" s="3"/>
    </row>
    <row r="25" spans="1:25" ht="45" customHeight="1">
      <c r="A25" s="3">
        <v>23</v>
      </c>
      <c r="B25" s="13" t="s">
        <v>151</v>
      </c>
      <c r="C25" s="13" t="s">
        <v>26</v>
      </c>
      <c r="D25" s="13" t="s">
        <v>152</v>
      </c>
      <c r="E25" s="13" t="s">
        <v>28</v>
      </c>
      <c r="F25" s="13" t="s">
        <v>29</v>
      </c>
      <c r="G25" s="13" t="s">
        <v>43</v>
      </c>
      <c r="H25" s="13" t="s">
        <v>31</v>
      </c>
      <c r="I25" s="27" t="s">
        <v>153</v>
      </c>
      <c r="J25" s="27" t="s">
        <v>33</v>
      </c>
      <c r="K25" s="27" t="s">
        <v>34</v>
      </c>
      <c r="L25" s="27" t="s">
        <v>35</v>
      </c>
      <c r="M25" s="27" t="s">
        <v>36</v>
      </c>
      <c r="N25" s="17">
        <f t="shared" si="0"/>
        <v>45726</v>
      </c>
      <c r="O25" s="13" t="s">
        <v>34</v>
      </c>
      <c r="P25" s="13" t="s">
        <v>37</v>
      </c>
      <c r="Q25" s="13" t="s">
        <v>38</v>
      </c>
      <c r="R25" s="13" t="s">
        <v>154</v>
      </c>
      <c r="S25" s="13" t="s">
        <v>37</v>
      </c>
      <c r="T25" s="28">
        <v>23.6</v>
      </c>
      <c r="U25" s="13" t="s">
        <v>28</v>
      </c>
      <c r="V25" s="13" t="s">
        <v>76</v>
      </c>
      <c r="W25" s="13" t="s">
        <v>43</v>
      </c>
      <c r="X25" s="17">
        <f t="shared" si="1"/>
        <v>45726</v>
      </c>
      <c r="Y25" s="3"/>
    </row>
    <row r="26" spans="1:25" ht="45" customHeight="1">
      <c r="A26" s="3">
        <v>24</v>
      </c>
      <c r="B26" s="13" t="s">
        <v>155</v>
      </c>
      <c r="C26" s="13" t="s">
        <v>26</v>
      </c>
      <c r="D26" s="13" t="s">
        <v>156</v>
      </c>
      <c r="E26" s="13" t="s">
        <v>28</v>
      </c>
      <c r="F26" s="13" t="s">
        <v>29</v>
      </c>
      <c r="G26" s="13" t="s">
        <v>62</v>
      </c>
      <c r="H26" s="13" t="s">
        <v>31</v>
      </c>
      <c r="I26" s="27" t="s">
        <v>157</v>
      </c>
      <c r="J26" s="27" t="s">
        <v>33</v>
      </c>
      <c r="K26" s="27" t="s">
        <v>34</v>
      </c>
      <c r="L26" s="27" t="s">
        <v>35</v>
      </c>
      <c r="M26" s="27" t="s">
        <v>36</v>
      </c>
      <c r="N26" s="17">
        <f t="shared" ref="N26:N69" si="2">DATE(2025,3,17)</f>
        <v>45733</v>
      </c>
      <c r="O26" s="13" t="s">
        <v>34</v>
      </c>
      <c r="P26" s="13" t="s">
        <v>64</v>
      </c>
      <c r="Q26" s="13" t="s">
        <v>38</v>
      </c>
      <c r="R26" s="13" t="s">
        <v>158</v>
      </c>
      <c r="S26" s="13" t="s">
        <v>64</v>
      </c>
      <c r="T26" s="28">
        <v>27.58</v>
      </c>
      <c r="U26" s="13" t="s">
        <v>28</v>
      </c>
      <c r="V26" s="13" t="s">
        <v>76</v>
      </c>
      <c r="W26" s="13" t="s">
        <v>62</v>
      </c>
      <c r="X26" s="17">
        <f t="shared" ref="X26:X69" si="3">DATE(2025,3,17)</f>
        <v>45733</v>
      </c>
      <c r="Y26" s="3"/>
    </row>
    <row r="27" spans="1:25" ht="45" customHeight="1">
      <c r="A27" s="3">
        <v>25</v>
      </c>
      <c r="B27" s="13" t="s">
        <v>159</v>
      </c>
      <c r="C27" s="13" t="s">
        <v>26</v>
      </c>
      <c r="D27" s="13" t="s">
        <v>160</v>
      </c>
      <c r="E27" s="13" t="s">
        <v>28</v>
      </c>
      <c r="F27" s="13" t="s">
        <v>29</v>
      </c>
      <c r="G27" s="13" t="s">
        <v>43</v>
      </c>
      <c r="H27" s="13" t="s">
        <v>31</v>
      </c>
      <c r="I27" s="27" t="s">
        <v>161</v>
      </c>
      <c r="J27" s="27" t="s">
        <v>33</v>
      </c>
      <c r="K27" s="27" t="s">
        <v>34</v>
      </c>
      <c r="L27" s="27" t="s">
        <v>35</v>
      </c>
      <c r="M27" s="27" t="s">
        <v>36</v>
      </c>
      <c r="N27" s="17">
        <f t="shared" si="2"/>
        <v>45733</v>
      </c>
      <c r="O27" s="13" t="s">
        <v>34</v>
      </c>
      <c r="P27" s="13" t="s">
        <v>37</v>
      </c>
      <c r="Q27" s="13" t="s">
        <v>38</v>
      </c>
      <c r="R27" s="13" t="s">
        <v>162</v>
      </c>
      <c r="S27" s="13" t="s">
        <v>37</v>
      </c>
      <c r="T27" s="28">
        <v>24.51</v>
      </c>
      <c r="U27" s="13" t="s">
        <v>28</v>
      </c>
      <c r="V27" s="13" t="s">
        <v>76</v>
      </c>
      <c r="W27" s="13" t="s">
        <v>43</v>
      </c>
      <c r="X27" s="17">
        <f t="shared" si="3"/>
        <v>45733</v>
      </c>
      <c r="Y27" s="3"/>
    </row>
    <row r="28" spans="1:25" ht="45" customHeight="1">
      <c r="A28" s="3">
        <v>26</v>
      </c>
      <c r="B28" s="13" t="s">
        <v>163</v>
      </c>
      <c r="C28" s="13" t="s">
        <v>26</v>
      </c>
      <c r="D28" s="13" t="s">
        <v>164</v>
      </c>
      <c r="E28" s="13" t="s">
        <v>28</v>
      </c>
      <c r="F28" s="13" t="s">
        <v>29</v>
      </c>
      <c r="G28" s="13" t="s">
        <v>79</v>
      </c>
      <c r="H28" s="13" t="s">
        <v>31</v>
      </c>
      <c r="I28" s="27" t="s">
        <v>165</v>
      </c>
      <c r="J28" s="27" t="s">
        <v>33</v>
      </c>
      <c r="K28" s="27" t="s">
        <v>34</v>
      </c>
      <c r="L28" s="27" t="s">
        <v>35</v>
      </c>
      <c r="M28" s="27" t="s">
        <v>36</v>
      </c>
      <c r="N28" s="17">
        <f t="shared" si="2"/>
        <v>45733</v>
      </c>
      <c r="O28" s="13" t="s">
        <v>34</v>
      </c>
      <c r="P28" s="13" t="s">
        <v>81</v>
      </c>
      <c r="Q28" s="13" t="s">
        <v>38</v>
      </c>
      <c r="R28" s="13" t="s">
        <v>166</v>
      </c>
      <c r="S28" s="13" t="s">
        <v>81</v>
      </c>
      <c r="T28" s="28">
        <v>23.58</v>
      </c>
      <c r="U28" s="13" t="s">
        <v>28</v>
      </c>
      <c r="V28" s="13" t="s">
        <v>76</v>
      </c>
      <c r="W28" s="13" t="s">
        <v>79</v>
      </c>
      <c r="X28" s="17">
        <f t="shared" si="3"/>
        <v>45733</v>
      </c>
      <c r="Y28" s="3"/>
    </row>
    <row r="29" spans="1:25" ht="45" customHeight="1">
      <c r="A29" s="3">
        <v>27</v>
      </c>
      <c r="B29" s="13" t="s">
        <v>167</v>
      </c>
      <c r="C29" s="13" t="s">
        <v>26</v>
      </c>
      <c r="D29" s="13" t="s">
        <v>168</v>
      </c>
      <c r="E29" s="13" t="s">
        <v>28</v>
      </c>
      <c r="F29" s="13" t="s">
        <v>29</v>
      </c>
      <c r="G29" s="13" t="s">
        <v>62</v>
      </c>
      <c r="H29" s="13" t="s">
        <v>31</v>
      </c>
      <c r="I29" s="27" t="s">
        <v>169</v>
      </c>
      <c r="J29" s="27" t="s">
        <v>33</v>
      </c>
      <c r="K29" s="27" t="s">
        <v>34</v>
      </c>
      <c r="L29" s="27" t="s">
        <v>35</v>
      </c>
      <c r="M29" s="27" t="s">
        <v>36</v>
      </c>
      <c r="N29" s="17">
        <f t="shared" si="2"/>
        <v>45733</v>
      </c>
      <c r="O29" s="13" t="s">
        <v>34</v>
      </c>
      <c r="P29" s="13" t="s">
        <v>64</v>
      </c>
      <c r="Q29" s="13" t="s">
        <v>38</v>
      </c>
      <c r="R29" s="13" t="s">
        <v>170</v>
      </c>
      <c r="S29" s="13" t="s">
        <v>64</v>
      </c>
      <c r="T29" s="28">
        <v>24.33</v>
      </c>
      <c r="U29" s="13" t="s">
        <v>28</v>
      </c>
      <c r="V29" s="13" t="s">
        <v>76</v>
      </c>
      <c r="W29" s="13" t="s">
        <v>62</v>
      </c>
      <c r="X29" s="17">
        <f t="shared" si="3"/>
        <v>45733</v>
      </c>
      <c r="Y29" s="3"/>
    </row>
    <row r="30" spans="1:25" ht="45" customHeight="1">
      <c r="A30" s="3">
        <v>28</v>
      </c>
      <c r="B30" s="13" t="s">
        <v>171</v>
      </c>
      <c r="C30" s="13" t="s">
        <v>26</v>
      </c>
      <c r="D30" s="13" t="s">
        <v>172</v>
      </c>
      <c r="E30" s="13" t="s">
        <v>28</v>
      </c>
      <c r="F30" s="13" t="s">
        <v>29</v>
      </c>
      <c r="G30" s="13" t="s">
        <v>79</v>
      </c>
      <c r="H30" s="13" t="s">
        <v>31</v>
      </c>
      <c r="I30" s="27" t="s">
        <v>173</v>
      </c>
      <c r="J30" s="27" t="s">
        <v>33</v>
      </c>
      <c r="K30" s="27" t="s">
        <v>34</v>
      </c>
      <c r="L30" s="27" t="s">
        <v>35</v>
      </c>
      <c r="M30" s="27" t="s">
        <v>36</v>
      </c>
      <c r="N30" s="17">
        <f t="shared" si="2"/>
        <v>45733</v>
      </c>
      <c r="O30" s="13" t="s">
        <v>34</v>
      </c>
      <c r="P30" s="13" t="s">
        <v>81</v>
      </c>
      <c r="Q30" s="13" t="s">
        <v>38</v>
      </c>
      <c r="R30" s="13" t="s">
        <v>174</v>
      </c>
      <c r="S30" s="13" t="s">
        <v>81</v>
      </c>
      <c r="T30" s="28">
        <v>21.68</v>
      </c>
      <c r="U30" s="13" t="s">
        <v>28</v>
      </c>
      <c r="V30" s="13" t="s">
        <v>40</v>
      </c>
      <c r="W30" s="13" t="s">
        <v>79</v>
      </c>
      <c r="X30" s="17">
        <f t="shared" si="3"/>
        <v>45733</v>
      </c>
      <c r="Y30" s="3"/>
    </row>
    <row r="31" spans="1:25" ht="45" customHeight="1">
      <c r="A31" s="3">
        <v>29</v>
      </c>
      <c r="B31" s="13" t="s">
        <v>175</v>
      </c>
      <c r="C31" s="13" t="s">
        <v>26</v>
      </c>
      <c r="D31" s="13" t="s">
        <v>176</v>
      </c>
      <c r="E31" s="13" t="s">
        <v>28</v>
      </c>
      <c r="F31" s="13" t="s">
        <v>29</v>
      </c>
      <c r="G31" s="13" t="s">
        <v>43</v>
      </c>
      <c r="H31" s="13" t="s">
        <v>31</v>
      </c>
      <c r="I31" s="27" t="s">
        <v>177</v>
      </c>
      <c r="J31" s="27" t="s">
        <v>33</v>
      </c>
      <c r="K31" s="27" t="s">
        <v>34</v>
      </c>
      <c r="L31" s="27" t="s">
        <v>35</v>
      </c>
      <c r="M31" s="27" t="s">
        <v>36</v>
      </c>
      <c r="N31" s="17">
        <f t="shared" si="2"/>
        <v>45733</v>
      </c>
      <c r="O31" s="13" t="s">
        <v>34</v>
      </c>
      <c r="P31" s="13" t="s">
        <v>37</v>
      </c>
      <c r="Q31" s="13" t="s">
        <v>38</v>
      </c>
      <c r="R31" s="13" t="s">
        <v>178</v>
      </c>
      <c r="S31" s="13" t="s">
        <v>37</v>
      </c>
      <c r="T31" s="28">
        <v>24.93</v>
      </c>
      <c r="U31" s="13" t="s">
        <v>28</v>
      </c>
      <c r="V31" s="13" t="s">
        <v>40</v>
      </c>
      <c r="W31" s="13" t="s">
        <v>43</v>
      </c>
      <c r="X31" s="17">
        <f t="shared" si="3"/>
        <v>45733</v>
      </c>
      <c r="Y31" s="3"/>
    </row>
    <row r="32" spans="1:25" ht="45" customHeight="1">
      <c r="A32" s="3">
        <v>30</v>
      </c>
      <c r="B32" s="13" t="s">
        <v>179</v>
      </c>
      <c r="C32" s="13" t="s">
        <v>26</v>
      </c>
      <c r="D32" s="13" t="s">
        <v>180</v>
      </c>
      <c r="E32" s="13" t="s">
        <v>28</v>
      </c>
      <c r="F32" s="13" t="s">
        <v>29</v>
      </c>
      <c r="G32" s="13" t="s">
        <v>48</v>
      </c>
      <c r="H32" s="13" t="s">
        <v>31</v>
      </c>
      <c r="I32" s="27" t="s">
        <v>181</v>
      </c>
      <c r="J32" s="27" t="s">
        <v>33</v>
      </c>
      <c r="K32" s="27" t="s">
        <v>34</v>
      </c>
      <c r="L32" s="27" t="s">
        <v>35</v>
      </c>
      <c r="M32" s="27" t="s">
        <v>36</v>
      </c>
      <c r="N32" s="17">
        <f t="shared" si="2"/>
        <v>45733</v>
      </c>
      <c r="O32" s="13" t="s">
        <v>34</v>
      </c>
      <c r="P32" s="13" t="s">
        <v>182</v>
      </c>
      <c r="Q32" s="13" t="s">
        <v>38</v>
      </c>
      <c r="R32" s="13" t="s">
        <v>183</v>
      </c>
      <c r="S32" s="13" t="s">
        <v>52</v>
      </c>
      <c r="T32" s="28">
        <v>19.45</v>
      </c>
      <c r="U32" s="13" t="s">
        <v>28</v>
      </c>
      <c r="V32" s="13" t="s">
        <v>89</v>
      </c>
      <c r="W32" s="13" t="s">
        <v>48</v>
      </c>
      <c r="X32" s="17">
        <f t="shared" si="3"/>
        <v>45733</v>
      </c>
      <c r="Y32" s="3"/>
    </row>
    <row r="33" spans="1:25" ht="45" customHeight="1">
      <c r="A33" s="3">
        <v>31</v>
      </c>
      <c r="B33" s="13" t="s">
        <v>184</v>
      </c>
      <c r="C33" s="13" t="s">
        <v>26</v>
      </c>
      <c r="D33" s="13" t="s">
        <v>185</v>
      </c>
      <c r="E33" s="13" t="s">
        <v>28</v>
      </c>
      <c r="F33" s="13" t="s">
        <v>29</v>
      </c>
      <c r="G33" s="13" t="s">
        <v>62</v>
      </c>
      <c r="H33" s="13" t="s">
        <v>31</v>
      </c>
      <c r="I33" s="27" t="s">
        <v>186</v>
      </c>
      <c r="J33" s="27" t="s">
        <v>33</v>
      </c>
      <c r="K33" s="27" t="s">
        <v>34</v>
      </c>
      <c r="L33" s="27" t="s">
        <v>35</v>
      </c>
      <c r="M33" s="27" t="s">
        <v>36</v>
      </c>
      <c r="N33" s="17">
        <f t="shared" si="2"/>
        <v>45733</v>
      </c>
      <c r="O33" s="13" t="s">
        <v>34</v>
      </c>
      <c r="P33" s="13" t="s">
        <v>64</v>
      </c>
      <c r="Q33" s="13" t="s">
        <v>38</v>
      </c>
      <c r="R33" s="13" t="s">
        <v>187</v>
      </c>
      <c r="S33" s="13" t="s">
        <v>64</v>
      </c>
      <c r="T33" s="28">
        <v>28.6</v>
      </c>
      <c r="U33" s="13" t="s">
        <v>28</v>
      </c>
      <c r="V33" s="13" t="s">
        <v>40</v>
      </c>
      <c r="W33" s="13" t="s">
        <v>62</v>
      </c>
      <c r="X33" s="17">
        <f t="shared" si="3"/>
        <v>45733</v>
      </c>
      <c r="Y33" s="3"/>
    </row>
    <row r="34" spans="1:25" ht="45" customHeight="1">
      <c r="A34" s="3">
        <v>32</v>
      </c>
      <c r="B34" s="13" t="s">
        <v>188</v>
      </c>
      <c r="C34" s="13" t="s">
        <v>26</v>
      </c>
      <c r="D34" s="13" t="s">
        <v>189</v>
      </c>
      <c r="E34" s="13" t="s">
        <v>28</v>
      </c>
      <c r="F34" s="13" t="s">
        <v>29</v>
      </c>
      <c r="G34" s="13" t="s">
        <v>62</v>
      </c>
      <c r="H34" s="13" t="s">
        <v>31</v>
      </c>
      <c r="I34" s="27" t="s">
        <v>190</v>
      </c>
      <c r="J34" s="27" t="s">
        <v>33</v>
      </c>
      <c r="K34" s="27" t="s">
        <v>34</v>
      </c>
      <c r="L34" s="27" t="s">
        <v>35</v>
      </c>
      <c r="M34" s="27" t="s">
        <v>36</v>
      </c>
      <c r="N34" s="17">
        <f t="shared" si="2"/>
        <v>45733</v>
      </c>
      <c r="O34" s="13" t="s">
        <v>34</v>
      </c>
      <c r="P34" s="13" t="s">
        <v>64</v>
      </c>
      <c r="Q34" s="13" t="s">
        <v>38</v>
      </c>
      <c r="R34" s="13" t="s">
        <v>191</v>
      </c>
      <c r="S34" s="13" t="s">
        <v>64</v>
      </c>
      <c r="T34" s="28">
        <v>27.7</v>
      </c>
      <c r="U34" s="13" t="s">
        <v>28</v>
      </c>
      <c r="V34" s="13" t="s">
        <v>76</v>
      </c>
      <c r="W34" s="13" t="s">
        <v>62</v>
      </c>
      <c r="X34" s="17">
        <f t="shared" si="3"/>
        <v>45733</v>
      </c>
      <c r="Y34" s="3"/>
    </row>
    <row r="35" spans="1:25" ht="45" customHeight="1">
      <c r="A35" s="3">
        <v>33</v>
      </c>
      <c r="B35" s="13" t="s">
        <v>192</v>
      </c>
      <c r="C35" s="13" t="s">
        <v>26</v>
      </c>
      <c r="D35" s="13" t="s">
        <v>193</v>
      </c>
      <c r="E35" s="13" t="s">
        <v>28</v>
      </c>
      <c r="F35" s="13" t="s">
        <v>29</v>
      </c>
      <c r="G35" s="13" t="s">
        <v>85</v>
      </c>
      <c r="H35" s="13" t="s">
        <v>31</v>
      </c>
      <c r="I35" s="27" t="s">
        <v>194</v>
      </c>
      <c r="J35" s="27" t="s">
        <v>33</v>
      </c>
      <c r="K35" s="27" t="s">
        <v>34</v>
      </c>
      <c r="L35" s="27" t="s">
        <v>35</v>
      </c>
      <c r="M35" s="27" t="s">
        <v>36</v>
      </c>
      <c r="N35" s="17">
        <f t="shared" si="2"/>
        <v>45733</v>
      </c>
      <c r="O35" s="13" t="s">
        <v>34</v>
      </c>
      <c r="P35" s="13" t="s">
        <v>87</v>
      </c>
      <c r="Q35" s="13" t="s">
        <v>38</v>
      </c>
      <c r="R35" s="13" t="s">
        <v>195</v>
      </c>
      <c r="S35" s="13" t="s">
        <v>87</v>
      </c>
      <c r="T35" s="28">
        <v>22.85</v>
      </c>
      <c r="U35" s="13" t="s">
        <v>28</v>
      </c>
      <c r="V35" s="13" t="s">
        <v>53</v>
      </c>
      <c r="W35" s="13" t="s">
        <v>85</v>
      </c>
      <c r="X35" s="17">
        <f t="shared" si="3"/>
        <v>45733</v>
      </c>
      <c r="Y35" s="3"/>
    </row>
    <row r="36" spans="1:25" ht="45" customHeight="1">
      <c r="A36" s="3">
        <v>34</v>
      </c>
      <c r="B36" s="13" t="s">
        <v>196</v>
      </c>
      <c r="C36" s="13" t="s">
        <v>26</v>
      </c>
      <c r="D36" s="13" t="s">
        <v>197</v>
      </c>
      <c r="E36" s="13" t="s">
        <v>28</v>
      </c>
      <c r="F36" s="13" t="s">
        <v>29</v>
      </c>
      <c r="G36" s="13" t="s">
        <v>30</v>
      </c>
      <c r="H36" s="13" t="s">
        <v>31</v>
      </c>
      <c r="I36" s="27" t="s">
        <v>198</v>
      </c>
      <c r="J36" s="27" t="s">
        <v>33</v>
      </c>
      <c r="K36" s="27" t="s">
        <v>34</v>
      </c>
      <c r="L36" s="27" t="s">
        <v>35</v>
      </c>
      <c r="M36" s="27" t="s">
        <v>36</v>
      </c>
      <c r="N36" s="17">
        <f t="shared" si="2"/>
        <v>45733</v>
      </c>
      <c r="O36" s="13" t="s">
        <v>34</v>
      </c>
      <c r="P36" s="13" t="s">
        <v>37</v>
      </c>
      <c r="Q36" s="13" t="s">
        <v>38</v>
      </c>
      <c r="R36" s="13" t="s">
        <v>199</v>
      </c>
      <c r="S36" s="13" t="s">
        <v>37</v>
      </c>
      <c r="T36" s="28">
        <v>27.53</v>
      </c>
      <c r="U36" s="13" t="s">
        <v>28</v>
      </c>
      <c r="V36" s="13" t="s">
        <v>40</v>
      </c>
      <c r="W36" s="13" t="s">
        <v>30</v>
      </c>
      <c r="X36" s="17">
        <f t="shared" si="3"/>
        <v>45733</v>
      </c>
      <c r="Y36" s="3"/>
    </row>
    <row r="37" spans="1:25" ht="45" customHeight="1">
      <c r="A37" s="3">
        <v>35</v>
      </c>
      <c r="B37" s="13" t="s">
        <v>200</v>
      </c>
      <c r="C37" s="13" t="s">
        <v>103</v>
      </c>
      <c r="D37" s="13" t="s">
        <v>201</v>
      </c>
      <c r="E37" s="13" t="s">
        <v>28</v>
      </c>
      <c r="F37" s="13" t="s">
        <v>29</v>
      </c>
      <c r="G37" s="13" t="s">
        <v>56</v>
      </c>
      <c r="H37" s="13" t="s">
        <v>31</v>
      </c>
      <c r="I37" s="27" t="s">
        <v>202</v>
      </c>
      <c r="J37" s="27" t="s">
        <v>33</v>
      </c>
      <c r="K37" s="27" t="s">
        <v>106</v>
      </c>
      <c r="L37" s="27" t="s">
        <v>35</v>
      </c>
      <c r="M37" s="27" t="s">
        <v>36</v>
      </c>
      <c r="N37" s="17">
        <f t="shared" si="2"/>
        <v>45733</v>
      </c>
      <c r="O37" s="13" t="s">
        <v>34</v>
      </c>
      <c r="P37" s="13" t="s">
        <v>203</v>
      </c>
      <c r="Q37" s="13" t="s">
        <v>38</v>
      </c>
      <c r="R37" s="13" t="s">
        <v>204</v>
      </c>
      <c r="S37" s="13" t="s">
        <v>58</v>
      </c>
      <c r="T37" s="28">
        <v>26.18</v>
      </c>
      <c r="U37" s="13" t="s">
        <v>28</v>
      </c>
      <c r="V37" s="13" t="s">
        <v>89</v>
      </c>
      <c r="W37" s="13" t="s">
        <v>56</v>
      </c>
      <c r="X37" s="17">
        <f t="shared" si="3"/>
        <v>45733</v>
      </c>
      <c r="Y37" s="3"/>
    </row>
    <row r="38" spans="1:25" ht="45" customHeight="1">
      <c r="A38" s="3">
        <v>36</v>
      </c>
      <c r="B38" s="13" t="s">
        <v>205</v>
      </c>
      <c r="C38" s="13" t="s">
        <v>103</v>
      </c>
      <c r="D38" s="13" t="s">
        <v>206</v>
      </c>
      <c r="E38" s="13" t="s">
        <v>28</v>
      </c>
      <c r="F38" s="13" t="s">
        <v>29</v>
      </c>
      <c r="G38" s="13" t="s">
        <v>56</v>
      </c>
      <c r="H38" s="13" t="s">
        <v>31</v>
      </c>
      <c r="I38" s="27" t="s">
        <v>207</v>
      </c>
      <c r="J38" s="27" t="s">
        <v>33</v>
      </c>
      <c r="K38" s="27" t="s">
        <v>106</v>
      </c>
      <c r="L38" s="27" t="s">
        <v>208</v>
      </c>
      <c r="M38" s="27" t="s">
        <v>209</v>
      </c>
      <c r="N38" s="17">
        <f t="shared" si="2"/>
        <v>45733</v>
      </c>
      <c r="O38" s="13" t="s">
        <v>34</v>
      </c>
      <c r="P38" s="13" t="s">
        <v>58</v>
      </c>
      <c r="Q38" s="13" t="s">
        <v>38</v>
      </c>
      <c r="R38" s="13" t="s">
        <v>210</v>
      </c>
      <c r="S38" s="13" t="s">
        <v>58</v>
      </c>
      <c r="T38" s="28">
        <v>26.25</v>
      </c>
      <c r="U38" s="13" t="s">
        <v>28</v>
      </c>
      <c r="V38" s="13" t="s">
        <v>40</v>
      </c>
      <c r="W38" s="13" t="s">
        <v>56</v>
      </c>
      <c r="X38" s="17">
        <f t="shared" si="3"/>
        <v>45733</v>
      </c>
      <c r="Y38" s="3"/>
    </row>
    <row r="39" spans="1:25" ht="45" customHeight="1">
      <c r="A39" s="3">
        <v>37</v>
      </c>
      <c r="B39" s="13" t="s">
        <v>211</v>
      </c>
      <c r="C39" s="13" t="s">
        <v>103</v>
      </c>
      <c r="D39" s="13" t="s">
        <v>212</v>
      </c>
      <c r="E39" s="13" t="s">
        <v>28</v>
      </c>
      <c r="F39" s="13" t="s">
        <v>29</v>
      </c>
      <c r="G39" s="13" t="s">
        <v>72</v>
      </c>
      <c r="H39" s="13" t="s">
        <v>31</v>
      </c>
      <c r="I39" s="27" t="s">
        <v>213</v>
      </c>
      <c r="J39" s="27" t="s">
        <v>33</v>
      </c>
      <c r="K39" s="27" t="s">
        <v>106</v>
      </c>
      <c r="L39" s="27" t="s">
        <v>35</v>
      </c>
      <c r="M39" s="27" t="s">
        <v>36</v>
      </c>
      <c r="N39" s="17">
        <f t="shared" si="2"/>
        <v>45733</v>
      </c>
      <c r="O39" s="13" t="s">
        <v>34</v>
      </c>
      <c r="P39" s="13" t="s">
        <v>74</v>
      </c>
      <c r="Q39" s="13" t="s">
        <v>38</v>
      </c>
      <c r="R39" s="13" t="s">
        <v>214</v>
      </c>
      <c r="S39" s="13" t="s">
        <v>74</v>
      </c>
      <c r="T39" s="28">
        <v>25.93</v>
      </c>
      <c r="U39" s="13" t="s">
        <v>28</v>
      </c>
      <c r="V39" s="13" t="s">
        <v>40</v>
      </c>
      <c r="W39" s="13" t="s">
        <v>72</v>
      </c>
      <c r="X39" s="17">
        <f t="shared" si="3"/>
        <v>45733</v>
      </c>
      <c r="Y39" s="3"/>
    </row>
    <row r="40" spans="1:25" ht="45" customHeight="1">
      <c r="A40" s="3">
        <v>38</v>
      </c>
      <c r="B40" s="13" t="s">
        <v>215</v>
      </c>
      <c r="C40" s="13" t="s">
        <v>103</v>
      </c>
      <c r="D40" s="13" t="s">
        <v>216</v>
      </c>
      <c r="E40" s="13" t="s">
        <v>28</v>
      </c>
      <c r="F40" s="13" t="s">
        <v>29</v>
      </c>
      <c r="G40" s="13" t="s">
        <v>79</v>
      </c>
      <c r="H40" s="13" t="s">
        <v>31</v>
      </c>
      <c r="I40" s="27" t="s">
        <v>217</v>
      </c>
      <c r="J40" s="27" t="s">
        <v>33</v>
      </c>
      <c r="K40" s="27" t="s">
        <v>106</v>
      </c>
      <c r="L40" s="27" t="s">
        <v>35</v>
      </c>
      <c r="M40" s="27" t="s">
        <v>36</v>
      </c>
      <c r="N40" s="17">
        <f t="shared" si="2"/>
        <v>45733</v>
      </c>
      <c r="O40" s="13" t="s">
        <v>34</v>
      </c>
      <c r="P40" s="13" t="s">
        <v>81</v>
      </c>
      <c r="Q40" s="13" t="s">
        <v>38</v>
      </c>
      <c r="R40" s="13" t="s">
        <v>218</v>
      </c>
      <c r="S40" s="13" t="s">
        <v>81</v>
      </c>
      <c r="T40" s="28">
        <v>21.26</v>
      </c>
      <c r="U40" s="13" t="s">
        <v>28</v>
      </c>
      <c r="V40" s="13" t="s">
        <v>76</v>
      </c>
      <c r="W40" s="13" t="s">
        <v>79</v>
      </c>
      <c r="X40" s="17">
        <f t="shared" si="3"/>
        <v>45733</v>
      </c>
      <c r="Y40" s="3"/>
    </row>
    <row r="41" spans="1:25" ht="45" customHeight="1">
      <c r="A41" s="3">
        <v>39</v>
      </c>
      <c r="B41" s="13" t="s">
        <v>219</v>
      </c>
      <c r="C41" s="13" t="s">
        <v>103</v>
      </c>
      <c r="D41" s="13" t="s">
        <v>220</v>
      </c>
      <c r="E41" s="13" t="s">
        <v>28</v>
      </c>
      <c r="F41" s="13" t="s">
        <v>29</v>
      </c>
      <c r="G41" s="13" t="s">
        <v>72</v>
      </c>
      <c r="H41" s="13" t="s">
        <v>31</v>
      </c>
      <c r="I41" s="27" t="s">
        <v>221</v>
      </c>
      <c r="J41" s="27" t="s">
        <v>33</v>
      </c>
      <c r="K41" s="27" t="s">
        <v>106</v>
      </c>
      <c r="L41" s="27" t="s">
        <v>35</v>
      </c>
      <c r="M41" s="27" t="s">
        <v>36</v>
      </c>
      <c r="N41" s="17">
        <f t="shared" si="2"/>
        <v>45733</v>
      </c>
      <c r="O41" s="13" t="s">
        <v>34</v>
      </c>
      <c r="P41" s="13" t="s">
        <v>74</v>
      </c>
      <c r="Q41" s="13" t="s">
        <v>38</v>
      </c>
      <c r="R41" s="13" t="s">
        <v>222</v>
      </c>
      <c r="S41" s="13" t="s">
        <v>74</v>
      </c>
      <c r="T41" s="28">
        <v>25.54</v>
      </c>
      <c r="U41" s="13" t="s">
        <v>28</v>
      </c>
      <c r="V41" s="13" t="s">
        <v>40</v>
      </c>
      <c r="W41" s="13" t="s">
        <v>72</v>
      </c>
      <c r="X41" s="17">
        <f t="shared" si="3"/>
        <v>45733</v>
      </c>
      <c r="Y41" s="3"/>
    </row>
    <row r="42" spans="1:25" ht="45" customHeight="1">
      <c r="A42" s="3">
        <v>40</v>
      </c>
      <c r="B42" s="13" t="s">
        <v>223</v>
      </c>
      <c r="C42" s="13" t="s">
        <v>103</v>
      </c>
      <c r="D42" s="13" t="s">
        <v>224</v>
      </c>
      <c r="E42" s="13" t="s">
        <v>28</v>
      </c>
      <c r="F42" s="13" t="s">
        <v>29</v>
      </c>
      <c r="G42" s="13" t="s">
        <v>56</v>
      </c>
      <c r="H42" s="13" t="s">
        <v>31</v>
      </c>
      <c r="I42" s="27" t="s">
        <v>225</v>
      </c>
      <c r="J42" s="27" t="s">
        <v>33</v>
      </c>
      <c r="K42" s="27" t="s">
        <v>106</v>
      </c>
      <c r="L42" s="27" t="s">
        <v>35</v>
      </c>
      <c r="M42" s="27" t="s">
        <v>36</v>
      </c>
      <c r="N42" s="17">
        <f t="shared" si="2"/>
        <v>45733</v>
      </c>
      <c r="O42" s="13" t="s">
        <v>34</v>
      </c>
      <c r="P42" s="13" t="s">
        <v>203</v>
      </c>
      <c r="Q42" s="13" t="s">
        <v>38</v>
      </c>
      <c r="R42" s="13" t="s">
        <v>226</v>
      </c>
      <c r="S42" s="13" t="s">
        <v>58</v>
      </c>
      <c r="T42" s="28">
        <v>24.89</v>
      </c>
      <c r="U42" s="13" t="s">
        <v>28</v>
      </c>
      <c r="V42" s="13" t="s">
        <v>89</v>
      </c>
      <c r="W42" s="13" t="s">
        <v>56</v>
      </c>
      <c r="X42" s="17">
        <f t="shared" si="3"/>
        <v>45733</v>
      </c>
      <c r="Y42" s="3"/>
    </row>
    <row r="43" spans="1:25" ht="45" customHeight="1">
      <c r="A43" s="3">
        <v>41</v>
      </c>
      <c r="B43" s="13" t="s">
        <v>227</v>
      </c>
      <c r="C43" s="13" t="s">
        <v>103</v>
      </c>
      <c r="D43" s="13" t="s">
        <v>228</v>
      </c>
      <c r="E43" s="13" t="s">
        <v>28</v>
      </c>
      <c r="F43" s="13" t="s">
        <v>29</v>
      </c>
      <c r="G43" s="13" t="s">
        <v>85</v>
      </c>
      <c r="H43" s="13" t="s">
        <v>31</v>
      </c>
      <c r="I43" s="27" t="s">
        <v>229</v>
      </c>
      <c r="J43" s="27" t="s">
        <v>33</v>
      </c>
      <c r="K43" s="27" t="s">
        <v>106</v>
      </c>
      <c r="L43" s="27" t="s">
        <v>35</v>
      </c>
      <c r="M43" s="27" t="s">
        <v>36</v>
      </c>
      <c r="N43" s="17">
        <f t="shared" si="2"/>
        <v>45733</v>
      </c>
      <c r="O43" s="13" t="s">
        <v>34</v>
      </c>
      <c r="P43" s="13" t="s">
        <v>230</v>
      </c>
      <c r="Q43" s="13" t="s">
        <v>38</v>
      </c>
      <c r="R43" s="13" t="s">
        <v>231</v>
      </c>
      <c r="S43" s="13" t="s">
        <v>87</v>
      </c>
      <c r="T43" s="28">
        <v>19.47</v>
      </c>
      <c r="U43" s="13" t="s">
        <v>28</v>
      </c>
      <c r="V43" s="13" t="s">
        <v>146</v>
      </c>
      <c r="W43" s="13" t="s">
        <v>85</v>
      </c>
      <c r="X43" s="17">
        <f t="shared" si="3"/>
        <v>45733</v>
      </c>
      <c r="Y43" s="3"/>
    </row>
    <row r="44" spans="1:25" ht="45" customHeight="1">
      <c r="A44" s="3">
        <v>42</v>
      </c>
      <c r="B44" s="13" t="s">
        <v>232</v>
      </c>
      <c r="C44" s="13" t="s">
        <v>103</v>
      </c>
      <c r="D44" s="13" t="s">
        <v>233</v>
      </c>
      <c r="E44" s="13" t="s">
        <v>28</v>
      </c>
      <c r="F44" s="13" t="s">
        <v>29</v>
      </c>
      <c r="G44" s="13" t="s">
        <v>56</v>
      </c>
      <c r="H44" s="13" t="s">
        <v>31</v>
      </c>
      <c r="I44" s="27" t="s">
        <v>234</v>
      </c>
      <c r="J44" s="27" t="s">
        <v>33</v>
      </c>
      <c r="K44" s="27" t="s">
        <v>106</v>
      </c>
      <c r="L44" s="27" t="s">
        <v>35</v>
      </c>
      <c r="M44" s="27" t="s">
        <v>36</v>
      </c>
      <c r="N44" s="17">
        <f t="shared" si="2"/>
        <v>45733</v>
      </c>
      <c r="O44" s="13" t="s">
        <v>34</v>
      </c>
      <c r="P44" s="13" t="s">
        <v>203</v>
      </c>
      <c r="Q44" s="13" t="s">
        <v>38</v>
      </c>
      <c r="R44" s="13" t="s">
        <v>235</v>
      </c>
      <c r="S44" s="13" t="s">
        <v>58</v>
      </c>
      <c r="T44" s="28">
        <v>28.48</v>
      </c>
      <c r="U44" s="13" t="s">
        <v>28</v>
      </c>
      <c r="V44" s="13" t="s">
        <v>89</v>
      </c>
      <c r="W44" s="13" t="s">
        <v>56</v>
      </c>
      <c r="X44" s="17">
        <f t="shared" si="3"/>
        <v>45733</v>
      </c>
      <c r="Y44" s="3"/>
    </row>
    <row r="45" spans="1:25" ht="45" customHeight="1">
      <c r="A45" s="3">
        <v>43</v>
      </c>
      <c r="B45" s="13" t="s">
        <v>236</v>
      </c>
      <c r="C45" s="13" t="s">
        <v>26</v>
      </c>
      <c r="D45" s="13" t="s">
        <v>237</v>
      </c>
      <c r="E45" s="13" t="s">
        <v>28</v>
      </c>
      <c r="F45" s="13" t="s">
        <v>29</v>
      </c>
      <c r="G45" s="13" t="s">
        <v>56</v>
      </c>
      <c r="H45" s="13" t="s">
        <v>31</v>
      </c>
      <c r="I45" s="27" t="s">
        <v>238</v>
      </c>
      <c r="J45" s="27" t="s">
        <v>33</v>
      </c>
      <c r="K45" s="27" t="s">
        <v>34</v>
      </c>
      <c r="L45" s="27" t="s">
        <v>35</v>
      </c>
      <c r="M45" s="27" t="s">
        <v>36</v>
      </c>
      <c r="N45" s="17">
        <f t="shared" si="2"/>
        <v>45733</v>
      </c>
      <c r="O45" s="13" t="s">
        <v>34</v>
      </c>
      <c r="P45" s="13" t="s">
        <v>58</v>
      </c>
      <c r="Q45" s="13" t="s">
        <v>38</v>
      </c>
      <c r="R45" s="13" t="s">
        <v>239</v>
      </c>
      <c r="S45" s="13" t="s">
        <v>58</v>
      </c>
      <c r="T45" s="28">
        <v>18.34</v>
      </c>
      <c r="U45" s="13" t="s">
        <v>28</v>
      </c>
      <c r="V45" s="13" t="s">
        <v>146</v>
      </c>
      <c r="W45" s="13" t="s">
        <v>56</v>
      </c>
      <c r="X45" s="17">
        <f t="shared" si="3"/>
        <v>45733</v>
      </c>
      <c r="Y45" s="3"/>
    </row>
    <row r="46" spans="1:25" ht="45" customHeight="1">
      <c r="A46" s="3">
        <v>44</v>
      </c>
      <c r="B46" s="13" t="s">
        <v>240</v>
      </c>
      <c r="C46" s="13" t="s">
        <v>26</v>
      </c>
      <c r="D46" s="13" t="s">
        <v>241</v>
      </c>
      <c r="E46" s="13" t="s">
        <v>28</v>
      </c>
      <c r="F46" s="13" t="s">
        <v>29</v>
      </c>
      <c r="G46" s="13" t="s">
        <v>79</v>
      </c>
      <c r="H46" s="13" t="s">
        <v>31</v>
      </c>
      <c r="I46" s="27" t="s">
        <v>242</v>
      </c>
      <c r="J46" s="27" t="s">
        <v>33</v>
      </c>
      <c r="K46" s="27" t="s">
        <v>34</v>
      </c>
      <c r="L46" s="27" t="s">
        <v>35</v>
      </c>
      <c r="M46" s="27" t="s">
        <v>36</v>
      </c>
      <c r="N46" s="17">
        <f t="shared" si="2"/>
        <v>45733</v>
      </c>
      <c r="O46" s="13" t="s">
        <v>34</v>
      </c>
      <c r="P46" s="13" t="s">
        <v>81</v>
      </c>
      <c r="Q46" s="13" t="s">
        <v>38</v>
      </c>
      <c r="R46" s="13" t="s">
        <v>243</v>
      </c>
      <c r="S46" s="13" t="s">
        <v>81</v>
      </c>
      <c r="T46" s="28">
        <v>21.22</v>
      </c>
      <c r="U46" s="13" t="s">
        <v>28</v>
      </c>
      <c r="V46" s="13" t="s">
        <v>40</v>
      </c>
      <c r="W46" s="13" t="s">
        <v>79</v>
      </c>
      <c r="X46" s="17">
        <f t="shared" si="3"/>
        <v>45733</v>
      </c>
      <c r="Y46" s="3"/>
    </row>
    <row r="47" spans="1:25" ht="45" customHeight="1">
      <c r="A47" s="3">
        <v>45</v>
      </c>
      <c r="B47" s="13" t="s">
        <v>244</v>
      </c>
      <c r="C47" s="13" t="s">
        <v>26</v>
      </c>
      <c r="D47" s="13" t="s">
        <v>245</v>
      </c>
      <c r="E47" s="13" t="s">
        <v>28</v>
      </c>
      <c r="F47" s="13" t="s">
        <v>29</v>
      </c>
      <c r="G47" s="13" t="s">
        <v>85</v>
      </c>
      <c r="H47" s="13" t="s">
        <v>31</v>
      </c>
      <c r="I47" s="27" t="s">
        <v>246</v>
      </c>
      <c r="J47" s="27" t="s">
        <v>33</v>
      </c>
      <c r="K47" s="27" t="s">
        <v>34</v>
      </c>
      <c r="L47" s="27" t="s">
        <v>35</v>
      </c>
      <c r="M47" s="27" t="s">
        <v>36</v>
      </c>
      <c r="N47" s="17">
        <f t="shared" si="2"/>
        <v>45733</v>
      </c>
      <c r="O47" s="13" t="s">
        <v>34</v>
      </c>
      <c r="P47" s="13" t="s">
        <v>87</v>
      </c>
      <c r="Q47" s="13" t="s">
        <v>38</v>
      </c>
      <c r="R47" s="13" t="s">
        <v>247</v>
      </c>
      <c r="S47" s="13" t="s">
        <v>87</v>
      </c>
      <c r="T47" s="28">
        <v>20.63</v>
      </c>
      <c r="U47" s="13" t="s">
        <v>28</v>
      </c>
      <c r="V47" s="13" t="s">
        <v>89</v>
      </c>
      <c r="W47" s="13" t="s">
        <v>85</v>
      </c>
      <c r="X47" s="17">
        <f t="shared" si="3"/>
        <v>45733</v>
      </c>
      <c r="Y47" s="3"/>
    </row>
    <row r="48" spans="1:25" ht="45" customHeight="1">
      <c r="A48" s="3">
        <v>46</v>
      </c>
      <c r="B48" s="13" t="s">
        <v>248</v>
      </c>
      <c r="C48" s="13" t="s">
        <v>26</v>
      </c>
      <c r="D48" s="13" t="s">
        <v>249</v>
      </c>
      <c r="E48" s="13" t="s">
        <v>28</v>
      </c>
      <c r="F48" s="13" t="s">
        <v>29</v>
      </c>
      <c r="G48" s="13" t="s">
        <v>43</v>
      </c>
      <c r="H48" s="13" t="s">
        <v>31</v>
      </c>
      <c r="I48" s="27" t="s">
        <v>250</v>
      </c>
      <c r="J48" s="27" t="s">
        <v>33</v>
      </c>
      <c r="K48" s="27" t="s">
        <v>34</v>
      </c>
      <c r="L48" s="27" t="s">
        <v>35</v>
      </c>
      <c r="M48" s="27" t="s">
        <v>36</v>
      </c>
      <c r="N48" s="17">
        <f t="shared" si="2"/>
        <v>45733</v>
      </c>
      <c r="O48" s="13" t="s">
        <v>34</v>
      </c>
      <c r="P48" s="13" t="s">
        <v>37</v>
      </c>
      <c r="Q48" s="13" t="s">
        <v>38</v>
      </c>
      <c r="R48" s="13" t="s">
        <v>251</v>
      </c>
      <c r="S48" s="13" t="s">
        <v>37</v>
      </c>
      <c r="T48" s="28">
        <v>27.29</v>
      </c>
      <c r="U48" s="13" t="s">
        <v>28</v>
      </c>
      <c r="V48" s="13" t="s">
        <v>40</v>
      </c>
      <c r="W48" s="13" t="s">
        <v>43</v>
      </c>
      <c r="X48" s="17">
        <f t="shared" si="3"/>
        <v>45733</v>
      </c>
      <c r="Y48" s="3"/>
    </row>
    <row r="49" spans="1:25" ht="45" customHeight="1">
      <c r="A49" s="3">
        <v>47</v>
      </c>
      <c r="B49" s="13" t="s">
        <v>252</v>
      </c>
      <c r="C49" s="13" t="s">
        <v>26</v>
      </c>
      <c r="D49" s="13" t="s">
        <v>253</v>
      </c>
      <c r="E49" s="13" t="s">
        <v>28</v>
      </c>
      <c r="F49" s="13" t="s">
        <v>29</v>
      </c>
      <c r="G49" s="13" t="s">
        <v>85</v>
      </c>
      <c r="H49" s="13" t="s">
        <v>31</v>
      </c>
      <c r="I49" s="27" t="s">
        <v>254</v>
      </c>
      <c r="J49" s="27" t="s">
        <v>33</v>
      </c>
      <c r="K49" s="27" t="s">
        <v>34</v>
      </c>
      <c r="L49" s="27" t="s">
        <v>35</v>
      </c>
      <c r="M49" s="27" t="s">
        <v>36</v>
      </c>
      <c r="N49" s="17">
        <f t="shared" si="2"/>
        <v>45733</v>
      </c>
      <c r="O49" s="13" t="s">
        <v>34</v>
      </c>
      <c r="P49" s="13" t="s">
        <v>230</v>
      </c>
      <c r="Q49" s="13" t="s">
        <v>38</v>
      </c>
      <c r="R49" s="13" t="s">
        <v>255</v>
      </c>
      <c r="S49" s="13" t="s">
        <v>87</v>
      </c>
      <c r="T49" s="28">
        <v>24.95</v>
      </c>
      <c r="U49" s="13" t="s">
        <v>28</v>
      </c>
      <c r="V49" s="13" t="s">
        <v>146</v>
      </c>
      <c r="W49" s="13" t="s">
        <v>85</v>
      </c>
      <c r="X49" s="17">
        <f t="shared" si="3"/>
        <v>45733</v>
      </c>
      <c r="Y49" s="3"/>
    </row>
    <row r="50" spans="1:25" ht="45" customHeight="1">
      <c r="A50" s="3">
        <v>48</v>
      </c>
      <c r="B50" s="13" t="s">
        <v>256</v>
      </c>
      <c r="C50" s="13" t="s">
        <v>26</v>
      </c>
      <c r="D50" s="13" t="s">
        <v>257</v>
      </c>
      <c r="E50" s="13" t="s">
        <v>28</v>
      </c>
      <c r="F50" s="13" t="s">
        <v>29</v>
      </c>
      <c r="G50" s="13" t="s">
        <v>43</v>
      </c>
      <c r="H50" s="13" t="s">
        <v>31</v>
      </c>
      <c r="I50" s="27" t="s">
        <v>258</v>
      </c>
      <c r="J50" s="27" t="s">
        <v>33</v>
      </c>
      <c r="K50" s="27" t="s">
        <v>34</v>
      </c>
      <c r="L50" s="27" t="s">
        <v>35</v>
      </c>
      <c r="M50" s="27" t="s">
        <v>36</v>
      </c>
      <c r="N50" s="17">
        <f t="shared" si="2"/>
        <v>45733</v>
      </c>
      <c r="O50" s="13" t="s">
        <v>34</v>
      </c>
      <c r="P50" s="13" t="s">
        <v>37</v>
      </c>
      <c r="Q50" s="13" t="s">
        <v>38</v>
      </c>
      <c r="R50" s="13" t="s">
        <v>259</v>
      </c>
      <c r="S50" s="13" t="s">
        <v>37</v>
      </c>
      <c r="T50" s="28">
        <v>23.58</v>
      </c>
      <c r="U50" s="13" t="s">
        <v>28</v>
      </c>
      <c r="V50" s="13" t="s">
        <v>76</v>
      </c>
      <c r="W50" s="13" t="s">
        <v>43</v>
      </c>
      <c r="X50" s="17">
        <f t="shared" si="3"/>
        <v>45733</v>
      </c>
      <c r="Y50" s="3"/>
    </row>
    <row r="51" spans="1:25" ht="45" customHeight="1">
      <c r="A51" s="3">
        <v>49</v>
      </c>
      <c r="B51" s="13" t="s">
        <v>260</v>
      </c>
      <c r="C51" s="13" t="s">
        <v>26</v>
      </c>
      <c r="D51" s="13" t="s">
        <v>261</v>
      </c>
      <c r="E51" s="13" t="s">
        <v>28</v>
      </c>
      <c r="F51" s="13" t="s">
        <v>29</v>
      </c>
      <c r="G51" s="13" t="s">
        <v>79</v>
      </c>
      <c r="H51" s="13" t="s">
        <v>31</v>
      </c>
      <c r="I51" s="27" t="s">
        <v>262</v>
      </c>
      <c r="J51" s="27" t="s">
        <v>33</v>
      </c>
      <c r="K51" s="27" t="s">
        <v>34</v>
      </c>
      <c r="L51" s="27" t="s">
        <v>35</v>
      </c>
      <c r="M51" s="27" t="s">
        <v>36</v>
      </c>
      <c r="N51" s="17">
        <f t="shared" si="2"/>
        <v>45733</v>
      </c>
      <c r="O51" s="13" t="s">
        <v>34</v>
      </c>
      <c r="P51" s="13" t="s">
        <v>263</v>
      </c>
      <c r="Q51" s="13" t="s">
        <v>38</v>
      </c>
      <c r="R51" s="13" t="s">
        <v>264</v>
      </c>
      <c r="S51" s="13" t="s">
        <v>81</v>
      </c>
      <c r="T51" s="28">
        <v>24.07</v>
      </c>
      <c r="U51" s="13" t="s">
        <v>28</v>
      </c>
      <c r="V51" s="13" t="s">
        <v>53</v>
      </c>
      <c r="W51" s="13" t="s">
        <v>79</v>
      </c>
      <c r="X51" s="17">
        <f t="shared" si="3"/>
        <v>45733</v>
      </c>
      <c r="Y51" s="3"/>
    </row>
    <row r="52" spans="1:25" ht="45" customHeight="1">
      <c r="A52" s="3">
        <v>50</v>
      </c>
      <c r="B52" s="13" t="s">
        <v>265</v>
      </c>
      <c r="C52" s="13" t="s">
        <v>26</v>
      </c>
      <c r="D52" s="13" t="s">
        <v>266</v>
      </c>
      <c r="E52" s="13" t="s">
        <v>28</v>
      </c>
      <c r="F52" s="13" t="s">
        <v>29</v>
      </c>
      <c r="G52" s="13" t="s">
        <v>48</v>
      </c>
      <c r="H52" s="13" t="s">
        <v>31</v>
      </c>
      <c r="I52" s="27" t="s">
        <v>267</v>
      </c>
      <c r="J52" s="27" t="s">
        <v>33</v>
      </c>
      <c r="K52" s="27" t="s">
        <v>34</v>
      </c>
      <c r="L52" s="27" t="s">
        <v>35</v>
      </c>
      <c r="M52" s="27" t="s">
        <v>36</v>
      </c>
      <c r="N52" s="17">
        <f t="shared" si="2"/>
        <v>45733</v>
      </c>
      <c r="O52" s="13" t="s">
        <v>34</v>
      </c>
      <c r="P52" s="13" t="s">
        <v>52</v>
      </c>
      <c r="Q52" s="13" t="s">
        <v>38</v>
      </c>
      <c r="R52" s="13" t="s">
        <v>268</v>
      </c>
      <c r="S52" s="13" t="s">
        <v>52</v>
      </c>
      <c r="T52" s="28">
        <v>20.47</v>
      </c>
      <c r="U52" s="13" t="s">
        <v>28</v>
      </c>
      <c r="V52" s="13" t="s">
        <v>146</v>
      </c>
      <c r="W52" s="13" t="s">
        <v>48</v>
      </c>
      <c r="X52" s="17">
        <f t="shared" si="3"/>
        <v>45733</v>
      </c>
      <c r="Y52" s="3"/>
    </row>
    <row r="53" spans="1:25" ht="45" customHeight="1">
      <c r="A53" s="3">
        <v>51</v>
      </c>
      <c r="B53" s="13" t="s">
        <v>269</v>
      </c>
      <c r="C53" s="13" t="s">
        <v>26</v>
      </c>
      <c r="D53" s="13" t="s">
        <v>270</v>
      </c>
      <c r="E53" s="13" t="s">
        <v>28</v>
      </c>
      <c r="F53" s="13" t="s">
        <v>29</v>
      </c>
      <c r="G53" s="13" t="s">
        <v>79</v>
      </c>
      <c r="H53" s="13" t="s">
        <v>31</v>
      </c>
      <c r="I53" s="27" t="s">
        <v>271</v>
      </c>
      <c r="J53" s="27" t="s">
        <v>33</v>
      </c>
      <c r="K53" s="27" t="s">
        <v>34</v>
      </c>
      <c r="L53" s="27" t="s">
        <v>35</v>
      </c>
      <c r="M53" s="27" t="s">
        <v>36</v>
      </c>
      <c r="N53" s="17">
        <f t="shared" si="2"/>
        <v>45733</v>
      </c>
      <c r="O53" s="13" t="s">
        <v>34</v>
      </c>
      <c r="P53" s="13" t="s">
        <v>81</v>
      </c>
      <c r="Q53" s="13" t="s">
        <v>38</v>
      </c>
      <c r="R53" s="13" t="s">
        <v>272</v>
      </c>
      <c r="S53" s="13" t="s">
        <v>81</v>
      </c>
      <c r="T53" s="28">
        <v>21.52</v>
      </c>
      <c r="U53" s="13" t="s">
        <v>28</v>
      </c>
      <c r="V53" s="13" t="s">
        <v>40</v>
      </c>
      <c r="W53" s="13" t="s">
        <v>79</v>
      </c>
      <c r="X53" s="17">
        <f t="shared" si="3"/>
        <v>45733</v>
      </c>
      <c r="Y53" s="3"/>
    </row>
    <row r="54" spans="1:25" ht="45" customHeight="1">
      <c r="A54" s="3">
        <v>52</v>
      </c>
      <c r="B54" s="13" t="s">
        <v>273</v>
      </c>
      <c r="C54" s="13" t="s">
        <v>26</v>
      </c>
      <c r="D54" s="13" t="s">
        <v>274</v>
      </c>
      <c r="E54" s="13" t="s">
        <v>28</v>
      </c>
      <c r="F54" s="13" t="s">
        <v>29</v>
      </c>
      <c r="G54" s="13" t="s">
        <v>56</v>
      </c>
      <c r="H54" s="13" t="s">
        <v>31</v>
      </c>
      <c r="I54" s="27" t="s">
        <v>275</v>
      </c>
      <c r="J54" s="27" t="s">
        <v>33</v>
      </c>
      <c r="K54" s="27" t="s">
        <v>34</v>
      </c>
      <c r="L54" s="27" t="s">
        <v>35</v>
      </c>
      <c r="M54" s="27" t="s">
        <v>36</v>
      </c>
      <c r="N54" s="17">
        <f t="shared" si="2"/>
        <v>45733</v>
      </c>
      <c r="O54" s="13" t="s">
        <v>34</v>
      </c>
      <c r="P54" s="13" t="s">
        <v>58</v>
      </c>
      <c r="Q54" s="13" t="s">
        <v>38</v>
      </c>
      <c r="R54" s="13" t="s">
        <v>276</v>
      </c>
      <c r="S54" s="13" t="s">
        <v>58</v>
      </c>
      <c r="T54" s="28">
        <v>21.91</v>
      </c>
      <c r="U54" s="13" t="s">
        <v>28</v>
      </c>
      <c r="V54" s="13" t="s">
        <v>40</v>
      </c>
      <c r="W54" s="13" t="s">
        <v>56</v>
      </c>
      <c r="X54" s="17">
        <f t="shared" si="3"/>
        <v>45733</v>
      </c>
      <c r="Y54" s="3"/>
    </row>
    <row r="55" spans="1:25" ht="45" customHeight="1">
      <c r="A55" s="3">
        <v>53</v>
      </c>
      <c r="B55" s="13" t="s">
        <v>277</v>
      </c>
      <c r="C55" s="13" t="s">
        <v>26</v>
      </c>
      <c r="D55" s="13" t="s">
        <v>278</v>
      </c>
      <c r="E55" s="13" t="s">
        <v>28</v>
      </c>
      <c r="F55" s="13" t="s">
        <v>29</v>
      </c>
      <c r="G55" s="13" t="s">
        <v>79</v>
      </c>
      <c r="H55" s="13" t="s">
        <v>31</v>
      </c>
      <c r="I55" s="27" t="s">
        <v>279</v>
      </c>
      <c r="J55" s="27" t="s">
        <v>33</v>
      </c>
      <c r="K55" s="27" t="s">
        <v>34</v>
      </c>
      <c r="L55" s="27" t="s">
        <v>35</v>
      </c>
      <c r="M55" s="27" t="s">
        <v>36</v>
      </c>
      <c r="N55" s="17">
        <f t="shared" si="2"/>
        <v>45733</v>
      </c>
      <c r="O55" s="13" t="s">
        <v>34</v>
      </c>
      <c r="P55" s="13" t="s">
        <v>81</v>
      </c>
      <c r="Q55" s="13" t="s">
        <v>38</v>
      </c>
      <c r="R55" s="13" t="s">
        <v>280</v>
      </c>
      <c r="S55" s="13" t="s">
        <v>81</v>
      </c>
      <c r="T55" s="28">
        <v>23.99</v>
      </c>
      <c r="U55" s="13" t="s">
        <v>28</v>
      </c>
      <c r="V55" s="13" t="s">
        <v>40</v>
      </c>
      <c r="W55" s="13" t="s">
        <v>79</v>
      </c>
      <c r="X55" s="17">
        <f t="shared" si="3"/>
        <v>45733</v>
      </c>
      <c r="Y55" s="3"/>
    </row>
    <row r="56" spans="1:25" ht="45" customHeight="1">
      <c r="A56" s="3">
        <v>54</v>
      </c>
      <c r="B56" s="13" t="s">
        <v>281</v>
      </c>
      <c r="C56" s="13" t="s">
        <v>26</v>
      </c>
      <c r="D56" s="13" t="s">
        <v>282</v>
      </c>
      <c r="E56" s="13" t="s">
        <v>28</v>
      </c>
      <c r="F56" s="13" t="s">
        <v>29</v>
      </c>
      <c r="G56" s="13" t="s">
        <v>30</v>
      </c>
      <c r="H56" s="13" t="s">
        <v>31</v>
      </c>
      <c r="I56" s="27" t="s">
        <v>283</v>
      </c>
      <c r="J56" s="27" t="s">
        <v>33</v>
      </c>
      <c r="K56" s="27" t="s">
        <v>34</v>
      </c>
      <c r="L56" s="27" t="s">
        <v>35</v>
      </c>
      <c r="M56" s="27" t="s">
        <v>36</v>
      </c>
      <c r="N56" s="17">
        <f t="shared" si="2"/>
        <v>45733</v>
      </c>
      <c r="O56" s="13" t="s">
        <v>34</v>
      </c>
      <c r="P56" s="13" t="s">
        <v>37</v>
      </c>
      <c r="Q56" s="13" t="s">
        <v>38</v>
      </c>
      <c r="R56" s="13" t="s">
        <v>284</v>
      </c>
      <c r="S56" s="13" t="s">
        <v>37</v>
      </c>
      <c r="T56" s="28">
        <v>21.87</v>
      </c>
      <c r="U56" s="13" t="s">
        <v>28</v>
      </c>
      <c r="V56" s="13" t="s">
        <v>76</v>
      </c>
      <c r="W56" s="13" t="s">
        <v>30</v>
      </c>
      <c r="X56" s="17">
        <f t="shared" si="3"/>
        <v>45733</v>
      </c>
      <c r="Y56" s="3"/>
    </row>
    <row r="57" spans="1:25" ht="45" customHeight="1">
      <c r="A57" s="3">
        <v>55</v>
      </c>
      <c r="B57" s="13" t="s">
        <v>285</v>
      </c>
      <c r="C57" s="13" t="s">
        <v>26</v>
      </c>
      <c r="D57" s="13" t="s">
        <v>286</v>
      </c>
      <c r="E57" s="13" t="s">
        <v>28</v>
      </c>
      <c r="F57" s="13" t="s">
        <v>29</v>
      </c>
      <c r="G57" s="13" t="s">
        <v>85</v>
      </c>
      <c r="H57" s="13" t="s">
        <v>31</v>
      </c>
      <c r="I57" s="27" t="s">
        <v>287</v>
      </c>
      <c r="J57" s="27" t="s">
        <v>33</v>
      </c>
      <c r="K57" s="27" t="s">
        <v>34</v>
      </c>
      <c r="L57" s="27" t="s">
        <v>35</v>
      </c>
      <c r="M57" s="27" t="s">
        <v>36</v>
      </c>
      <c r="N57" s="17">
        <f t="shared" si="2"/>
        <v>45733</v>
      </c>
      <c r="O57" s="13" t="s">
        <v>34</v>
      </c>
      <c r="P57" s="13" t="s">
        <v>87</v>
      </c>
      <c r="Q57" s="13" t="s">
        <v>38</v>
      </c>
      <c r="R57" s="13" t="s">
        <v>288</v>
      </c>
      <c r="S57" s="13" t="s">
        <v>87</v>
      </c>
      <c r="T57" s="28">
        <v>25.34</v>
      </c>
      <c r="U57" s="13" t="s">
        <v>28</v>
      </c>
      <c r="V57" s="13" t="s">
        <v>53</v>
      </c>
      <c r="W57" s="13" t="s">
        <v>85</v>
      </c>
      <c r="X57" s="17">
        <f t="shared" si="3"/>
        <v>45733</v>
      </c>
      <c r="Y57" s="3"/>
    </row>
    <row r="58" spans="1:25" ht="45" customHeight="1">
      <c r="A58" s="3">
        <v>56</v>
      </c>
      <c r="B58" s="13" t="s">
        <v>289</v>
      </c>
      <c r="C58" s="13" t="s">
        <v>26</v>
      </c>
      <c r="D58" s="13" t="s">
        <v>290</v>
      </c>
      <c r="E58" s="13" t="s">
        <v>28</v>
      </c>
      <c r="F58" s="13" t="s">
        <v>29</v>
      </c>
      <c r="G58" s="13" t="s">
        <v>72</v>
      </c>
      <c r="H58" s="13" t="s">
        <v>31</v>
      </c>
      <c r="I58" s="27" t="s">
        <v>291</v>
      </c>
      <c r="J58" s="27" t="s">
        <v>33</v>
      </c>
      <c r="K58" s="27" t="s">
        <v>34</v>
      </c>
      <c r="L58" s="27" t="s">
        <v>35</v>
      </c>
      <c r="M58" s="27" t="s">
        <v>36</v>
      </c>
      <c r="N58" s="17">
        <f t="shared" si="2"/>
        <v>45733</v>
      </c>
      <c r="O58" s="13" t="s">
        <v>34</v>
      </c>
      <c r="P58" s="13" t="s">
        <v>74</v>
      </c>
      <c r="Q58" s="13" t="s">
        <v>38</v>
      </c>
      <c r="R58" s="13" t="s">
        <v>292</v>
      </c>
      <c r="S58" s="13" t="s">
        <v>74</v>
      </c>
      <c r="T58" s="28">
        <v>25.18</v>
      </c>
      <c r="U58" s="13" t="s">
        <v>28</v>
      </c>
      <c r="V58" s="13" t="s">
        <v>40</v>
      </c>
      <c r="W58" s="13" t="s">
        <v>72</v>
      </c>
      <c r="X58" s="17">
        <f t="shared" si="3"/>
        <v>45733</v>
      </c>
      <c r="Y58" s="3"/>
    </row>
    <row r="59" spans="1:25" ht="45" customHeight="1">
      <c r="A59" s="3">
        <v>57</v>
      </c>
      <c r="B59" s="13" t="s">
        <v>293</v>
      </c>
      <c r="C59" s="13" t="s">
        <v>26</v>
      </c>
      <c r="D59" s="13" t="s">
        <v>294</v>
      </c>
      <c r="E59" s="13" t="s">
        <v>28</v>
      </c>
      <c r="F59" s="13" t="s">
        <v>29</v>
      </c>
      <c r="G59" s="13" t="s">
        <v>30</v>
      </c>
      <c r="H59" s="13" t="s">
        <v>31</v>
      </c>
      <c r="I59" s="27" t="s">
        <v>295</v>
      </c>
      <c r="J59" s="27" t="s">
        <v>33</v>
      </c>
      <c r="K59" s="27" t="s">
        <v>34</v>
      </c>
      <c r="L59" s="27" t="s">
        <v>35</v>
      </c>
      <c r="M59" s="27" t="s">
        <v>36</v>
      </c>
      <c r="N59" s="17">
        <f t="shared" si="2"/>
        <v>45733</v>
      </c>
      <c r="O59" s="13" t="s">
        <v>34</v>
      </c>
      <c r="P59" s="13" t="s">
        <v>37</v>
      </c>
      <c r="Q59" s="13" t="s">
        <v>38</v>
      </c>
      <c r="R59" s="13" t="s">
        <v>296</v>
      </c>
      <c r="S59" s="13" t="s">
        <v>37</v>
      </c>
      <c r="T59" s="28">
        <v>24.85</v>
      </c>
      <c r="U59" s="13" t="s">
        <v>28</v>
      </c>
      <c r="V59" s="13" t="s">
        <v>76</v>
      </c>
      <c r="W59" s="13" t="s">
        <v>30</v>
      </c>
      <c r="X59" s="17">
        <f t="shared" si="3"/>
        <v>45733</v>
      </c>
      <c r="Y59" s="3"/>
    </row>
    <row r="60" spans="1:25" ht="45" customHeight="1">
      <c r="A60" s="3">
        <v>58</v>
      </c>
      <c r="B60" s="13" t="s">
        <v>297</v>
      </c>
      <c r="C60" s="13" t="s">
        <v>26</v>
      </c>
      <c r="D60" s="13" t="s">
        <v>298</v>
      </c>
      <c r="E60" s="13" t="s">
        <v>28</v>
      </c>
      <c r="F60" s="13" t="s">
        <v>29</v>
      </c>
      <c r="G60" s="13" t="s">
        <v>85</v>
      </c>
      <c r="H60" s="13" t="s">
        <v>31</v>
      </c>
      <c r="I60" s="27" t="s">
        <v>299</v>
      </c>
      <c r="J60" s="27" t="s">
        <v>33</v>
      </c>
      <c r="K60" s="27" t="s">
        <v>34</v>
      </c>
      <c r="L60" s="27" t="s">
        <v>35</v>
      </c>
      <c r="M60" s="27" t="s">
        <v>36</v>
      </c>
      <c r="N60" s="17">
        <f t="shared" si="2"/>
        <v>45733</v>
      </c>
      <c r="O60" s="13" t="s">
        <v>34</v>
      </c>
      <c r="P60" s="13" t="s">
        <v>230</v>
      </c>
      <c r="Q60" s="13" t="s">
        <v>38</v>
      </c>
      <c r="R60" s="13" t="s">
        <v>300</v>
      </c>
      <c r="S60" s="13" t="s">
        <v>87</v>
      </c>
      <c r="T60" s="28">
        <v>28.81</v>
      </c>
      <c r="U60" s="13" t="s">
        <v>28</v>
      </c>
      <c r="V60" s="13" t="s">
        <v>146</v>
      </c>
      <c r="W60" s="13" t="s">
        <v>85</v>
      </c>
      <c r="X60" s="17">
        <f t="shared" si="3"/>
        <v>45733</v>
      </c>
      <c r="Y60" s="3"/>
    </row>
    <row r="61" spans="1:25" ht="45" customHeight="1">
      <c r="A61" s="3">
        <v>59</v>
      </c>
      <c r="B61" s="13" t="s">
        <v>301</v>
      </c>
      <c r="C61" s="13" t="s">
        <v>26</v>
      </c>
      <c r="D61" s="13" t="s">
        <v>302</v>
      </c>
      <c r="E61" s="13" t="s">
        <v>28</v>
      </c>
      <c r="F61" s="13" t="s">
        <v>29</v>
      </c>
      <c r="G61" s="13" t="s">
        <v>30</v>
      </c>
      <c r="H61" s="13" t="s">
        <v>31</v>
      </c>
      <c r="I61" s="27" t="s">
        <v>303</v>
      </c>
      <c r="J61" s="27" t="s">
        <v>33</v>
      </c>
      <c r="K61" s="27" t="s">
        <v>34</v>
      </c>
      <c r="L61" s="27" t="s">
        <v>35</v>
      </c>
      <c r="M61" s="27" t="s">
        <v>36</v>
      </c>
      <c r="N61" s="17">
        <f t="shared" si="2"/>
        <v>45733</v>
      </c>
      <c r="O61" s="13" t="s">
        <v>34</v>
      </c>
      <c r="P61" s="13" t="s">
        <v>37</v>
      </c>
      <c r="Q61" s="13" t="s">
        <v>38</v>
      </c>
      <c r="R61" s="13" t="s">
        <v>304</v>
      </c>
      <c r="S61" s="13" t="s">
        <v>37</v>
      </c>
      <c r="T61" s="28">
        <v>28.24</v>
      </c>
      <c r="U61" s="13" t="s">
        <v>28</v>
      </c>
      <c r="V61" s="13" t="s">
        <v>76</v>
      </c>
      <c r="W61" s="13" t="s">
        <v>30</v>
      </c>
      <c r="X61" s="17">
        <f t="shared" si="3"/>
        <v>45733</v>
      </c>
      <c r="Y61" s="3"/>
    </row>
    <row r="62" spans="1:25" ht="45" customHeight="1">
      <c r="A62" s="3">
        <v>60</v>
      </c>
      <c r="B62" s="13" t="s">
        <v>305</v>
      </c>
      <c r="C62" s="13" t="s">
        <v>26</v>
      </c>
      <c r="D62" s="13" t="s">
        <v>306</v>
      </c>
      <c r="E62" s="13" t="s">
        <v>28</v>
      </c>
      <c r="F62" s="13" t="s">
        <v>29</v>
      </c>
      <c r="G62" s="13" t="s">
        <v>48</v>
      </c>
      <c r="H62" s="13" t="s">
        <v>31</v>
      </c>
      <c r="I62" s="27" t="s">
        <v>307</v>
      </c>
      <c r="J62" s="27" t="s">
        <v>33</v>
      </c>
      <c r="K62" s="27" t="s">
        <v>34</v>
      </c>
      <c r="L62" s="27" t="s">
        <v>35</v>
      </c>
      <c r="M62" s="27" t="s">
        <v>36</v>
      </c>
      <c r="N62" s="17">
        <f t="shared" si="2"/>
        <v>45733</v>
      </c>
      <c r="O62" s="13" t="s">
        <v>34</v>
      </c>
      <c r="P62" s="13" t="s">
        <v>182</v>
      </c>
      <c r="Q62" s="13" t="s">
        <v>38</v>
      </c>
      <c r="R62" s="13" t="s">
        <v>308</v>
      </c>
      <c r="S62" s="13" t="s">
        <v>52</v>
      </c>
      <c r="T62" s="28">
        <v>26.21</v>
      </c>
      <c r="U62" s="13" t="s">
        <v>28</v>
      </c>
      <c r="V62" s="13" t="s">
        <v>89</v>
      </c>
      <c r="W62" s="13" t="s">
        <v>48</v>
      </c>
      <c r="X62" s="17">
        <f t="shared" si="3"/>
        <v>45733</v>
      </c>
      <c r="Y62" s="3"/>
    </row>
    <row r="63" spans="1:25" ht="45" customHeight="1">
      <c r="A63" s="3">
        <v>61</v>
      </c>
      <c r="B63" s="13" t="s">
        <v>309</v>
      </c>
      <c r="C63" s="13" t="s">
        <v>26</v>
      </c>
      <c r="D63" s="13" t="s">
        <v>310</v>
      </c>
      <c r="E63" s="13" t="s">
        <v>28</v>
      </c>
      <c r="F63" s="13" t="s">
        <v>29</v>
      </c>
      <c r="G63" s="13" t="s">
        <v>30</v>
      </c>
      <c r="H63" s="13" t="s">
        <v>31</v>
      </c>
      <c r="I63" s="27" t="s">
        <v>311</v>
      </c>
      <c r="J63" s="27" t="s">
        <v>33</v>
      </c>
      <c r="K63" s="27" t="s">
        <v>34</v>
      </c>
      <c r="L63" s="27" t="s">
        <v>35</v>
      </c>
      <c r="M63" s="27" t="s">
        <v>36</v>
      </c>
      <c r="N63" s="17">
        <f t="shared" si="2"/>
        <v>45733</v>
      </c>
      <c r="O63" s="13" t="s">
        <v>34</v>
      </c>
      <c r="P63" s="13" t="s">
        <v>37</v>
      </c>
      <c r="Q63" s="13" t="s">
        <v>38</v>
      </c>
      <c r="R63" s="13" t="s">
        <v>312</v>
      </c>
      <c r="S63" s="13" t="s">
        <v>37</v>
      </c>
      <c r="T63" s="28">
        <v>18.760000000000002</v>
      </c>
      <c r="U63" s="13" t="s">
        <v>28</v>
      </c>
      <c r="V63" s="13" t="s">
        <v>76</v>
      </c>
      <c r="W63" s="13" t="s">
        <v>30</v>
      </c>
      <c r="X63" s="17">
        <f t="shared" si="3"/>
        <v>45733</v>
      </c>
      <c r="Y63" s="3"/>
    </row>
    <row r="64" spans="1:25" ht="45" customHeight="1">
      <c r="A64" s="3">
        <v>62</v>
      </c>
      <c r="B64" s="13" t="s">
        <v>313</v>
      </c>
      <c r="C64" s="13" t="s">
        <v>26</v>
      </c>
      <c r="D64" s="13" t="s">
        <v>314</v>
      </c>
      <c r="E64" s="13" t="s">
        <v>28</v>
      </c>
      <c r="F64" s="13" t="s">
        <v>29</v>
      </c>
      <c r="G64" s="13" t="s">
        <v>62</v>
      </c>
      <c r="H64" s="13" t="s">
        <v>31</v>
      </c>
      <c r="I64" s="27" t="s">
        <v>315</v>
      </c>
      <c r="J64" s="27" t="s">
        <v>33</v>
      </c>
      <c r="K64" s="27" t="s">
        <v>34</v>
      </c>
      <c r="L64" s="27" t="s">
        <v>35</v>
      </c>
      <c r="M64" s="27" t="s">
        <v>36</v>
      </c>
      <c r="N64" s="17">
        <f t="shared" si="2"/>
        <v>45733</v>
      </c>
      <c r="O64" s="13" t="s">
        <v>34</v>
      </c>
      <c r="P64" s="13" t="s">
        <v>64</v>
      </c>
      <c r="Q64" s="13" t="s">
        <v>38</v>
      </c>
      <c r="R64" s="13" t="s">
        <v>316</v>
      </c>
      <c r="S64" s="13" t="s">
        <v>64</v>
      </c>
      <c r="T64" s="28">
        <v>23.08</v>
      </c>
      <c r="U64" s="13" t="s">
        <v>28</v>
      </c>
      <c r="V64" s="13" t="s">
        <v>76</v>
      </c>
      <c r="W64" s="13" t="s">
        <v>62</v>
      </c>
      <c r="X64" s="17">
        <f t="shared" si="3"/>
        <v>45733</v>
      </c>
      <c r="Y64" s="3"/>
    </row>
    <row r="65" spans="1:25" ht="45" customHeight="1">
      <c r="A65" s="3">
        <v>63</v>
      </c>
      <c r="B65" s="13" t="s">
        <v>317</v>
      </c>
      <c r="C65" s="13" t="s">
        <v>26</v>
      </c>
      <c r="D65" s="13" t="s">
        <v>318</v>
      </c>
      <c r="E65" s="13" t="s">
        <v>28</v>
      </c>
      <c r="F65" s="13" t="s">
        <v>29</v>
      </c>
      <c r="G65" s="13" t="s">
        <v>48</v>
      </c>
      <c r="H65" s="13" t="s">
        <v>31</v>
      </c>
      <c r="I65" s="27" t="s">
        <v>319</v>
      </c>
      <c r="J65" s="27" t="s">
        <v>33</v>
      </c>
      <c r="K65" s="27" t="s">
        <v>34</v>
      </c>
      <c r="L65" s="27" t="s">
        <v>35</v>
      </c>
      <c r="M65" s="27" t="s">
        <v>36</v>
      </c>
      <c r="N65" s="17">
        <f t="shared" si="2"/>
        <v>45733</v>
      </c>
      <c r="O65" s="13" t="s">
        <v>34</v>
      </c>
      <c r="P65" s="13" t="s">
        <v>52</v>
      </c>
      <c r="Q65" s="13" t="s">
        <v>38</v>
      </c>
      <c r="R65" s="13" t="s">
        <v>320</v>
      </c>
      <c r="S65" s="13" t="s">
        <v>52</v>
      </c>
      <c r="T65" s="28">
        <v>23.47</v>
      </c>
      <c r="U65" s="13" t="s">
        <v>28</v>
      </c>
      <c r="V65" s="13" t="s">
        <v>146</v>
      </c>
      <c r="W65" s="13" t="s">
        <v>48</v>
      </c>
      <c r="X65" s="17">
        <f t="shared" si="3"/>
        <v>45733</v>
      </c>
      <c r="Y65" s="3"/>
    </row>
    <row r="66" spans="1:25" ht="45" customHeight="1">
      <c r="A66" s="3">
        <v>64</v>
      </c>
      <c r="B66" s="13" t="s">
        <v>321</v>
      </c>
      <c r="C66" s="13" t="s">
        <v>26</v>
      </c>
      <c r="D66" s="13" t="s">
        <v>322</v>
      </c>
      <c r="E66" s="13" t="s">
        <v>28</v>
      </c>
      <c r="F66" s="13" t="s">
        <v>29</v>
      </c>
      <c r="G66" s="13" t="s">
        <v>56</v>
      </c>
      <c r="H66" s="13" t="s">
        <v>31</v>
      </c>
      <c r="I66" s="27" t="s">
        <v>323</v>
      </c>
      <c r="J66" s="27" t="s">
        <v>33</v>
      </c>
      <c r="K66" s="27" t="s">
        <v>34</v>
      </c>
      <c r="L66" s="27" t="s">
        <v>35</v>
      </c>
      <c r="M66" s="27" t="s">
        <v>36</v>
      </c>
      <c r="N66" s="17">
        <f t="shared" si="2"/>
        <v>45733</v>
      </c>
      <c r="O66" s="13" t="s">
        <v>34</v>
      </c>
      <c r="P66" s="13" t="s">
        <v>58</v>
      </c>
      <c r="Q66" s="13" t="s">
        <v>38</v>
      </c>
      <c r="R66" s="13" t="s">
        <v>324</v>
      </c>
      <c r="S66" s="13" t="s">
        <v>58</v>
      </c>
      <c r="T66" s="28">
        <v>20.51</v>
      </c>
      <c r="U66" s="13" t="s">
        <v>28</v>
      </c>
      <c r="V66" s="13" t="s">
        <v>76</v>
      </c>
      <c r="W66" s="13" t="s">
        <v>56</v>
      </c>
      <c r="X66" s="17">
        <f t="shared" si="3"/>
        <v>45733</v>
      </c>
      <c r="Y66" s="3"/>
    </row>
    <row r="67" spans="1:25" ht="45" customHeight="1">
      <c r="A67" s="3">
        <v>65</v>
      </c>
      <c r="B67" s="13" t="s">
        <v>325</v>
      </c>
      <c r="C67" s="13" t="s">
        <v>103</v>
      </c>
      <c r="D67" s="13" t="s">
        <v>326</v>
      </c>
      <c r="E67" s="13" t="s">
        <v>28</v>
      </c>
      <c r="F67" s="13" t="s">
        <v>29</v>
      </c>
      <c r="G67" s="13" t="s">
        <v>72</v>
      </c>
      <c r="H67" s="13" t="s">
        <v>31</v>
      </c>
      <c r="I67" s="27" t="s">
        <v>327</v>
      </c>
      <c r="J67" s="27" t="s">
        <v>33</v>
      </c>
      <c r="K67" s="27" t="s">
        <v>106</v>
      </c>
      <c r="L67" s="27" t="s">
        <v>35</v>
      </c>
      <c r="M67" s="27" t="s">
        <v>36</v>
      </c>
      <c r="N67" s="17">
        <f t="shared" si="2"/>
        <v>45733</v>
      </c>
      <c r="O67" s="13" t="s">
        <v>34</v>
      </c>
      <c r="P67" s="13" t="s">
        <v>74</v>
      </c>
      <c r="Q67" s="13" t="s">
        <v>38</v>
      </c>
      <c r="R67" s="13" t="s">
        <v>328</v>
      </c>
      <c r="S67" s="13" t="s">
        <v>74</v>
      </c>
      <c r="T67" s="28">
        <v>23.43</v>
      </c>
      <c r="U67" s="13" t="s">
        <v>28</v>
      </c>
      <c r="V67" s="13" t="s">
        <v>76</v>
      </c>
      <c r="W67" s="13" t="s">
        <v>72</v>
      </c>
      <c r="X67" s="17">
        <f t="shared" si="3"/>
        <v>45733</v>
      </c>
      <c r="Y67" s="3"/>
    </row>
    <row r="68" spans="1:25" ht="45" customHeight="1">
      <c r="A68" s="3">
        <v>66</v>
      </c>
      <c r="B68" s="13" t="s">
        <v>329</v>
      </c>
      <c r="C68" s="13" t="s">
        <v>103</v>
      </c>
      <c r="D68" s="13" t="s">
        <v>330</v>
      </c>
      <c r="E68" s="13" t="s">
        <v>28</v>
      </c>
      <c r="F68" s="13" t="s">
        <v>29</v>
      </c>
      <c r="G68" s="13" t="s">
        <v>56</v>
      </c>
      <c r="H68" s="13" t="s">
        <v>31</v>
      </c>
      <c r="I68" s="27" t="s">
        <v>331</v>
      </c>
      <c r="J68" s="27" t="s">
        <v>33</v>
      </c>
      <c r="K68" s="27" t="s">
        <v>106</v>
      </c>
      <c r="L68" s="27" t="s">
        <v>35</v>
      </c>
      <c r="M68" s="27" t="s">
        <v>36</v>
      </c>
      <c r="N68" s="17">
        <f t="shared" si="2"/>
        <v>45733</v>
      </c>
      <c r="O68" s="13" t="s">
        <v>34</v>
      </c>
      <c r="P68" s="13" t="s">
        <v>58</v>
      </c>
      <c r="Q68" s="13" t="s">
        <v>38</v>
      </c>
      <c r="R68" s="13" t="s">
        <v>332</v>
      </c>
      <c r="S68" s="13" t="s">
        <v>58</v>
      </c>
      <c r="T68" s="28">
        <v>21.34</v>
      </c>
      <c r="U68" s="13" t="s">
        <v>28</v>
      </c>
      <c r="V68" s="13" t="s">
        <v>53</v>
      </c>
      <c r="W68" s="13" t="s">
        <v>56</v>
      </c>
      <c r="X68" s="17">
        <f t="shared" si="3"/>
        <v>45733</v>
      </c>
      <c r="Y68" s="3"/>
    </row>
    <row r="69" spans="1:25" ht="45" customHeight="1">
      <c r="A69" s="3">
        <v>67</v>
      </c>
      <c r="B69" s="13" t="s">
        <v>333</v>
      </c>
      <c r="C69" s="13" t="s">
        <v>103</v>
      </c>
      <c r="D69" s="13" t="s">
        <v>334</v>
      </c>
      <c r="E69" s="13" t="s">
        <v>28</v>
      </c>
      <c r="F69" s="13" t="s">
        <v>29</v>
      </c>
      <c r="G69" s="13" t="s">
        <v>85</v>
      </c>
      <c r="H69" s="13" t="s">
        <v>31</v>
      </c>
      <c r="I69" s="27" t="s">
        <v>335</v>
      </c>
      <c r="J69" s="27" t="s">
        <v>33</v>
      </c>
      <c r="K69" s="27" t="s">
        <v>106</v>
      </c>
      <c r="L69" s="27" t="s">
        <v>35</v>
      </c>
      <c r="M69" s="27" t="s">
        <v>36</v>
      </c>
      <c r="N69" s="17">
        <f t="shared" si="2"/>
        <v>45733</v>
      </c>
      <c r="O69" s="13" t="s">
        <v>34</v>
      </c>
      <c r="P69" s="13" t="s">
        <v>87</v>
      </c>
      <c r="Q69" s="13" t="s">
        <v>38</v>
      </c>
      <c r="R69" s="13" t="s">
        <v>336</v>
      </c>
      <c r="S69" s="13" t="s">
        <v>87</v>
      </c>
      <c r="T69" s="28">
        <v>24.45</v>
      </c>
      <c r="U69" s="13" t="s">
        <v>28</v>
      </c>
      <c r="V69" s="13" t="s">
        <v>53</v>
      </c>
      <c r="W69" s="13" t="s">
        <v>85</v>
      </c>
      <c r="X69" s="17">
        <f t="shared" si="3"/>
        <v>45733</v>
      </c>
      <c r="Y69" s="3"/>
    </row>
    <row r="70" spans="1:25" ht="45" customHeight="1">
      <c r="A70" s="3">
        <v>68</v>
      </c>
      <c r="B70" s="13" t="s">
        <v>337</v>
      </c>
      <c r="C70" s="13" t="s">
        <v>26</v>
      </c>
      <c r="D70" s="13" t="s">
        <v>338</v>
      </c>
      <c r="E70" s="13" t="s">
        <v>28</v>
      </c>
      <c r="F70" s="13" t="s">
        <v>29</v>
      </c>
      <c r="G70" s="13" t="s">
        <v>85</v>
      </c>
      <c r="H70" s="13" t="s">
        <v>31</v>
      </c>
      <c r="I70" s="27" t="s">
        <v>339</v>
      </c>
      <c r="J70" s="27" t="s">
        <v>33</v>
      </c>
      <c r="K70" s="27" t="s">
        <v>34</v>
      </c>
      <c r="L70" s="27" t="s">
        <v>35</v>
      </c>
      <c r="M70" s="27" t="s">
        <v>36</v>
      </c>
      <c r="N70" s="17">
        <f t="shared" ref="N70:N85" si="4">DATE(2025,3,24)</f>
        <v>45740</v>
      </c>
      <c r="O70" s="13" t="s">
        <v>34</v>
      </c>
      <c r="P70" s="13" t="s">
        <v>87</v>
      </c>
      <c r="Q70" s="13" t="s">
        <v>38</v>
      </c>
      <c r="R70" s="13" t="s">
        <v>340</v>
      </c>
      <c r="S70" s="13" t="s">
        <v>87</v>
      </c>
      <c r="T70" s="28">
        <v>20.76</v>
      </c>
      <c r="U70" s="13" t="s">
        <v>28</v>
      </c>
      <c r="V70" s="13" t="s">
        <v>53</v>
      </c>
      <c r="W70" s="13" t="s">
        <v>85</v>
      </c>
      <c r="X70" s="17">
        <f t="shared" ref="X70:X85" si="5">DATE(2025,3,24)</f>
        <v>45740</v>
      </c>
      <c r="Y70" s="3"/>
    </row>
    <row r="71" spans="1:25" ht="45" customHeight="1">
      <c r="A71" s="3">
        <v>69</v>
      </c>
      <c r="B71" s="13" t="s">
        <v>341</v>
      </c>
      <c r="C71" s="13" t="s">
        <v>26</v>
      </c>
      <c r="D71" s="13" t="s">
        <v>342</v>
      </c>
      <c r="E71" s="13" t="s">
        <v>28</v>
      </c>
      <c r="F71" s="13" t="s">
        <v>29</v>
      </c>
      <c r="G71" s="13" t="s">
        <v>48</v>
      </c>
      <c r="H71" s="13" t="s">
        <v>31</v>
      </c>
      <c r="I71" s="27" t="s">
        <v>343</v>
      </c>
      <c r="J71" s="27" t="s">
        <v>33</v>
      </c>
      <c r="K71" s="27" t="s">
        <v>34</v>
      </c>
      <c r="L71" s="27" t="s">
        <v>35</v>
      </c>
      <c r="M71" s="27" t="s">
        <v>36</v>
      </c>
      <c r="N71" s="17">
        <f t="shared" si="4"/>
        <v>45740</v>
      </c>
      <c r="O71" s="13" t="s">
        <v>34</v>
      </c>
      <c r="P71" s="13" t="s">
        <v>182</v>
      </c>
      <c r="Q71" s="13" t="s">
        <v>38</v>
      </c>
      <c r="R71" s="13" t="s">
        <v>344</v>
      </c>
      <c r="S71" s="13" t="s">
        <v>52</v>
      </c>
      <c r="T71" s="28">
        <v>29.02</v>
      </c>
      <c r="U71" s="13" t="s">
        <v>28</v>
      </c>
      <c r="V71" s="13" t="s">
        <v>89</v>
      </c>
      <c r="W71" s="13" t="s">
        <v>48</v>
      </c>
      <c r="X71" s="17">
        <f t="shared" si="5"/>
        <v>45740</v>
      </c>
      <c r="Y71" s="3"/>
    </row>
    <row r="72" spans="1:25" ht="45" customHeight="1">
      <c r="A72" s="3">
        <v>70</v>
      </c>
      <c r="B72" s="13" t="s">
        <v>345</v>
      </c>
      <c r="C72" s="13" t="s">
        <v>26</v>
      </c>
      <c r="D72" s="13" t="s">
        <v>346</v>
      </c>
      <c r="E72" s="13" t="s">
        <v>28</v>
      </c>
      <c r="F72" s="13" t="s">
        <v>29</v>
      </c>
      <c r="G72" s="13" t="s">
        <v>62</v>
      </c>
      <c r="H72" s="13" t="s">
        <v>31</v>
      </c>
      <c r="I72" s="27" t="s">
        <v>347</v>
      </c>
      <c r="J72" s="27" t="s">
        <v>33</v>
      </c>
      <c r="K72" s="27" t="s">
        <v>34</v>
      </c>
      <c r="L72" s="27" t="s">
        <v>35</v>
      </c>
      <c r="M72" s="27" t="s">
        <v>36</v>
      </c>
      <c r="N72" s="17">
        <f t="shared" si="4"/>
        <v>45740</v>
      </c>
      <c r="O72" s="13" t="s">
        <v>34</v>
      </c>
      <c r="P72" s="13" t="s">
        <v>64</v>
      </c>
      <c r="Q72" s="13" t="s">
        <v>38</v>
      </c>
      <c r="R72" s="13" t="s">
        <v>348</v>
      </c>
      <c r="S72" s="13" t="s">
        <v>64</v>
      </c>
      <c r="T72" s="28">
        <v>27.42</v>
      </c>
      <c r="U72" s="13" t="s">
        <v>28</v>
      </c>
      <c r="V72" s="13" t="s">
        <v>40</v>
      </c>
      <c r="W72" s="13" t="s">
        <v>62</v>
      </c>
      <c r="X72" s="17">
        <f t="shared" si="5"/>
        <v>45740</v>
      </c>
      <c r="Y72" s="3"/>
    </row>
    <row r="73" spans="1:25" ht="45" customHeight="1">
      <c r="A73" s="3">
        <v>71</v>
      </c>
      <c r="B73" s="13" t="s">
        <v>349</v>
      </c>
      <c r="C73" s="13" t="s">
        <v>26</v>
      </c>
      <c r="D73" s="13" t="s">
        <v>350</v>
      </c>
      <c r="E73" s="13" t="s">
        <v>28</v>
      </c>
      <c r="F73" s="13" t="s">
        <v>29</v>
      </c>
      <c r="G73" s="13" t="s">
        <v>85</v>
      </c>
      <c r="H73" s="13" t="s">
        <v>31</v>
      </c>
      <c r="I73" s="27" t="s">
        <v>351</v>
      </c>
      <c r="J73" s="27" t="s">
        <v>33</v>
      </c>
      <c r="K73" s="27" t="s">
        <v>34</v>
      </c>
      <c r="L73" s="27" t="s">
        <v>35</v>
      </c>
      <c r="M73" s="27" t="s">
        <v>36</v>
      </c>
      <c r="N73" s="17">
        <f t="shared" si="4"/>
        <v>45740</v>
      </c>
      <c r="O73" s="13" t="s">
        <v>34</v>
      </c>
      <c r="P73" s="13" t="s">
        <v>87</v>
      </c>
      <c r="Q73" s="13" t="s">
        <v>38</v>
      </c>
      <c r="R73" s="13" t="s">
        <v>352</v>
      </c>
      <c r="S73" s="13" t="s">
        <v>87</v>
      </c>
      <c r="T73" s="28">
        <v>23.54</v>
      </c>
      <c r="U73" s="13" t="s">
        <v>28</v>
      </c>
      <c r="V73" s="13" t="s">
        <v>89</v>
      </c>
      <c r="W73" s="13" t="s">
        <v>85</v>
      </c>
      <c r="X73" s="17">
        <f t="shared" si="5"/>
        <v>45740</v>
      </c>
      <c r="Y73" s="3"/>
    </row>
    <row r="74" spans="1:25" ht="45" customHeight="1">
      <c r="A74" s="3">
        <v>72</v>
      </c>
      <c r="B74" s="13" t="s">
        <v>353</v>
      </c>
      <c r="C74" s="13" t="s">
        <v>26</v>
      </c>
      <c r="D74" s="13" t="s">
        <v>354</v>
      </c>
      <c r="E74" s="13" t="s">
        <v>28</v>
      </c>
      <c r="F74" s="13" t="s">
        <v>29</v>
      </c>
      <c r="G74" s="13" t="s">
        <v>48</v>
      </c>
      <c r="H74" s="13" t="s">
        <v>31</v>
      </c>
      <c r="I74" s="27" t="s">
        <v>355</v>
      </c>
      <c r="J74" s="27" t="s">
        <v>33</v>
      </c>
      <c r="K74" s="27" t="s">
        <v>34</v>
      </c>
      <c r="L74" s="27" t="s">
        <v>35</v>
      </c>
      <c r="M74" s="27" t="s">
        <v>36</v>
      </c>
      <c r="N74" s="17">
        <f t="shared" si="4"/>
        <v>45740</v>
      </c>
      <c r="O74" s="13" t="s">
        <v>34</v>
      </c>
      <c r="P74" s="13" t="s">
        <v>50</v>
      </c>
      <c r="Q74" s="13" t="s">
        <v>38</v>
      </c>
      <c r="R74" s="13" t="s">
        <v>356</v>
      </c>
      <c r="S74" s="13" t="s">
        <v>52</v>
      </c>
      <c r="T74" s="28">
        <v>21.62</v>
      </c>
      <c r="U74" s="13" t="s">
        <v>28</v>
      </c>
      <c r="V74" s="13" t="s">
        <v>53</v>
      </c>
      <c r="W74" s="13" t="s">
        <v>48</v>
      </c>
      <c r="X74" s="17">
        <f t="shared" si="5"/>
        <v>45740</v>
      </c>
      <c r="Y74" s="3"/>
    </row>
    <row r="75" spans="1:25" ht="45" customHeight="1">
      <c r="A75" s="3">
        <v>73</v>
      </c>
      <c r="B75" s="13" t="s">
        <v>357</v>
      </c>
      <c r="C75" s="13" t="s">
        <v>26</v>
      </c>
      <c r="D75" s="13" t="s">
        <v>358</v>
      </c>
      <c r="E75" s="13" t="s">
        <v>28</v>
      </c>
      <c r="F75" s="13" t="s">
        <v>29</v>
      </c>
      <c r="G75" s="13" t="s">
        <v>56</v>
      </c>
      <c r="H75" s="13" t="s">
        <v>31</v>
      </c>
      <c r="I75" s="27" t="s">
        <v>359</v>
      </c>
      <c r="J75" s="27" t="s">
        <v>33</v>
      </c>
      <c r="K75" s="27" t="s">
        <v>34</v>
      </c>
      <c r="L75" s="27" t="s">
        <v>35</v>
      </c>
      <c r="M75" s="27" t="s">
        <v>36</v>
      </c>
      <c r="N75" s="17">
        <f t="shared" si="4"/>
        <v>45740</v>
      </c>
      <c r="O75" s="13" t="s">
        <v>34</v>
      </c>
      <c r="P75" s="13" t="s">
        <v>203</v>
      </c>
      <c r="Q75" s="13" t="s">
        <v>38</v>
      </c>
      <c r="R75" s="13" t="s">
        <v>360</v>
      </c>
      <c r="S75" s="13" t="s">
        <v>58</v>
      </c>
      <c r="T75" s="28">
        <v>20.99</v>
      </c>
      <c r="U75" s="13" t="s">
        <v>28</v>
      </c>
      <c r="V75" s="13" t="s">
        <v>89</v>
      </c>
      <c r="W75" s="13" t="s">
        <v>56</v>
      </c>
      <c r="X75" s="17">
        <f t="shared" si="5"/>
        <v>45740</v>
      </c>
      <c r="Y75" s="3"/>
    </row>
    <row r="76" spans="1:25" ht="45" customHeight="1">
      <c r="A76" s="3">
        <v>74</v>
      </c>
      <c r="B76" s="13" t="s">
        <v>361</v>
      </c>
      <c r="C76" s="13" t="s">
        <v>26</v>
      </c>
      <c r="D76" s="13" t="s">
        <v>362</v>
      </c>
      <c r="E76" s="13" t="s">
        <v>28</v>
      </c>
      <c r="F76" s="13" t="s">
        <v>29</v>
      </c>
      <c r="G76" s="13" t="s">
        <v>56</v>
      </c>
      <c r="H76" s="13" t="s">
        <v>31</v>
      </c>
      <c r="I76" s="27" t="s">
        <v>363</v>
      </c>
      <c r="J76" s="27" t="s">
        <v>33</v>
      </c>
      <c r="K76" s="27" t="s">
        <v>34</v>
      </c>
      <c r="L76" s="27" t="s">
        <v>35</v>
      </c>
      <c r="M76" s="27" t="s">
        <v>36</v>
      </c>
      <c r="N76" s="17">
        <f t="shared" si="4"/>
        <v>45740</v>
      </c>
      <c r="O76" s="13" t="s">
        <v>34</v>
      </c>
      <c r="P76" s="13" t="s">
        <v>58</v>
      </c>
      <c r="Q76" s="13" t="s">
        <v>38</v>
      </c>
      <c r="R76" s="13" t="s">
        <v>364</v>
      </c>
      <c r="S76" s="13" t="s">
        <v>58</v>
      </c>
      <c r="T76" s="28">
        <v>22.38</v>
      </c>
      <c r="U76" s="13" t="s">
        <v>365</v>
      </c>
      <c r="V76" s="13" t="s">
        <v>76</v>
      </c>
      <c r="W76" s="13" t="s">
        <v>56</v>
      </c>
      <c r="X76" s="17">
        <f t="shared" si="5"/>
        <v>45740</v>
      </c>
      <c r="Y76" s="3"/>
    </row>
    <row r="77" spans="1:25" ht="45" customHeight="1">
      <c r="A77" s="3">
        <v>75</v>
      </c>
      <c r="B77" s="13" t="s">
        <v>366</v>
      </c>
      <c r="C77" s="13" t="s">
        <v>26</v>
      </c>
      <c r="D77" s="13" t="s">
        <v>367</v>
      </c>
      <c r="E77" s="13" t="s">
        <v>28</v>
      </c>
      <c r="F77" s="13" t="s">
        <v>29</v>
      </c>
      <c r="G77" s="13" t="s">
        <v>72</v>
      </c>
      <c r="H77" s="13" t="s">
        <v>31</v>
      </c>
      <c r="I77" s="27" t="s">
        <v>368</v>
      </c>
      <c r="J77" s="27" t="s">
        <v>33</v>
      </c>
      <c r="K77" s="27" t="s">
        <v>34</v>
      </c>
      <c r="L77" s="27" t="s">
        <v>35</v>
      </c>
      <c r="M77" s="27" t="s">
        <v>36</v>
      </c>
      <c r="N77" s="17">
        <f t="shared" si="4"/>
        <v>45740</v>
      </c>
      <c r="O77" s="13" t="s">
        <v>34</v>
      </c>
      <c r="P77" s="13" t="s">
        <v>74</v>
      </c>
      <c r="Q77" s="13" t="s">
        <v>38</v>
      </c>
      <c r="R77" s="13" t="s">
        <v>369</v>
      </c>
      <c r="S77" s="13" t="s">
        <v>74</v>
      </c>
      <c r="T77" s="28">
        <v>22.23</v>
      </c>
      <c r="U77" s="13" t="s">
        <v>28</v>
      </c>
      <c r="V77" s="13" t="s">
        <v>76</v>
      </c>
      <c r="W77" s="13" t="s">
        <v>72</v>
      </c>
      <c r="X77" s="17">
        <f t="shared" si="5"/>
        <v>45740</v>
      </c>
      <c r="Y77" s="3"/>
    </row>
    <row r="78" spans="1:25" ht="45" customHeight="1">
      <c r="A78" s="3">
        <v>76</v>
      </c>
      <c r="B78" s="13" t="s">
        <v>370</v>
      </c>
      <c r="C78" s="13" t="s">
        <v>26</v>
      </c>
      <c r="D78" s="13" t="s">
        <v>371</v>
      </c>
      <c r="E78" s="13" t="s">
        <v>28</v>
      </c>
      <c r="F78" s="13" t="s">
        <v>29</v>
      </c>
      <c r="G78" s="13" t="s">
        <v>43</v>
      </c>
      <c r="H78" s="13" t="s">
        <v>31</v>
      </c>
      <c r="I78" s="27" t="s">
        <v>372</v>
      </c>
      <c r="J78" s="27" t="s">
        <v>33</v>
      </c>
      <c r="K78" s="27" t="s">
        <v>34</v>
      </c>
      <c r="L78" s="27" t="s">
        <v>35</v>
      </c>
      <c r="M78" s="27" t="s">
        <v>36</v>
      </c>
      <c r="N78" s="17">
        <f t="shared" si="4"/>
        <v>45740</v>
      </c>
      <c r="O78" s="13" t="s">
        <v>34</v>
      </c>
      <c r="P78" s="13" t="s">
        <v>37</v>
      </c>
      <c r="Q78" s="13" t="s">
        <v>38</v>
      </c>
      <c r="R78" s="13" t="s">
        <v>373</v>
      </c>
      <c r="S78" s="13" t="s">
        <v>37</v>
      </c>
      <c r="T78" s="28">
        <v>19.489999999999998</v>
      </c>
      <c r="U78" s="13" t="s">
        <v>28</v>
      </c>
      <c r="V78" s="13" t="s">
        <v>40</v>
      </c>
      <c r="W78" s="13" t="s">
        <v>43</v>
      </c>
      <c r="X78" s="17">
        <f t="shared" si="5"/>
        <v>45740</v>
      </c>
      <c r="Y78" s="3"/>
    </row>
    <row r="79" spans="1:25" ht="45" customHeight="1">
      <c r="A79" s="3">
        <v>77</v>
      </c>
      <c r="B79" s="13" t="s">
        <v>374</v>
      </c>
      <c r="C79" s="13" t="s">
        <v>26</v>
      </c>
      <c r="D79" s="13" t="s">
        <v>375</v>
      </c>
      <c r="E79" s="13" t="s">
        <v>28</v>
      </c>
      <c r="F79" s="13" t="s">
        <v>29</v>
      </c>
      <c r="G79" s="13" t="s">
        <v>79</v>
      </c>
      <c r="H79" s="13" t="s">
        <v>31</v>
      </c>
      <c r="I79" s="27" t="s">
        <v>376</v>
      </c>
      <c r="J79" s="27" t="s">
        <v>33</v>
      </c>
      <c r="K79" s="27" t="s">
        <v>34</v>
      </c>
      <c r="L79" s="27" t="s">
        <v>35</v>
      </c>
      <c r="M79" s="27" t="s">
        <v>36</v>
      </c>
      <c r="N79" s="17">
        <f t="shared" si="4"/>
        <v>45740</v>
      </c>
      <c r="O79" s="13" t="s">
        <v>34</v>
      </c>
      <c r="P79" s="13" t="s">
        <v>81</v>
      </c>
      <c r="Q79" s="13" t="s">
        <v>38</v>
      </c>
      <c r="R79" s="13" t="s">
        <v>377</v>
      </c>
      <c r="S79" s="13" t="s">
        <v>81</v>
      </c>
      <c r="T79" s="28">
        <v>27.68</v>
      </c>
      <c r="U79" s="13" t="s">
        <v>28</v>
      </c>
      <c r="V79" s="13" t="s">
        <v>40</v>
      </c>
      <c r="W79" s="13" t="s">
        <v>79</v>
      </c>
      <c r="X79" s="17">
        <f t="shared" si="5"/>
        <v>45740</v>
      </c>
      <c r="Y79" s="3"/>
    </row>
    <row r="80" spans="1:25" ht="45" customHeight="1">
      <c r="A80" s="3">
        <v>78</v>
      </c>
      <c r="B80" s="13" t="s">
        <v>378</v>
      </c>
      <c r="C80" s="13" t="s">
        <v>26</v>
      </c>
      <c r="D80" s="13" t="s">
        <v>379</v>
      </c>
      <c r="E80" s="13" t="s">
        <v>28</v>
      </c>
      <c r="F80" s="13" t="s">
        <v>29</v>
      </c>
      <c r="G80" s="13" t="s">
        <v>30</v>
      </c>
      <c r="H80" s="13" t="s">
        <v>31</v>
      </c>
      <c r="I80" s="27" t="s">
        <v>380</v>
      </c>
      <c r="J80" s="27" t="s">
        <v>33</v>
      </c>
      <c r="K80" s="27" t="s">
        <v>34</v>
      </c>
      <c r="L80" s="27" t="s">
        <v>35</v>
      </c>
      <c r="M80" s="27" t="s">
        <v>36</v>
      </c>
      <c r="N80" s="17">
        <f t="shared" si="4"/>
        <v>45740</v>
      </c>
      <c r="O80" s="13" t="s">
        <v>34</v>
      </c>
      <c r="P80" s="13" t="s">
        <v>37</v>
      </c>
      <c r="Q80" s="13" t="s">
        <v>38</v>
      </c>
      <c r="R80" s="13" t="s">
        <v>381</v>
      </c>
      <c r="S80" s="13" t="s">
        <v>37</v>
      </c>
      <c r="T80" s="28">
        <v>20.73</v>
      </c>
      <c r="U80" s="13" t="s">
        <v>28</v>
      </c>
      <c r="V80" s="13" t="s">
        <v>76</v>
      </c>
      <c r="W80" s="13" t="s">
        <v>30</v>
      </c>
      <c r="X80" s="17">
        <f t="shared" si="5"/>
        <v>45740</v>
      </c>
      <c r="Y80" s="3"/>
    </row>
    <row r="81" spans="1:25" ht="45" customHeight="1">
      <c r="A81" s="3">
        <v>79</v>
      </c>
      <c r="B81" s="13" t="s">
        <v>382</v>
      </c>
      <c r="C81" s="13" t="s">
        <v>26</v>
      </c>
      <c r="D81" s="13" t="s">
        <v>383</v>
      </c>
      <c r="E81" s="13" t="s">
        <v>28</v>
      </c>
      <c r="F81" s="13" t="s">
        <v>29</v>
      </c>
      <c r="G81" s="13" t="s">
        <v>62</v>
      </c>
      <c r="H81" s="13" t="s">
        <v>31</v>
      </c>
      <c r="I81" s="27" t="s">
        <v>384</v>
      </c>
      <c r="J81" s="27" t="s">
        <v>33</v>
      </c>
      <c r="K81" s="27" t="s">
        <v>34</v>
      </c>
      <c r="L81" s="27" t="s">
        <v>35</v>
      </c>
      <c r="M81" s="27" t="s">
        <v>36</v>
      </c>
      <c r="N81" s="17">
        <f t="shared" si="4"/>
        <v>45740</v>
      </c>
      <c r="O81" s="13" t="s">
        <v>34</v>
      </c>
      <c r="P81" s="13" t="s">
        <v>64</v>
      </c>
      <c r="Q81" s="13" t="s">
        <v>38</v>
      </c>
      <c r="R81" s="13" t="s">
        <v>385</v>
      </c>
      <c r="S81" s="13" t="s">
        <v>64</v>
      </c>
      <c r="T81" s="28">
        <v>23.17</v>
      </c>
      <c r="U81" s="13" t="s">
        <v>28</v>
      </c>
      <c r="V81" s="13" t="s">
        <v>40</v>
      </c>
      <c r="W81" s="13" t="s">
        <v>62</v>
      </c>
      <c r="X81" s="17">
        <f t="shared" si="5"/>
        <v>45740</v>
      </c>
      <c r="Y81" s="3"/>
    </row>
    <row r="82" spans="1:25" ht="45" customHeight="1">
      <c r="A82" s="3">
        <v>80</v>
      </c>
      <c r="B82" s="13" t="s">
        <v>386</v>
      </c>
      <c r="C82" s="13" t="s">
        <v>26</v>
      </c>
      <c r="D82" s="13" t="s">
        <v>387</v>
      </c>
      <c r="E82" s="13" t="s">
        <v>28</v>
      </c>
      <c r="F82" s="13" t="s">
        <v>29</v>
      </c>
      <c r="G82" s="13" t="s">
        <v>85</v>
      </c>
      <c r="H82" s="13" t="s">
        <v>31</v>
      </c>
      <c r="I82" s="27" t="s">
        <v>388</v>
      </c>
      <c r="J82" s="27" t="s">
        <v>33</v>
      </c>
      <c r="K82" s="27" t="s">
        <v>34</v>
      </c>
      <c r="L82" s="27" t="s">
        <v>35</v>
      </c>
      <c r="M82" s="27" t="s">
        <v>36</v>
      </c>
      <c r="N82" s="17">
        <f t="shared" si="4"/>
        <v>45740</v>
      </c>
      <c r="O82" s="13" t="s">
        <v>34</v>
      </c>
      <c r="P82" s="13" t="s">
        <v>230</v>
      </c>
      <c r="Q82" s="13" t="s">
        <v>38</v>
      </c>
      <c r="R82" s="13" t="s">
        <v>389</v>
      </c>
      <c r="S82" s="13" t="s">
        <v>87</v>
      </c>
      <c r="T82" s="28">
        <v>23.37</v>
      </c>
      <c r="U82" s="13" t="s">
        <v>28</v>
      </c>
      <c r="V82" s="13" t="s">
        <v>146</v>
      </c>
      <c r="W82" s="13" t="s">
        <v>85</v>
      </c>
      <c r="X82" s="17">
        <f t="shared" si="5"/>
        <v>45740</v>
      </c>
      <c r="Y82" s="3"/>
    </row>
    <row r="83" spans="1:25" ht="45" customHeight="1">
      <c r="A83" s="3">
        <v>81</v>
      </c>
      <c r="B83" s="13" t="s">
        <v>390</v>
      </c>
      <c r="C83" s="13" t="s">
        <v>103</v>
      </c>
      <c r="D83" s="13" t="s">
        <v>391</v>
      </c>
      <c r="E83" s="13" t="s">
        <v>28</v>
      </c>
      <c r="F83" s="13" t="s">
        <v>29</v>
      </c>
      <c r="G83" s="13" t="s">
        <v>56</v>
      </c>
      <c r="H83" s="13" t="s">
        <v>31</v>
      </c>
      <c r="I83" s="27" t="s">
        <v>392</v>
      </c>
      <c r="J83" s="27" t="s">
        <v>33</v>
      </c>
      <c r="K83" s="27" t="s">
        <v>106</v>
      </c>
      <c r="L83" s="27" t="s">
        <v>35</v>
      </c>
      <c r="M83" s="27" t="s">
        <v>36</v>
      </c>
      <c r="N83" s="17">
        <f t="shared" si="4"/>
        <v>45740</v>
      </c>
      <c r="O83" s="13" t="s">
        <v>107</v>
      </c>
      <c r="P83" s="13" t="s">
        <v>58</v>
      </c>
      <c r="Q83" s="13" t="s">
        <v>38</v>
      </c>
      <c r="R83" s="13" t="s">
        <v>393</v>
      </c>
      <c r="S83" s="13" t="s">
        <v>58</v>
      </c>
      <c r="T83" s="28">
        <v>23.08</v>
      </c>
      <c r="U83" s="13" t="s">
        <v>28</v>
      </c>
      <c r="V83" s="13" t="s">
        <v>53</v>
      </c>
      <c r="W83" s="13" t="s">
        <v>56</v>
      </c>
      <c r="X83" s="17">
        <f t="shared" si="5"/>
        <v>45740</v>
      </c>
      <c r="Y83" s="3"/>
    </row>
    <row r="84" spans="1:25" ht="45" customHeight="1">
      <c r="A84" s="3">
        <v>82</v>
      </c>
      <c r="B84" s="13" t="s">
        <v>394</v>
      </c>
      <c r="C84" s="13" t="s">
        <v>103</v>
      </c>
      <c r="D84" s="13" t="s">
        <v>395</v>
      </c>
      <c r="E84" s="13" t="s">
        <v>28</v>
      </c>
      <c r="F84" s="13" t="s">
        <v>29</v>
      </c>
      <c r="G84" s="13" t="s">
        <v>56</v>
      </c>
      <c r="H84" s="13" t="s">
        <v>31</v>
      </c>
      <c r="I84" s="27" t="s">
        <v>396</v>
      </c>
      <c r="J84" s="27" t="s">
        <v>33</v>
      </c>
      <c r="K84" s="27" t="s">
        <v>106</v>
      </c>
      <c r="L84" s="27" t="s">
        <v>35</v>
      </c>
      <c r="M84" s="27" t="s">
        <v>36</v>
      </c>
      <c r="N84" s="17">
        <f t="shared" si="4"/>
        <v>45740</v>
      </c>
      <c r="O84" s="13" t="s">
        <v>107</v>
      </c>
      <c r="P84" s="13" t="s">
        <v>58</v>
      </c>
      <c r="Q84" s="13" t="s">
        <v>38</v>
      </c>
      <c r="R84" s="13" t="s">
        <v>397</v>
      </c>
      <c r="S84" s="13" t="s">
        <v>58</v>
      </c>
      <c r="T84" s="28">
        <v>20.059999999999999</v>
      </c>
      <c r="U84" s="13" t="s">
        <v>28</v>
      </c>
      <c r="V84" s="13" t="s">
        <v>76</v>
      </c>
      <c r="W84" s="13" t="s">
        <v>56</v>
      </c>
      <c r="X84" s="17">
        <f t="shared" si="5"/>
        <v>45740</v>
      </c>
      <c r="Y84" s="3"/>
    </row>
    <row r="85" spans="1:25" ht="45" customHeight="1">
      <c r="A85" s="3">
        <v>83</v>
      </c>
      <c r="B85" s="13" t="s">
        <v>398</v>
      </c>
      <c r="C85" s="13" t="s">
        <v>26</v>
      </c>
      <c r="D85" s="13" t="s">
        <v>399</v>
      </c>
      <c r="E85" s="13" t="s">
        <v>28</v>
      </c>
      <c r="F85" s="13" t="s">
        <v>29</v>
      </c>
      <c r="G85" s="13" t="s">
        <v>85</v>
      </c>
      <c r="H85" s="13" t="s">
        <v>31</v>
      </c>
      <c r="I85" s="27" t="s">
        <v>400</v>
      </c>
      <c r="J85" s="27" t="s">
        <v>33</v>
      </c>
      <c r="K85" s="27" t="s">
        <v>34</v>
      </c>
      <c r="L85" s="27" t="s">
        <v>35</v>
      </c>
      <c r="M85" s="27" t="s">
        <v>36</v>
      </c>
      <c r="N85" s="17">
        <f t="shared" si="4"/>
        <v>45740</v>
      </c>
      <c r="O85" s="13" t="s">
        <v>34</v>
      </c>
      <c r="P85" s="13" t="s">
        <v>230</v>
      </c>
      <c r="Q85" s="13" t="s">
        <v>38</v>
      </c>
      <c r="R85" s="13" t="s">
        <v>401</v>
      </c>
      <c r="S85" s="13" t="s">
        <v>87</v>
      </c>
      <c r="T85" s="28">
        <v>20.85</v>
      </c>
      <c r="U85" s="13" t="s">
        <v>28</v>
      </c>
      <c r="V85" s="13" t="s">
        <v>146</v>
      </c>
      <c r="W85" s="13" t="s">
        <v>85</v>
      </c>
      <c r="X85" s="17">
        <f t="shared" si="5"/>
        <v>45740</v>
      </c>
      <c r="Y85" s="3"/>
    </row>
    <row r="86" spans="1:25" ht="45" customHeight="1">
      <c r="A86" s="3">
        <v>84</v>
      </c>
      <c r="B86" s="13" t="s">
        <v>402</v>
      </c>
      <c r="C86" s="13" t="s">
        <v>26</v>
      </c>
      <c r="D86" s="13" t="s">
        <v>403</v>
      </c>
      <c r="E86" s="13" t="s">
        <v>404</v>
      </c>
      <c r="F86" s="13" t="s">
        <v>29</v>
      </c>
      <c r="G86" s="13" t="s">
        <v>405</v>
      </c>
      <c r="H86" s="13" t="s">
        <v>406</v>
      </c>
      <c r="I86" s="27" t="s">
        <v>407</v>
      </c>
      <c r="J86" s="27" t="s">
        <v>33</v>
      </c>
      <c r="K86" s="27" t="s">
        <v>34</v>
      </c>
      <c r="L86" s="27" t="s">
        <v>408</v>
      </c>
      <c r="M86" s="27" t="s">
        <v>409</v>
      </c>
      <c r="N86" s="17">
        <f>DATE(2021,7,1)</f>
        <v>44378</v>
      </c>
      <c r="O86" s="13" t="s">
        <v>107</v>
      </c>
      <c r="P86" s="13" t="s">
        <v>410</v>
      </c>
      <c r="Q86" s="13" t="s">
        <v>411</v>
      </c>
      <c r="R86" s="13" t="s">
        <v>412</v>
      </c>
      <c r="S86" s="13" t="s">
        <v>410</v>
      </c>
      <c r="T86" s="28">
        <v>52.47</v>
      </c>
      <c r="U86" s="13" t="s">
        <v>404</v>
      </c>
      <c r="V86" s="13" t="s">
        <v>413</v>
      </c>
      <c r="W86" s="13" t="s">
        <v>405</v>
      </c>
      <c r="X86" s="17">
        <f>DATE(2022,1,1)</f>
        <v>44562</v>
      </c>
      <c r="Y86" s="3"/>
    </row>
    <row r="87" spans="1:25" ht="45" customHeight="1">
      <c r="A87" s="3">
        <v>85</v>
      </c>
      <c r="B87" s="13" t="s">
        <v>414</v>
      </c>
      <c r="C87" s="13" t="s">
        <v>26</v>
      </c>
      <c r="D87" s="13" t="s">
        <v>415</v>
      </c>
      <c r="E87" s="13" t="s">
        <v>416</v>
      </c>
      <c r="F87" s="13" t="s">
        <v>417</v>
      </c>
      <c r="G87" s="13" t="s">
        <v>418</v>
      </c>
      <c r="H87" s="13" t="s">
        <v>419</v>
      </c>
      <c r="I87" s="27" t="s">
        <v>420</v>
      </c>
      <c r="J87" s="27" t="s">
        <v>33</v>
      </c>
      <c r="K87" s="27" t="s">
        <v>34</v>
      </c>
      <c r="L87" s="27" t="s">
        <v>408</v>
      </c>
      <c r="M87" s="27" t="s">
        <v>409</v>
      </c>
      <c r="N87" s="17">
        <f>DATE(2021,9,20)</f>
        <v>44459</v>
      </c>
      <c r="O87" s="13" t="s">
        <v>107</v>
      </c>
      <c r="P87" s="13" t="s">
        <v>421</v>
      </c>
      <c r="Q87" s="13" t="s">
        <v>411</v>
      </c>
      <c r="R87" s="13" t="s">
        <v>422</v>
      </c>
      <c r="S87" s="13" t="s">
        <v>423</v>
      </c>
      <c r="T87" s="28">
        <v>42.42</v>
      </c>
      <c r="U87" s="13" t="s">
        <v>416</v>
      </c>
      <c r="V87" s="13" t="s">
        <v>413</v>
      </c>
      <c r="W87" s="13" t="s">
        <v>424</v>
      </c>
      <c r="X87" s="17">
        <f>DATE(2022,3,20)</f>
        <v>44640</v>
      </c>
      <c r="Y87" s="3"/>
    </row>
    <row r="88" spans="1:25" ht="45" customHeight="1">
      <c r="A88" s="3">
        <v>86</v>
      </c>
      <c r="B88" s="13" t="s">
        <v>425</v>
      </c>
      <c r="C88" s="13" t="s">
        <v>103</v>
      </c>
      <c r="D88" s="13" t="s">
        <v>426</v>
      </c>
      <c r="E88" s="13" t="s">
        <v>427</v>
      </c>
      <c r="F88" s="13" t="s">
        <v>428</v>
      </c>
      <c r="G88" s="13" t="s">
        <v>62</v>
      </c>
      <c r="H88" s="13" t="s">
        <v>406</v>
      </c>
      <c r="I88" s="27" t="s">
        <v>429</v>
      </c>
      <c r="J88" s="27" t="s">
        <v>33</v>
      </c>
      <c r="K88" s="27" t="s">
        <v>106</v>
      </c>
      <c r="L88" s="27" t="s">
        <v>35</v>
      </c>
      <c r="M88" s="27" t="s">
        <v>36</v>
      </c>
      <c r="N88" s="17">
        <f>DATE(2021,9,20)</f>
        <v>44459</v>
      </c>
      <c r="O88" s="13" t="s">
        <v>107</v>
      </c>
      <c r="P88" s="13" t="s">
        <v>430</v>
      </c>
      <c r="Q88" s="13" t="s">
        <v>431</v>
      </c>
      <c r="R88" s="13" t="s">
        <v>432</v>
      </c>
      <c r="S88" s="13" t="s">
        <v>433</v>
      </c>
      <c r="T88" s="28">
        <v>33.44</v>
      </c>
      <c r="U88" s="13" t="s">
        <v>427</v>
      </c>
      <c r="V88" s="13" t="s">
        <v>413</v>
      </c>
      <c r="W88" s="13" t="s">
        <v>62</v>
      </c>
      <c r="X88" s="17">
        <f>DATE(2021,12,20)</f>
        <v>44550</v>
      </c>
      <c r="Y88" s="3"/>
    </row>
    <row r="89" spans="1:25" ht="45" customHeight="1">
      <c r="A89" s="3">
        <v>87</v>
      </c>
      <c r="B89" s="13" t="s">
        <v>434</v>
      </c>
      <c r="C89" s="13" t="s">
        <v>103</v>
      </c>
      <c r="D89" s="13" t="s">
        <v>421</v>
      </c>
      <c r="E89" s="13" t="s">
        <v>435</v>
      </c>
      <c r="F89" s="13" t="s">
        <v>417</v>
      </c>
      <c r="G89" s="13" t="s">
        <v>419</v>
      </c>
      <c r="H89" s="13" t="s">
        <v>419</v>
      </c>
      <c r="I89" s="27" t="s">
        <v>436</v>
      </c>
      <c r="J89" s="27" t="s">
        <v>33</v>
      </c>
      <c r="K89" s="27" t="s">
        <v>106</v>
      </c>
      <c r="L89" s="27" t="s">
        <v>408</v>
      </c>
      <c r="M89" s="27" t="s">
        <v>409</v>
      </c>
      <c r="N89" s="17">
        <f>DATE(2021,10,18)</f>
        <v>44487</v>
      </c>
      <c r="O89" s="13" t="s">
        <v>107</v>
      </c>
      <c r="P89" s="13" t="s">
        <v>423</v>
      </c>
      <c r="Q89" s="13" t="s">
        <v>411</v>
      </c>
      <c r="R89" s="13" t="s">
        <v>437</v>
      </c>
      <c r="S89" s="13" t="s">
        <v>423</v>
      </c>
      <c r="T89" s="28">
        <v>54.44</v>
      </c>
      <c r="U89" s="13" t="s">
        <v>435</v>
      </c>
      <c r="V89" s="13" t="s">
        <v>413</v>
      </c>
      <c r="W89" s="13" t="s">
        <v>419</v>
      </c>
      <c r="X89" s="17">
        <f>DATE(2022,4,18)</f>
        <v>44669</v>
      </c>
      <c r="Y89" s="3"/>
    </row>
    <row r="90" spans="1:25" ht="45" customHeight="1">
      <c r="A90" s="3">
        <v>88</v>
      </c>
      <c r="B90" s="13" t="s">
        <v>438</v>
      </c>
      <c r="C90" s="13" t="s">
        <v>103</v>
      </c>
      <c r="D90" s="13" t="s">
        <v>37</v>
      </c>
      <c r="E90" s="13" t="s">
        <v>439</v>
      </c>
      <c r="F90" s="13" t="s">
        <v>29</v>
      </c>
      <c r="G90" s="13" t="s">
        <v>43</v>
      </c>
      <c r="H90" s="13" t="s">
        <v>406</v>
      </c>
      <c r="I90" s="27" t="s">
        <v>440</v>
      </c>
      <c r="J90" s="27" t="s">
        <v>33</v>
      </c>
      <c r="K90" s="27" t="s">
        <v>106</v>
      </c>
      <c r="L90" s="27" t="s">
        <v>35</v>
      </c>
      <c r="M90" s="27" t="s">
        <v>36</v>
      </c>
      <c r="N90" s="17">
        <f t="shared" ref="N90:N96" si="6">DATE(2021,11,1)</f>
        <v>44501</v>
      </c>
      <c r="O90" s="13" t="s">
        <v>107</v>
      </c>
      <c r="P90" s="13" t="s">
        <v>441</v>
      </c>
      <c r="Q90" s="13" t="s">
        <v>439</v>
      </c>
      <c r="R90" s="13" t="s">
        <v>442</v>
      </c>
      <c r="S90" s="13" t="s">
        <v>403</v>
      </c>
      <c r="T90" s="28">
        <v>33.64</v>
      </c>
      <c r="U90" s="13" t="s">
        <v>439</v>
      </c>
      <c r="V90" s="13" t="s">
        <v>413</v>
      </c>
      <c r="W90" s="13" t="s">
        <v>43</v>
      </c>
      <c r="X90" s="17">
        <f>DATE(2022,2,1)</f>
        <v>44593</v>
      </c>
      <c r="Y90" s="3"/>
    </row>
    <row r="91" spans="1:25" ht="45" customHeight="1">
      <c r="A91" s="3">
        <v>89</v>
      </c>
      <c r="B91" s="13" t="s">
        <v>443</v>
      </c>
      <c r="C91" s="13" t="s">
        <v>103</v>
      </c>
      <c r="D91" s="13" t="s">
        <v>444</v>
      </c>
      <c r="E91" s="13" t="s">
        <v>445</v>
      </c>
      <c r="F91" s="13" t="s">
        <v>446</v>
      </c>
      <c r="G91" s="13" t="s">
        <v>447</v>
      </c>
      <c r="H91" s="13" t="s">
        <v>406</v>
      </c>
      <c r="I91" s="27" t="s">
        <v>448</v>
      </c>
      <c r="J91" s="27" t="s">
        <v>33</v>
      </c>
      <c r="K91" s="27" t="s">
        <v>106</v>
      </c>
      <c r="L91" s="27" t="s">
        <v>408</v>
      </c>
      <c r="M91" s="27" t="s">
        <v>409</v>
      </c>
      <c r="N91" s="17">
        <f t="shared" si="6"/>
        <v>44501</v>
      </c>
      <c r="O91" s="13" t="s">
        <v>107</v>
      </c>
      <c r="P91" s="13" t="s">
        <v>449</v>
      </c>
      <c r="Q91" s="13" t="s">
        <v>431</v>
      </c>
      <c r="R91" s="13" t="s">
        <v>450</v>
      </c>
      <c r="S91" s="13" t="s">
        <v>403</v>
      </c>
      <c r="T91" s="28">
        <v>36.520000000000003</v>
      </c>
      <c r="U91" s="13" t="s">
        <v>445</v>
      </c>
      <c r="V91" s="13" t="s">
        <v>413</v>
      </c>
      <c r="W91" s="13" t="s">
        <v>447</v>
      </c>
      <c r="X91" s="17">
        <f>DATE(2022,2,1)</f>
        <v>44593</v>
      </c>
      <c r="Y91" s="3"/>
    </row>
    <row r="92" spans="1:25" ht="45" customHeight="1">
      <c r="A92" s="3">
        <v>90</v>
      </c>
      <c r="B92" s="13" t="s">
        <v>451</v>
      </c>
      <c r="C92" s="13" t="s">
        <v>103</v>
      </c>
      <c r="D92" s="13" t="s">
        <v>452</v>
      </c>
      <c r="E92" s="13" t="s">
        <v>427</v>
      </c>
      <c r="F92" s="13" t="s">
        <v>453</v>
      </c>
      <c r="G92" s="13" t="s">
        <v>454</v>
      </c>
      <c r="H92" s="13" t="s">
        <v>453</v>
      </c>
      <c r="I92" s="27" t="s">
        <v>455</v>
      </c>
      <c r="J92" s="27" t="s">
        <v>33</v>
      </c>
      <c r="K92" s="27" t="s">
        <v>106</v>
      </c>
      <c r="L92" s="27" t="s">
        <v>35</v>
      </c>
      <c r="M92" s="27" t="s">
        <v>36</v>
      </c>
      <c r="N92" s="17">
        <f t="shared" si="6"/>
        <v>44501</v>
      </c>
      <c r="O92" s="13" t="s">
        <v>107</v>
      </c>
      <c r="P92" s="13" t="s">
        <v>456</v>
      </c>
      <c r="Q92" s="13" t="s">
        <v>431</v>
      </c>
      <c r="R92" s="13" t="s">
        <v>457</v>
      </c>
      <c r="S92" s="13" t="s">
        <v>458</v>
      </c>
      <c r="T92" s="28">
        <v>31.38</v>
      </c>
      <c r="U92" s="13" t="s">
        <v>427</v>
      </c>
      <c r="V92" s="13" t="s">
        <v>413</v>
      </c>
      <c r="W92" s="13" t="s">
        <v>454</v>
      </c>
      <c r="X92" s="17">
        <f>DATE(2022,2,1)</f>
        <v>44593</v>
      </c>
      <c r="Y92" s="3"/>
    </row>
    <row r="93" spans="1:25" ht="45" customHeight="1">
      <c r="A93" s="3">
        <v>91</v>
      </c>
      <c r="B93" s="13" t="s">
        <v>459</v>
      </c>
      <c r="C93" s="13" t="s">
        <v>103</v>
      </c>
      <c r="D93" s="13" t="s">
        <v>460</v>
      </c>
      <c r="E93" s="13" t="s">
        <v>461</v>
      </c>
      <c r="F93" s="13" t="s">
        <v>417</v>
      </c>
      <c r="G93" s="13" t="s">
        <v>462</v>
      </c>
      <c r="H93" s="13" t="s">
        <v>419</v>
      </c>
      <c r="I93" s="27" t="s">
        <v>463</v>
      </c>
      <c r="J93" s="27" t="s">
        <v>33</v>
      </c>
      <c r="K93" s="27" t="s">
        <v>106</v>
      </c>
      <c r="L93" s="27" t="s">
        <v>408</v>
      </c>
      <c r="M93" s="27" t="s">
        <v>409</v>
      </c>
      <c r="N93" s="17">
        <f t="shared" si="6"/>
        <v>44501</v>
      </c>
      <c r="O93" s="13" t="s">
        <v>107</v>
      </c>
      <c r="P93" s="13" t="s">
        <v>464</v>
      </c>
      <c r="Q93" s="13" t="s">
        <v>465</v>
      </c>
      <c r="R93" s="13" t="s">
        <v>466</v>
      </c>
      <c r="S93" s="13" t="s">
        <v>423</v>
      </c>
      <c r="T93" s="28">
        <v>31.78</v>
      </c>
      <c r="U93" s="13" t="s">
        <v>461</v>
      </c>
      <c r="V93" s="13" t="s">
        <v>413</v>
      </c>
      <c r="W93" s="13" t="s">
        <v>467</v>
      </c>
      <c r="X93" s="17">
        <f>DATE(2022,2,1)</f>
        <v>44593</v>
      </c>
      <c r="Y93" s="3"/>
    </row>
    <row r="94" spans="1:25" ht="45" customHeight="1">
      <c r="A94" s="3">
        <v>92</v>
      </c>
      <c r="B94" s="13" t="s">
        <v>468</v>
      </c>
      <c r="C94" s="13" t="s">
        <v>26</v>
      </c>
      <c r="D94" s="13" t="s">
        <v>449</v>
      </c>
      <c r="E94" s="13" t="s">
        <v>435</v>
      </c>
      <c r="F94" s="13" t="s">
        <v>446</v>
      </c>
      <c r="G94" s="13" t="s">
        <v>446</v>
      </c>
      <c r="H94" s="13" t="s">
        <v>406</v>
      </c>
      <c r="I94" s="27" t="s">
        <v>469</v>
      </c>
      <c r="J94" s="27" t="s">
        <v>33</v>
      </c>
      <c r="K94" s="27" t="s">
        <v>34</v>
      </c>
      <c r="L94" s="27" t="s">
        <v>408</v>
      </c>
      <c r="M94" s="27" t="s">
        <v>409</v>
      </c>
      <c r="N94" s="17">
        <f t="shared" si="6"/>
        <v>44501</v>
      </c>
      <c r="O94" s="13" t="s">
        <v>107</v>
      </c>
      <c r="P94" s="13" t="s">
        <v>403</v>
      </c>
      <c r="Q94" s="13" t="s">
        <v>411</v>
      </c>
      <c r="R94" s="13" t="s">
        <v>470</v>
      </c>
      <c r="S94" s="13" t="s">
        <v>403</v>
      </c>
      <c r="T94" s="28">
        <v>45.73</v>
      </c>
      <c r="U94" s="13" t="s">
        <v>435</v>
      </c>
      <c r="V94" s="13" t="s">
        <v>413</v>
      </c>
      <c r="W94" s="13" t="s">
        <v>471</v>
      </c>
      <c r="X94" s="17">
        <f>DATE(2022,5,1)</f>
        <v>44682</v>
      </c>
      <c r="Y94" s="3"/>
    </row>
    <row r="95" spans="1:25" ht="45" customHeight="1">
      <c r="A95" s="3">
        <v>93</v>
      </c>
      <c r="B95" s="13" t="s">
        <v>472</v>
      </c>
      <c r="C95" s="13" t="s">
        <v>26</v>
      </c>
      <c r="D95" s="13" t="s">
        <v>473</v>
      </c>
      <c r="E95" s="13" t="s">
        <v>474</v>
      </c>
      <c r="F95" s="13" t="s">
        <v>475</v>
      </c>
      <c r="G95" s="13" t="s">
        <v>476</v>
      </c>
      <c r="H95" s="13" t="s">
        <v>406</v>
      </c>
      <c r="I95" s="27" t="s">
        <v>477</v>
      </c>
      <c r="J95" s="27" t="s">
        <v>33</v>
      </c>
      <c r="K95" s="27" t="s">
        <v>34</v>
      </c>
      <c r="L95" s="27" t="s">
        <v>35</v>
      </c>
      <c r="M95" s="27" t="s">
        <v>36</v>
      </c>
      <c r="N95" s="17">
        <f t="shared" si="6"/>
        <v>44501</v>
      </c>
      <c r="O95" s="13" t="s">
        <v>107</v>
      </c>
      <c r="P95" s="13" t="s">
        <v>478</v>
      </c>
      <c r="Q95" s="13" t="s">
        <v>431</v>
      </c>
      <c r="R95" s="13" t="s">
        <v>479</v>
      </c>
      <c r="S95" s="13" t="s">
        <v>433</v>
      </c>
      <c r="T95" s="28">
        <v>33.93</v>
      </c>
      <c r="U95" s="13" t="s">
        <v>474</v>
      </c>
      <c r="V95" s="13" t="s">
        <v>413</v>
      </c>
      <c r="W95" s="13" t="s">
        <v>476</v>
      </c>
      <c r="X95" s="17">
        <f>DATE(2022,2,1)</f>
        <v>44593</v>
      </c>
      <c r="Y95" s="3"/>
    </row>
    <row r="96" spans="1:25" ht="45" customHeight="1">
      <c r="A96" s="3">
        <v>94</v>
      </c>
      <c r="B96" s="13" t="s">
        <v>480</v>
      </c>
      <c r="C96" s="13" t="s">
        <v>103</v>
      </c>
      <c r="D96" s="13" t="s">
        <v>481</v>
      </c>
      <c r="E96" s="13" t="s">
        <v>445</v>
      </c>
      <c r="F96" s="13" t="s">
        <v>475</v>
      </c>
      <c r="G96" s="13" t="s">
        <v>476</v>
      </c>
      <c r="H96" s="13" t="s">
        <v>406</v>
      </c>
      <c r="I96" s="27" t="s">
        <v>482</v>
      </c>
      <c r="J96" s="27" t="s">
        <v>33</v>
      </c>
      <c r="K96" s="27" t="s">
        <v>106</v>
      </c>
      <c r="L96" s="27" t="s">
        <v>35</v>
      </c>
      <c r="M96" s="27" t="s">
        <v>36</v>
      </c>
      <c r="N96" s="17">
        <f t="shared" si="6"/>
        <v>44501</v>
      </c>
      <c r="O96" s="13" t="s">
        <v>107</v>
      </c>
      <c r="P96" s="13" t="s">
        <v>473</v>
      </c>
      <c r="Q96" s="13" t="s">
        <v>431</v>
      </c>
      <c r="R96" s="13" t="s">
        <v>483</v>
      </c>
      <c r="S96" s="13" t="s">
        <v>478</v>
      </c>
      <c r="T96" s="28">
        <v>31.06</v>
      </c>
      <c r="U96" s="13" t="s">
        <v>445</v>
      </c>
      <c r="V96" s="13" t="s">
        <v>413</v>
      </c>
      <c r="W96" s="13" t="s">
        <v>476</v>
      </c>
      <c r="X96" s="17">
        <f>DATE(2022,2,1)</f>
        <v>44593</v>
      </c>
      <c r="Y96" s="3"/>
    </row>
    <row r="97" spans="1:25" ht="45" customHeight="1">
      <c r="A97" s="3">
        <v>95</v>
      </c>
      <c r="B97" s="13" t="s">
        <v>484</v>
      </c>
      <c r="C97" s="13" t="s">
        <v>103</v>
      </c>
      <c r="D97" s="13" t="s">
        <v>485</v>
      </c>
      <c r="E97" s="13" t="s">
        <v>427</v>
      </c>
      <c r="F97" s="13" t="s">
        <v>453</v>
      </c>
      <c r="G97" s="13" t="s">
        <v>454</v>
      </c>
      <c r="H97" s="13" t="s">
        <v>453</v>
      </c>
      <c r="I97" s="27" t="s">
        <v>486</v>
      </c>
      <c r="J97" s="27" t="s">
        <v>33</v>
      </c>
      <c r="K97" s="27" t="s">
        <v>106</v>
      </c>
      <c r="L97" s="27" t="s">
        <v>35</v>
      </c>
      <c r="M97" s="27" t="s">
        <v>36</v>
      </c>
      <c r="N97" s="17">
        <f>DATE(2021,11,8)</f>
        <v>44508</v>
      </c>
      <c r="O97" s="13" t="s">
        <v>107</v>
      </c>
      <c r="P97" s="13" t="s">
        <v>456</v>
      </c>
      <c r="Q97" s="13" t="s">
        <v>431</v>
      </c>
      <c r="R97" s="13" t="s">
        <v>487</v>
      </c>
      <c r="S97" s="13" t="s">
        <v>458</v>
      </c>
      <c r="T97" s="28">
        <v>33.619999999999997</v>
      </c>
      <c r="U97" s="13" t="s">
        <v>427</v>
      </c>
      <c r="V97" s="13" t="s">
        <v>413</v>
      </c>
      <c r="W97" s="13" t="s">
        <v>454</v>
      </c>
      <c r="X97" s="17">
        <f>DATE(2022,2,8)</f>
        <v>44600</v>
      </c>
      <c r="Y97" s="3"/>
    </row>
    <row r="98" spans="1:25" ht="45" customHeight="1">
      <c r="A98" s="3">
        <v>96</v>
      </c>
      <c r="B98" s="13" t="s">
        <v>488</v>
      </c>
      <c r="C98" s="13" t="s">
        <v>103</v>
      </c>
      <c r="D98" s="13" t="s">
        <v>489</v>
      </c>
      <c r="E98" s="13" t="s">
        <v>490</v>
      </c>
      <c r="F98" s="13" t="s">
        <v>491</v>
      </c>
      <c r="G98" s="13" t="s">
        <v>492</v>
      </c>
      <c r="H98" s="13" t="s">
        <v>406</v>
      </c>
      <c r="I98" s="27" t="s">
        <v>493</v>
      </c>
      <c r="J98" s="27" t="s">
        <v>33</v>
      </c>
      <c r="K98" s="27" t="s">
        <v>106</v>
      </c>
      <c r="L98" s="27" t="s">
        <v>35</v>
      </c>
      <c r="M98" s="27" t="s">
        <v>36</v>
      </c>
      <c r="N98" s="17">
        <f>DATE(2021,11,22)</f>
        <v>44522</v>
      </c>
      <c r="O98" s="13" t="s">
        <v>107</v>
      </c>
      <c r="P98" s="13" t="s">
        <v>494</v>
      </c>
      <c r="Q98" s="13" t="s">
        <v>465</v>
      </c>
      <c r="R98" s="13" t="s">
        <v>495</v>
      </c>
      <c r="S98" s="13" t="s">
        <v>496</v>
      </c>
      <c r="T98" s="28">
        <v>31.4</v>
      </c>
      <c r="U98" s="13" t="s">
        <v>490</v>
      </c>
      <c r="V98" s="13" t="s">
        <v>146</v>
      </c>
      <c r="W98" s="13" t="s">
        <v>492</v>
      </c>
      <c r="X98" s="17">
        <f>DATE(2022,2,22)</f>
        <v>44614</v>
      </c>
      <c r="Y98" s="3"/>
    </row>
    <row r="99" spans="1:25" ht="45" customHeight="1">
      <c r="A99" s="3">
        <v>97</v>
      </c>
      <c r="B99" s="13" t="s">
        <v>497</v>
      </c>
      <c r="C99" s="13" t="s">
        <v>26</v>
      </c>
      <c r="D99" s="13" t="s">
        <v>498</v>
      </c>
      <c r="E99" s="13" t="s">
        <v>499</v>
      </c>
      <c r="F99" s="13" t="s">
        <v>29</v>
      </c>
      <c r="G99" s="13" t="s">
        <v>79</v>
      </c>
      <c r="H99" s="13" t="s">
        <v>406</v>
      </c>
      <c r="I99" s="27" t="s">
        <v>500</v>
      </c>
      <c r="J99" s="27" t="s">
        <v>33</v>
      </c>
      <c r="K99" s="27" t="s">
        <v>34</v>
      </c>
      <c r="L99" s="27" t="s">
        <v>208</v>
      </c>
      <c r="M99" s="27" t="s">
        <v>209</v>
      </c>
      <c r="N99" s="17">
        <f t="shared" ref="N99:N105" si="7">DATE(2021,12,1)</f>
        <v>44531</v>
      </c>
      <c r="O99" s="13" t="s">
        <v>107</v>
      </c>
      <c r="P99" s="13" t="s">
        <v>81</v>
      </c>
      <c r="Q99" s="13" t="s">
        <v>501</v>
      </c>
      <c r="R99" s="13" t="s">
        <v>502</v>
      </c>
      <c r="S99" s="13" t="s">
        <v>503</v>
      </c>
      <c r="T99" s="28">
        <v>37.89</v>
      </c>
      <c r="U99" s="13" t="s">
        <v>499</v>
      </c>
      <c r="V99" s="13" t="s">
        <v>146</v>
      </c>
      <c r="W99" s="13" t="s">
        <v>79</v>
      </c>
      <c r="X99" s="17">
        <f t="shared" ref="X99:X105" si="8">DATE(2022,3,1)</f>
        <v>44621</v>
      </c>
      <c r="Y99" s="3"/>
    </row>
    <row r="100" spans="1:25" ht="45" customHeight="1">
      <c r="A100" s="3">
        <v>98</v>
      </c>
      <c r="B100" s="13" t="s">
        <v>504</v>
      </c>
      <c r="C100" s="13" t="s">
        <v>26</v>
      </c>
      <c r="D100" s="13" t="s">
        <v>505</v>
      </c>
      <c r="E100" s="13" t="s">
        <v>427</v>
      </c>
      <c r="F100" s="13" t="s">
        <v>491</v>
      </c>
      <c r="G100" s="13" t="s">
        <v>492</v>
      </c>
      <c r="H100" s="13" t="s">
        <v>406</v>
      </c>
      <c r="I100" s="27" t="s">
        <v>506</v>
      </c>
      <c r="J100" s="27" t="s">
        <v>33</v>
      </c>
      <c r="K100" s="27" t="s">
        <v>34</v>
      </c>
      <c r="L100" s="27" t="s">
        <v>35</v>
      </c>
      <c r="M100" s="27" t="s">
        <v>36</v>
      </c>
      <c r="N100" s="17">
        <f t="shared" si="7"/>
        <v>44531</v>
      </c>
      <c r="O100" s="13" t="s">
        <v>107</v>
      </c>
      <c r="P100" s="13" t="s">
        <v>494</v>
      </c>
      <c r="Q100" s="13" t="s">
        <v>431</v>
      </c>
      <c r="R100" s="13" t="s">
        <v>507</v>
      </c>
      <c r="S100" s="13" t="s">
        <v>496</v>
      </c>
      <c r="T100" s="28">
        <v>32.299999999999997</v>
      </c>
      <c r="U100" s="13" t="s">
        <v>427</v>
      </c>
      <c r="V100" s="13" t="s">
        <v>413</v>
      </c>
      <c r="W100" s="13" t="s">
        <v>492</v>
      </c>
      <c r="X100" s="17">
        <f t="shared" si="8"/>
        <v>44621</v>
      </c>
      <c r="Y100" s="3"/>
    </row>
    <row r="101" spans="1:25" ht="45" customHeight="1">
      <c r="A101" s="3">
        <v>99</v>
      </c>
      <c r="B101" s="13" t="s">
        <v>508</v>
      </c>
      <c r="C101" s="13" t="s">
        <v>103</v>
      </c>
      <c r="D101" s="13" t="s">
        <v>58</v>
      </c>
      <c r="E101" s="13" t="s">
        <v>439</v>
      </c>
      <c r="F101" s="13" t="s">
        <v>29</v>
      </c>
      <c r="G101" s="13" t="s">
        <v>56</v>
      </c>
      <c r="H101" s="13" t="s">
        <v>406</v>
      </c>
      <c r="I101" s="27" t="s">
        <v>509</v>
      </c>
      <c r="J101" s="27" t="s">
        <v>33</v>
      </c>
      <c r="K101" s="27" t="s">
        <v>106</v>
      </c>
      <c r="L101" s="27" t="s">
        <v>35</v>
      </c>
      <c r="M101" s="27" t="s">
        <v>36</v>
      </c>
      <c r="N101" s="17">
        <f t="shared" si="7"/>
        <v>44531</v>
      </c>
      <c r="O101" s="13" t="s">
        <v>107</v>
      </c>
      <c r="P101" s="13" t="s">
        <v>441</v>
      </c>
      <c r="Q101" s="13" t="s">
        <v>439</v>
      </c>
      <c r="R101" s="13" t="s">
        <v>510</v>
      </c>
      <c r="S101" s="13" t="s">
        <v>403</v>
      </c>
      <c r="T101" s="28">
        <v>32.92</v>
      </c>
      <c r="U101" s="13" t="s">
        <v>439</v>
      </c>
      <c r="V101" s="13" t="s">
        <v>413</v>
      </c>
      <c r="W101" s="13" t="s">
        <v>56</v>
      </c>
      <c r="X101" s="17">
        <f t="shared" si="8"/>
        <v>44621</v>
      </c>
      <c r="Y101" s="3"/>
    </row>
    <row r="102" spans="1:25" ht="45" customHeight="1">
      <c r="A102" s="3">
        <v>100</v>
      </c>
      <c r="B102" s="13" t="s">
        <v>511</v>
      </c>
      <c r="C102" s="13" t="s">
        <v>26</v>
      </c>
      <c r="D102" s="13" t="s">
        <v>81</v>
      </c>
      <c r="E102" s="13" t="s">
        <v>439</v>
      </c>
      <c r="F102" s="13" t="s">
        <v>29</v>
      </c>
      <c r="G102" s="13" t="s">
        <v>79</v>
      </c>
      <c r="H102" s="13" t="s">
        <v>406</v>
      </c>
      <c r="I102" s="27" t="s">
        <v>512</v>
      </c>
      <c r="J102" s="27" t="s">
        <v>33</v>
      </c>
      <c r="K102" s="27" t="s">
        <v>34</v>
      </c>
      <c r="L102" s="27" t="s">
        <v>208</v>
      </c>
      <c r="M102" s="27" t="s">
        <v>209</v>
      </c>
      <c r="N102" s="17">
        <f t="shared" si="7"/>
        <v>44531</v>
      </c>
      <c r="O102" s="13" t="s">
        <v>107</v>
      </c>
      <c r="P102" s="13" t="s">
        <v>503</v>
      </c>
      <c r="Q102" s="13" t="s">
        <v>439</v>
      </c>
      <c r="R102" s="13" t="s">
        <v>513</v>
      </c>
      <c r="S102" s="13" t="s">
        <v>403</v>
      </c>
      <c r="T102" s="28">
        <v>37.229999999999997</v>
      </c>
      <c r="U102" s="13" t="s">
        <v>439</v>
      </c>
      <c r="V102" s="13" t="s">
        <v>413</v>
      </c>
      <c r="W102" s="13" t="s">
        <v>79</v>
      </c>
      <c r="X102" s="17">
        <f t="shared" si="8"/>
        <v>44621</v>
      </c>
      <c r="Y102" s="3"/>
    </row>
    <row r="103" spans="1:25" ht="45" customHeight="1">
      <c r="A103" s="3">
        <v>101</v>
      </c>
      <c r="B103" s="13" t="s">
        <v>514</v>
      </c>
      <c r="C103" s="13" t="s">
        <v>26</v>
      </c>
      <c r="D103" s="13" t="s">
        <v>515</v>
      </c>
      <c r="E103" s="13" t="s">
        <v>445</v>
      </c>
      <c r="F103" s="13" t="s">
        <v>446</v>
      </c>
      <c r="G103" s="13" t="s">
        <v>516</v>
      </c>
      <c r="H103" s="13" t="s">
        <v>406</v>
      </c>
      <c r="I103" s="27" t="s">
        <v>517</v>
      </c>
      <c r="J103" s="27" t="s">
        <v>33</v>
      </c>
      <c r="K103" s="27" t="s">
        <v>34</v>
      </c>
      <c r="L103" s="27" t="s">
        <v>35</v>
      </c>
      <c r="M103" s="27" t="s">
        <v>36</v>
      </c>
      <c r="N103" s="17">
        <f t="shared" si="7"/>
        <v>44531</v>
      </c>
      <c r="O103" s="13" t="s">
        <v>107</v>
      </c>
      <c r="P103" s="13" t="s">
        <v>449</v>
      </c>
      <c r="Q103" s="13" t="s">
        <v>431</v>
      </c>
      <c r="R103" s="13" t="s">
        <v>518</v>
      </c>
      <c r="S103" s="13" t="s">
        <v>403</v>
      </c>
      <c r="T103" s="28">
        <v>29.69</v>
      </c>
      <c r="U103" s="13" t="s">
        <v>445</v>
      </c>
      <c r="V103" s="13" t="s">
        <v>413</v>
      </c>
      <c r="W103" s="13" t="s">
        <v>516</v>
      </c>
      <c r="X103" s="17">
        <f t="shared" si="8"/>
        <v>44621</v>
      </c>
      <c r="Y103" s="3"/>
    </row>
    <row r="104" spans="1:25" ht="45" customHeight="1">
      <c r="A104" s="3">
        <v>102</v>
      </c>
      <c r="B104" s="13" t="s">
        <v>519</v>
      </c>
      <c r="C104" s="13" t="s">
        <v>26</v>
      </c>
      <c r="D104" s="13" t="s">
        <v>520</v>
      </c>
      <c r="E104" s="13" t="s">
        <v>427</v>
      </c>
      <c r="F104" s="13" t="s">
        <v>521</v>
      </c>
      <c r="G104" s="13" t="s">
        <v>43</v>
      </c>
      <c r="H104" s="13" t="s">
        <v>406</v>
      </c>
      <c r="I104" s="27" t="s">
        <v>522</v>
      </c>
      <c r="J104" s="27" t="s">
        <v>33</v>
      </c>
      <c r="K104" s="27" t="s">
        <v>34</v>
      </c>
      <c r="L104" s="27" t="s">
        <v>35</v>
      </c>
      <c r="M104" s="27" t="s">
        <v>36</v>
      </c>
      <c r="N104" s="17">
        <f t="shared" si="7"/>
        <v>44531</v>
      </c>
      <c r="O104" s="13" t="s">
        <v>107</v>
      </c>
      <c r="P104" s="13" t="s">
        <v>523</v>
      </c>
      <c r="Q104" s="13" t="s">
        <v>431</v>
      </c>
      <c r="R104" s="13" t="s">
        <v>524</v>
      </c>
      <c r="S104" s="13" t="s">
        <v>525</v>
      </c>
      <c r="T104" s="28">
        <v>33.299999999999997</v>
      </c>
      <c r="U104" s="13" t="s">
        <v>427</v>
      </c>
      <c r="V104" s="13" t="s">
        <v>413</v>
      </c>
      <c r="W104" s="13" t="s">
        <v>43</v>
      </c>
      <c r="X104" s="17">
        <f t="shared" si="8"/>
        <v>44621</v>
      </c>
      <c r="Y104" s="3"/>
    </row>
    <row r="105" spans="1:25" ht="45" customHeight="1">
      <c r="A105" s="3">
        <v>103</v>
      </c>
      <c r="B105" s="13" t="s">
        <v>526</v>
      </c>
      <c r="C105" s="13" t="s">
        <v>103</v>
      </c>
      <c r="D105" s="13" t="s">
        <v>523</v>
      </c>
      <c r="E105" s="13" t="s">
        <v>427</v>
      </c>
      <c r="F105" s="13" t="s">
        <v>521</v>
      </c>
      <c r="G105" s="13" t="s">
        <v>43</v>
      </c>
      <c r="H105" s="13" t="s">
        <v>406</v>
      </c>
      <c r="I105" s="27" t="s">
        <v>527</v>
      </c>
      <c r="J105" s="27" t="s">
        <v>33</v>
      </c>
      <c r="K105" s="27" t="s">
        <v>106</v>
      </c>
      <c r="L105" s="27" t="s">
        <v>35</v>
      </c>
      <c r="M105" s="27" t="s">
        <v>36</v>
      </c>
      <c r="N105" s="17">
        <f t="shared" si="7"/>
        <v>44531</v>
      </c>
      <c r="O105" s="13" t="s">
        <v>107</v>
      </c>
      <c r="P105" s="13" t="s">
        <v>525</v>
      </c>
      <c r="Q105" s="13" t="s">
        <v>431</v>
      </c>
      <c r="R105" s="13" t="s">
        <v>528</v>
      </c>
      <c r="S105" s="13" t="s">
        <v>525</v>
      </c>
      <c r="T105" s="28">
        <v>31.13</v>
      </c>
      <c r="U105" s="13" t="s">
        <v>427</v>
      </c>
      <c r="V105" s="13" t="s">
        <v>413</v>
      </c>
      <c r="W105" s="13" t="s">
        <v>43</v>
      </c>
      <c r="X105" s="17">
        <f t="shared" si="8"/>
        <v>44621</v>
      </c>
      <c r="Y105" s="3"/>
    </row>
    <row r="106" spans="1:25" ht="45" customHeight="1">
      <c r="A106" s="3">
        <v>104</v>
      </c>
      <c r="B106" s="13" t="s">
        <v>529</v>
      </c>
      <c r="C106" s="13" t="s">
        <v>103</v>
      </c>
      <c r="D106" s="13" t="s">
        <v>464</v>
      </c>
      <c r="E106" s="13" t="s">
        <v>530</v>
      </c>
      <c r="F106" s="13" t="s">
        <v>417</v>
      </c>
      <c r="G106" s="13" t="s">
        <v>531</v>
      </c>
      <c r="H106" s="13" t="s">
        <v>419</v>
      </c>
      <c r="I106" s="27" t="s">
        <v>532</v>
      </c>
      <c r="J106" s="27" t="s">
        <v>33</v>
      </c>
      <c r="K106" s="27" t="s">
        <v>106</v>
      </c>
      <c r="L106" s="27" t="s">
        <v>408</v>
      </c>
      <c r="M106" s="27" t="s">
        <v>409</v>
      </c>
      <c r="N106" s="17">
        <f>DATE(2021,12,6)</f>
        <v>44536</v>
      </c>
      <c r="O106" s="13" t="s">
        <v>107</v>
      </c>
      <c r="P106" s="13" t="s">
        <v>415</v>
      </c>
      <c r="Q106" s="13" t="s">
        <v>411</v>
      </c>
      <c r="R106" s="13" t="s">
        <v>533</v>
      </c>
      <c r="S106" s="13" t="s">
        <v>423</v>
      </c>
      <c r="T106" s="28">
        <v>40.770000000000003</v>
      </c>
      <c r="U106" s="13" t="s">
        <v>530</v>
      </c>
      <c r="V106" s="13" t="s">
        <v>413</v>
      </c>
      <c r="W106" s="13" t="s">
        <v>534</v>
      </c>
      <c r="X106" s="17">
        <f>DATE(2022,3,6)</f>
        <v>44626</v>
      </c>
      <c r="Y106" s="3"/>
    </row>
    <row r="107" spans="1:25" ht="45" customHeight="1">
      <c r="A107" s="3">
        <v>105</v>
      </c>
      <c r="B107" s="13" t="s">
        <v>535</v>
      </c>
      <c r="C107" s="13" t="s">
        <v>103</v>
      </c>
      <c r="D107" s="13" t="s">
        <v>536</v>
      </c>
      <c r="E107" s="13" t="s">
        <v>445</v>
      </c>
      <c r="F107" s="13" t="s">
        <v>428</v>
      </c>
      <c r="G107" s="13" t="s">
        <v>537</v>
      </c>
      <c r="H107" s="13" t="s">
        <v>406</v>
      </c>
      <c r="I107" s="27" t="s">
        <v>538</v>
      </c>
      <c r="J107" s="27" t="s">
        <v>33</v>
      </c>
      <c r="K107" s="27" t="s">
        <v>106</v>
      </c>
      <c r="L107" s="27" t="s">
        <v>35</v>
      </c>
      <c r="M107" s="27" t="s">
        <v>36</v>
      </c>
      <c r="N107" s="17">
        <f>DATE(2021,12,6)</f>
        <v>44536</v>
      </c>
      <c r="O107" s="13" t="s">
        <v>107</v>
      </c>
      <c r="P107" s="13" t="s">
        <v>430</v>
      </c>
      <c r="Q107" s="13" t="s">
        <v>431</v>
      </c>
      <c r="R107" s="13" t="s">
        <v>539</v>
      </c>
      <c r="S107" s="13" t="s">
        <v>433</v>
      </c>
      <c r="T107" s="28">
        <v>32.590000000000003</v>
      </c>
      <c r="U107" s="13" t="s">
        <v>445</v>
      </c>
      <c r="V107" s="13" t="s">
        <v>413</v>
      </c>
      <c r="W107" s="13" t="s">
        <v>537</v>
      </c>
      <c r="X107" s="17">
        <f>DATE(2022,3,6)</f>
        <v>44626</v>
      </c>
      <c r="Y107" s="3"/>
    </row>
    <row r="108" spans="1:25" ht="45" customHeight="1">
      <c r="A108" s="3">
        <v>106</v>
      </c>
      <c r="B108" s="13" t="s">
        <v>540</v>
      </c>
      <c r="C108" s="13" t="s">
        <v>26</v>
      </c>
      <c r="D108" s="13" t="s">
        <v>541</v>
      </c>
      <c r="E108" s="13" t="s">
        <v>427</v>
      </c>
      <c r="F108" s="13" t="s">
        <v>428</v>
      </c>
      <c r="G108" s="13" t="s">
        <v>85</v>
      </c>
      <c r="H108" s="13" t="s">
        <v>406</v>
      </c>
      <c r="I108" s="27" t="s">
        <v>542</v>
      </c>
      <c r="J108" s="27" t="s">
        <v>33</v>
      </c>
      <c r="K108" s="27" t="s">
        <v>34</v>
      </c>
      <c r="L108" s="27" t="s">
        <v>35</v>
      </c>
      <c r="M108" s="27" t="s">
        <v>36</v>
      </c>
      <c r="N108" s="17">
        <f>DATE(2021,12,13)</f>
        <v>44543</v>
      </c>
      <c r="O108" s="13" t="s">
        <v>107</v>
      </c>
      <c r="P108" s="13" t="s">
        <v>430</v>
      </c>
      <c r="Q108" s="13" t="s">
        <v>431</v>
      </c>
      <c r="R108" s="13" t="s">
        <v>543</v>
      </c>
      <c r="S108" s="13" t="s">
        <v>433</v>
      </c>
      <c r="T108" s="28">
        <v>29.24</v>
      </c>
      <c r="U108" s="13" t="s">
        <v>427</v>
      </c>
      <c r="V108" s="13" t="s">
        <v>413</v>
      </c>
      <c r="W108" s="13" t="s">
        <v>85</v>
      </c>
      <c r="X108" s="17">
        <f>DATE(2022,3,13)</f>
        <v>44633</v>
      </c>
      <c r="Y108" s="3"/>
    </row>
    <row r="109" spans="1:25" ht="45" customHeight="1">
      <c r="A109" s="3">
        <v>107</v>
      </c>
      <c r="B109" s="13" t="s">
        <v>544</v>
      </c>
      <c r="C109" s="13" t="s">
        <v>26</v>
      </c>
      <c r="D109" s="13" t="s">
        <v>545</v>
      </c>
      <c r="E109" s="13" t="s">
        <v>474</v>
      </c>
      <c r="F109" s="13" t="s">
        <v>521</v>
      </c>
      <c r="G109" s="13" t="s">
        <v>405</v>
      </c>
      <c r="H109" s="13" t="s">
        <v>406</v>
      </c>
      <c r="I109" s="27" t="s">
        <v>546</v>
      </c>
      <c r="J109" s="27" t="s">
        <v>33</v>
      </c>
      <c r="K109" s="27" t="s">
        <v>34</v>
      </c>
      <c r="L109" s="27" t="s">
        <v>35</v>
      </c>
      <c r="M109" s="27" t="s">
        <v>36</v>
      </c>
      <c r="N109" s="17">
        <f>DATE(2021,12,20)</f>
        <v>44550</v>
      </c>
      <c r="O109" s="13" t="s">
        <v>107</v>
      </c>
      <c r="P109" s="13" t="s">
        <v>525</v>
      </c>
      <c r="Q109" s="13" t="s">
        <v>431</v>
      </c>
      <c r="R109" s="13" t="s">
        <v>547</v>
      </c>
      <c r="S109" s="13" t="s">
        <v>525</v>
      </c>
      <c r="T109" s="28">
        <v>29.82</v>
      </c>
      <c r="U109" s="13" t="s">
        <v>474</v>
      </c>
      <c r="V109" s="13" t="s">
        <v>413</v>
      </c>
      <c r="W109" s="13" t="s">
        <v>405</v>
      </c>
      <c r="X109" s="17">
        <f>DATE(2022,3,20)</f>
        <v>44640</v>
      </c>
      <c r="Y109" s="3"/>
    </row>
    <row r="110" spans="1:25" ht="45" customHeight="1">
      <c r="A110" s="3">
        <v>108</v>
      </c>
      <c r="B110" s="13" t="s">
        <v>548</v>
      </c>
      <c r="C110" s="13" t="s">
        <v>26</v>
      </c>
      <c r="D110" s="13" t="s">
        <v>549</v>
      </c>
      <c r="E110" s="13" t="s">
        <v>499</v>
      </c>
      <c r="F110" s="13" t="s">
        <v>29</v>
      </c>
      <c r="G110" s="13" t="s">
        <v>537</v>
      </c>
      <c r="H110" s="13" t="s">
        <v>406</v>
      </c>
      <c r="I110" s="27" t="s">
        <v>550</v>
      </c>
      <c r="J110" s="27" t="s">
        <v>33</v>
      </c>
      <c r="K110" s="27" t="s">
        <v>34</v>
      </c>
      <c r="L110" s="27" t="s">
        <v>35</v>
      </c>
      <c r="M110" s="27" t="s">
        <v>36</v>
      </c>
      <c r="N110" s="17">
        <f>DATE(2021,12,20)</f>
        <v>44550</v>
      </c>
      <c r="O110" s="13" t="s">
        <v>107</v>
      </c>
      <c r="P110" s="13" t="s">
        <v>64</v>
      </c>
      <c r="Q110" s="13" t="s">
        <v>501</v>
      </c>
      <c r="R110" s="13" t="s">
        <v>551</v>
      </c>
      <c r="S110" s="13" t="s">
        <v>441</v>
      </c>
      <c r="T110" s="28">
        <v>29.5</v>
      </c>
      <c r="U110" s="13" t="s">
        <v>499</v>
      </c>
      <c r="V110" s="13" t="s">
        <v>53</v>
      </c>
      <c r="W110" s="13" t="s">
        <v>537</v>
      </c>
      <c r="X110" s="17">
        <f>DATE(2022,3,20)</f>
        <v>44640</v>
      </c>
      <c r="Y110" s="3"/>
    </row>
    <row r="111" spans="1:25" ht="45" customHeight="1">
      <c r="A111" s="3">
        <v>109</v>
      </c>
      <c r="B111" s="13" t="s">
        <v>552</v>
      </c>
      <c r="C111" s="13" t="s">
        <v>103</v>
      </c>
      <c r="D111" s="13" t="s">
        <v>553</v>
      </c>
      <c r="E111" s="13" t="s">
        <v>445</v>
      </c>
      <c r="F111" s="13" t="s">
        <v>428</v>
      </c>
      <c r="G111" s="13" t="s">
        <v>62</v>
      </c>
      <c r="H111" s="13" t="s">
        <v>406</v>
      </c>
      <c r="I111" s="27" t="s">
        <v>554</v>
      </c>
      <c r="J111" s="27" t="s">
        <v>33</v>
      </c>
      <c r="K111" s="27" t="s">
        <v>106</v>
      </c>
      <c r="L111" s="27" t="s">
        <v>35</v>
      </c>
      <c r="M111" s="27" t="s">
        <v>36</v>
      </c>
      <c r="N111" s="17">
        <f>DATE(2021,12,20)</f>
        <v>44550</v>
      </c>
      <c r="O111" s="13" t="s">
        <v>107</v>
      </c>
      <c r="P111" s="13" t="s">
        <v>430</v>
      </c>
      <c r="Q111" s="13" t="s">
        <v>431</v>
      </c>
      <c r="R111" s="13" t="s">
        <v>555</v>
      </c>
      <c r="S111" s="13" t="s">
        <v>433</v>
      </c>
      <c r="T111" s="28">
        <v>37.72</v>
      </c>
      <c r="U111" s="13" t="s">
        <v>445</v>
      </c>
      <c r="V111" s="13" t="s">
        <v>413</v>
      </c>
      <c r="W111" s="13" t="s">
        <v>62</v>
      </c>
      <c r="X111" s="17">
        <f>DATE(2022,3,20)</f>
        <v>44640</v>
      </c>
      <c r="Y111" s="3"/>
    </row>
    <row r="112" spans="1:25" ht="45" customHeight="1">
      <c r="A112" s="3">
        <v>110</v>
      </c>
      <c r="B112" s="13" t="s">
        <v>556</v>
      </c>
      <c r="C112" s="13" t="s">
        <v>103</v>
      </c>
      <c r="D112" s="13" t="s">
        <v>557</v>
      </c>
      <c r="E112" s="13" t="s">
        <v>558</v>
      </c>
      <c r="F112" s="13" t="s">
        <v>475</v>
      </c>
      <c r="G112" s="13" t="s">
        <v>559</v>
      </c>
      <c r="H112" s="13" t="s">
        <v>406</v>
      </c>
      <c r="I112" s="27" t="s">
        <v>560</v>
      </c>
      <c r="J112" s="27" t="s">
        <v>33</v>
      </c>
      <c r="K112" s="27" t="s">
        <v>106</v>
      </c>
      <c r="L112" s="27" t="s">
        <v>35</v>
      </c>
      <c r="M112" s="27" t="s">
        <v>36</v>
      </c>
      <c r="N112" s="17">
        <f>DATE(2021,12,20)</f>
        <v>44550</v>
      </c>
      <c r="O112" s="13" t="s">
        <v>107</v>
      </c>
      <c r="P112" s="13" t="s">
        <v>478</v>
      </c>
      <c r="Q112" s="13" t="s">
        <v>431</v>
      </c>
      <c r="R112" s="13" t="s">
        <v>561</v>
      </c>
      <c r="S112" s="13" t="s">
        <v>433</v>
      </c>
      <c r="T112" s="28">
        <v>38.75</v>
      </c>
      <c r="U112" s="13" t="s">
        <v>474</v>
      </c>
      <c r="V112" s="13" t="s">
        <v>413</v>
      </c>
      <c r="W112" s="13" t="s">
        <v>559</v>
      </c>
      <c r="X112" s="17">
        <f>DATE(2022,3,20)</f>
        <v>44640</v>
      </c>
      <c r="Y112" s="3"/>
    </row>
    <row r="113" spans="1:25" ht="45" customHeight="1">
      <c r="A113" s="3">
        <v>111</v>
      </c>
      <c r="B113" s="13" t="s">
        <v>562</v>
      </c>
      <c r="C113" s="13" t="s">
        <v>103</v>
      </c>
      <c r="D113" s="13" t="s">
        <v>563</v>
      </c>
      <c r="E113" s="13" t="s">
        <v>427</v>
      </c>
      <c r="F113" s="13" t="s">
        <v>475</v>
      </c>
      <c r="G113" s="13" t="s">
        <v>559</v>
      </c>
      <c r="H113" s="13" t="s">
        <v>406</v>
      </c>
      <c r="I113" s="27" t="s">
        <v>564</v>
      </c>
      <c r="J113" s="27" t="s">
        <v>33</v>
      </c>
      <c r="K113" s="27" t="s">
        <v>106</v>
      </c>
      <c r="L113" s="27" t="s">
        <v>35</v>
      </c>
      <c r="M113" s="27" t="s">
        <v>36</v>
      </c>
      <c r="N113" s="17">
        <f>DATE(2021,12,20)</f>
        <v>44550</v>
      </c>
      <c r="O113" s="13" t="s">
        <v>107</v>
      </c>
      <c r="P113" s="13" t="s">
        <v>557</v>
      </c>
      <c r="Q113" s="13" t="s">
        <v>431</v>
      </c>
      <c r="R113" s="13" t="s">
        <v>565</v>
      </c>
      <c r="S113" s="13" t="s">
        <v>478</v>
      </c>
      <c r="T113" s="28">
        <v>31.42</v>
      </c>
      <c r="U113" s="13" t="s">
        <v>427</v>
      </c>
      <c r="V113" s="13" t="s">
        <v>413</v>
      </c>
      <c r="W113" s="13" t="s">
        <v>559</v>
      </c>
      <c r="X113" s="17">
        <f>DATE(2022,3,20)</f>
        <v>44640</v>
      </c>
      <c r="Y113" s="3"/>
    </row>
    <row r="114" spans="1:25" ht="45" customHeight="1">
      <c r="A114" s="3">
        <v>112</v>
      </c>
      <c r="B114" s="13" t="s">
        <v>566</v>
      </c>
      <c r="C114" s="13" t="s">
        <v>26</v>
      </c>
      <c r="D114" s="13" t="s">
        <v>567</v>
      </c>
      <c r="E114" s="13" t="s">
        <v>416</v>
      </c>
      <c r="F114" s="13" t="s">
        <v>568</v>
      </c>
      <c r="G114" s="13" t="s">
        <v>568</v>
      </c>
      <c r="H114" s="13" t="s">
        <v>568</v>
      </c>
      <c r="I114" s="27" t="s">
        <v>569</v>
      </c>
      <c r="J114" s="27" t="s">
        <v>33</v>
      </c>
      <c r="K114" s="27" t="s">
        <v>34</v>
      </c>
      <c r="L114" s="27" t="s">
        <v>408</v>
      </c>
      <c r="M114" s="27" t="s">
        <v>409</v>
      </c>
      <c r="N114" s="17">
        <f>DATE(2021,12,28)</f>
        <v>44558</v>
      </c>
      <c r="O114" s="13" t="s">
        <v>107</v>
      </c>
      <c r="P114" s="13" t="s">
        <v>570</v>
      </c>
      <c r="Q114" s="13" t="s">
        <v>411</v>
      </c>
      <c r="R114" s="13" t="s">
        <v>571</v>
      </c>
      <c r="S114" s="13" t="s">
        <v>570</v>
      </c>
      <c r="T114" s="28">
        <v>54.27</v>
      </c>
      <c r="U114" s="13" t="s">
        <v>416</v>
      </c>
      <c r="V114" s="13" t="s">
        <v>413</v>
      </c>
      <c r="W114" s="13" t="s">
        <v>572</v>
      </c>
      <c r="X114" s="17">
        <f>DATE(2022,6,28)</f>
        <v>44740</v>
      </c>
      <c r="Y114" s="3"/>
    </row>
    <row r="115" spans="1:25" ht="45" customHeight="1">
      <c r="A115" s="3">
        <v>113</v>
      </c>
      <c r="B115" s="13" t="s">
        <v>573</v>
      </c>
      <c r="C115" s="13" t="s">
        <v>26</v>
      </c>
      <c r="D115" s="13" t="s">
        <v>574</v>
      </c>
      <c r="E115" s="13" t="s">
        <v>575</v>
      </c>
      <c r="F115" s="13" t="s">
        <v>521</v>
      </c>
      <c r="G115" s="13" t="s">
        <v>79</v>
      </c>
      <c r="H115" s="13" t="s">
        <v>406</v>
      </c>
      <c r="I115" s="27" t="s">
        <v>576</v>
      </c>
      <c r="J115" s="27" t="s">
        <v>33</v>
      </c>
      <c r="K115" s="27" t="s">
        <v>34</v>
      </c>
      <c r="L115" s="27" t="s">
        <v>408</v>
      </c>
      <c r="M115" s="27" t="s">
        <v>409</v>
      </c>
      <c r="N115" s="17">
        <f>DATE(2022,1,4)</f>
        <v>44565</v>
      </c>
      <c r="O115" s="13" t="s">
        <v>107</v>
      </c>
      <c r="P115" s="13" t="s">
        <v>525</v>
      </c>
      <c r="Q115" s="13" t="s">
        <v>431</v>
      </c>
      <c r="R115" s="13" t="s">
        <v>577</v>
      </c>
      <c r="S115" s="13" t="s">
        <v>525</v>
      </c>
      <c r="T115" s="28">
        <v>34.450000000000003</v>
      </c>
      <c r="U115" s="13" t="s">
        <v>575</v>
      </c>
      <c r="V115" s="13" t="s">
        <v>413</v>
      </c>
      <c r="W115" s="13" t="s">
        <v>79</v>
      </c>
      <c r="X115" s="17">
        <f>DATE(2022,4,4)</f>
        <v>44655</v>
      </c>
      <c r="Y115" s="3"/>
    </row>
    <row r="116" spans="1:25" ht="45" customHeight="1">
      <c r="A116" s="3">
        <v>114</v>
      </c>
      <c r="B116" s="13" t="s">
        <v>578</v>
      </c>
      <c r="C116" s="13" t="s">
        <v>26</v>
      </c>
      <c r="D116" s="13" t="s">
        <v>579</v>
      </c>
      <c r="E116" s="13" t="s">
        <v>427</v>
      </c>
      <c r="F116" s="13" t="s">
        <v>446</v>
      </c>
      <c r="G116" s="13" t="s">
        <v>447</v>
      </c>
      <c r="H116" s="13" t="s">
        <v>406</v>
      </c>
      <c r="I116" s="27" t="s">
        <v>580</v>
      </c>
      <c r="J116" s="27" t="s">
        <v>33</v>
      </c>
      <c r="K116" s="27" t="s">
        <v>34</v>
      </c>
      <c r="L116" s="27" t="s">
        <v>35</v>
      </c>
      <c r="M116" s="27" t="s">
        <v>36</v>
      </c>
      <c r="N116" s="17">
        <f>DATE(2022,1,4)</f>
        <v>44565</v>
      </c>
      <c r="O116" s="13" t="s">
        <v>107</v>
      </c>
      <c r="P116" s="13" t="s">
        <v>449</v>
      </c>
      <c r="Q116" s="13" t="s">
        <v>431</v>
      </c>
      <c r="R116" s="13" t="s">
        <v>581</v>
      </c>
      <c r="S116" s="13" t="s">
        <v>403</v>
      </c>
      <c r="T116" s="28">
        <v>36.61</v>
      </c>
      <c r="U116" s="13" t="s">
        <v>427</v>
      </c>
      <c r="V116" s="13" t="s">
        <v>413</v>
      </c>
      <c r="W116" s="13" t="s">
        <v>447</v>
      </c>
      <c r="X116" s="17">
        <f>DATE(2022,4,4)</f>
        <v>44655</v>
      </c>
      <c r="Y116" s="3"/>
    </row>
    <row r="117" spans="1:25" ht="45" customHeight="1">
      <c r="A117" s="3">
        <v>115</v>
      </c>
      <c r="B117" s="13" t="s">
        <v>582</v>
      </c>
      <c r="C117" s="13" t="s">
        <v>103</v>
      </c>
      <c r="D117" s="13" t="s">
        <v>583</v>
      </c>
      <c r="E117" s="13" t="s">
        <v>427</v>
      </c>
      <c r="F117" s="13" t="s">
        <v>475</v>
      </c>
      <c r="G117" s="13" t="s">
        <v>559</v>
      </c>
      <c r="H117" s="13" t="s">
        <v>406</v>
      </c>
      <c r="I117" s="27" t="s">
        <v>584</v>
      </c>
      <c r="J117" s="27" t="s">
        <v>33</v>
      </c>
      <c r="K117" s="27" t="s">
        <v>106</v>
      </c>
      <c r="L117" s="27" t="s">
        <v>35</v>
      </c>
      <c r="M117" s="27" t="s">
        <v>36</v>
      </c>
      <c r="N117" s="17">
        <f>DATE(2022,1,4)</f>
        <v>44565</v>
      </c>
      <c r="O117" s="13" t="s">
        <v>107</v>
      </c>
      <c r="P117" s="13" t="s">
        <v>557</v>
      </c>
      <c r="Q117" s="13" t="s">
        <v>431</v>
      </c>
      <c r="R117" s="13" t="s">
        <v>585</v>
      </c>
      <c r="S117" s="13" t="s">
        <v>478</v>
      </c>
      <c r="T117" s="28">
        <v>32.369999999999997</v>
      </c>
      <c r="U117" s="13" t="s">
        <v>427</v>
      </c>
      <c r="V117" s="13" t="s">
        <v>413</v>
      </c>
      <c r="W117" s="13" t="s">
        <v>559</v>
      </c>
      <c r="X117" s="17">
        <f>DATE(2022,4,4)</f>
        <v>44655</v>
      </c>
      <c r="Y117" s="3"/>
    </row>
    <row r="118" spans="1:25" ht="45" customHeight="1">
      <c r="A118" s="3">
        <v>116</v>
      </c>
      <c r="B118" s="13" t="s">
        <v>586</v>
      </c>
      <c r="C118" s="13" t="s">
        <v>103</v>
      </c>
      <c r="D118" s="13" t="s">
        <v>587</v>
      </c>
      <c r="E118" s="13" t="s">
        <v>427</v>
      </c>
      <c r="F118" s="13" t="s">
        <v>491</v>
      </c>
      <c r="G118" s="13" t="s">
        <v>492</v>
      </c>
      <c r="H118" s="13" t="s">
        <v>406</v>
      </c>
      <c r="I118" s="27" t="s">
        <v>588</v>
      </c>
      <c r="J118" s="27" t="s">
        <v>33</v>
      </c>
      <c r="K118" s="27" t="s">
        <v>106</v>
      </c>
      <c r="L118" s="27" t="s">
        <v>35</v>
      </c>
      <c r="M118" s="27" t="s">
        <v>36</v>
      </c>
      <c r="N118" s="17">
        <f>DATE(2022,1,4)</f>
        <v>44565</v>
      </c>
      <c r="O118" s="13" t="s">
        <v>107</v>
      </c>
      <c r="P118" s="13" t="s">
        <v>494</v>
      </c>
      <c r="Q118" s="13" t="s">
        <v>431</v>
      </c>
      <c r="R118" s="13" t="s">
        <v>589</v>
      </c>
      <c r="S118" s="13" t="s">
        <v>496</v>
      </c>
      <c r="T118" s="28">
        <v>30.71</v>
      </c>
      <c r="U118" s="13" t="s">
        <v>427</v>
      </c>
      <c r="V118" s="13" t="s">
        <v>413</v>
      </c>
      <c r="W118" s="13" t="s">
        <v>492</v>
      </c>
      <c r="X118" s="17">
        <f>DATE(2022,4,4)</f>
        <v>44655</v>
      </c>
      <c r="Y118" s="3"/>
    </row>
    <row r="119" spans="1:25" ht="45" customHeight="1">
      <c r="A119" s="3">
        <v>117</v>
      </c>
      <c r="B119" s="13" t="s">
        <v>590</v>
      </c>
      <c r="C119" s="13" t="s">
        <v>26</v>
      </c>
      <c r="D119" s="13" t="s">
        <v>591</v>
      </c>
      <c r="E119" s="13" t="s">
        <v>592</v>
      </c>
      <c r="F119" s="13" t="s">
        <v>475</v>
      </c>
      <c r="G119" s="13" t="s">
        <v>559</v>
      </c>
      <c r="H119" s="13" t="s">
        <v>406</v>
      </c>
      <c r="I119" s="27" t="s">
        <v>593</v>
      </c>
      <c r="J119" s="27" t="s">
        <v>33</v>
      </c>
      <c r="K119" s="27" t="s">
        <v>34</v>
      </c>
      <c r="L119" s="27" t="s">
        <v>35</v>
      </c>
      <c r="M119" s="27" t="s">
        <v>36</v>
      </c>
      <c r="N119" s="17">
        <f>DATE(2022,1,10)</f>
        <v>44571</v>
      </c>
      <c r="O119" s="13" t="s">
        <v>107</v>
      </c>
      <c r="P119" s="13" t="s">
        <v>557</v>
      </c>
      <c r="Q119" s="13" t="s">
        <v>431</v>
      </c>
      <c r="R119" s="13" t="s">
        <v>594</v>
      </c>
      <c r="S119" s="13" t="s">
        <v>478</v>
      </c>
      <c r="T119" s="28">
        <v>39.24</v>
      </c>
      <c r="U119" s="13" t="s">
        <v>427</v>
      </c>
      <c r="V119" s="13" t="s">
        <v>413</v>
      </c>
      <c r="W119" s="13" t="s">
        <v>559</v>
      </c>
      <c r="X119" s="17">
        <f>DATE(2022,4,10)</f>
        <v>44661</v>
      </c>
      <c r="Y119" s="3"/>
    </row>
    <row r="120" spans="1:25" ht="45" customHeight="1">
      <c r="A120" s="3">
        <v>118</v>
      </c>
      <c r="B120" s="13" t="s">
        <v>595</v>
      </c>
      <c r="C120" s="13" t="s">
        <v>103</v>
      </c>
      <c r="D120" s="13" t="s">
        <v>596</v>
      </c>
      <c r="E120" s="13" t="s">
        <v>427</v>
      </c>
      <c r="F120" s="13" t="s">
        <v>491</v>
      </c>
      <c r="G120" s="13" t="s">
        <v>492</v>
      </c>
      <c r="H120" s="13" t="s">
        <v>406</v>
      </c>
      <c r="I120" s="27" t="s">
        <v>597</v>
      </c>
      <c r="J120" s="27" t="s">
        <v>33</v>
      </c>
      <c r="K120" s="27" t="s">
        <v>106</v>
      </c>
      <c r="L120" s="27" t="s">
        <v>35</v>
      </c>
      <c r="M120" s="27" t="s">
        <v>36</v>
      </c>
      <c r="N120" s="17">
        <f>DATE(2022,1,10)</f>
        <v>44571</v>
      </c>
      <c r="O120" s="13" t="s">
        <v>107</v>
      </c>
      <c r="P120" s="13" t="s">
        <v>494</v>
      </c>
      <c r="Q120" s="13" t="s">
        <v>431</v>
      </c>
      <c r="R120" s="13" t="s">
        <v>598</v>
      </c>
      <c r="S120" s="13" t="s">
        <v>496</v>
      </c>
      <c r="T120" s="28">
        <v>32.200000000000003</v>
      </c>
      <c r="U120" s="13" t="s">
        <v>427</v>
      </c>
      <c r="V120" s="13" t="s">
        <v>413</v>
      </c>
      <c r="W120" s="13" t="s">
        <v>492</v>
      </c>
      <c r="X120" s="17">
        <f>DATE(2022,4,10)</f>
        <v>44661</v>
      </c>
      <c r="Y120" s="3"/>
    </row>
    <row r="121" spans="1:25" ht="45" customHeight="1">
      <c r="A121" s="3">
        <v>119</v>
      </c>
      <c r="B121" s="13" t="s">
        <v>599</v>
      </c>
      <c r="C121" s="13" t="s">
        <v>26</v>
      </c>
      <c r="D121" s="13" t="s">
        <v>600</v>
      </c>
      <c r="E121" s="13" t="s">
        <v>445</v>
      </c>
      <c r="F121" s="13" t="s">
        <v>428</v>
      </c>
      <c r="G121" s="13" t="s">
        <v>537</v>
      </c>
      <c r="H121" s="13" t="s">
        <v>406</v>
      </c>
      <c r="I121" s="27" t="s">
        <v>601</v>
      </c>
      <c r="J121" s="27" t="s">
        <v>33</v>
      </c>
      <c r="K121" s="27" t="s">
        <v>34</v>
      </c>
      <c r="L121" s="27" t="s">
        <v>35</v>
      </c>
      <c r="M121" s="27" t="s">
        <v>36</v>
      </c>
      <c r="N121" s="17">
        <f>DATE(2022,1,10)</f>
        <v>44571</v>
      </c>
      <c r="O121" s="13" t="s">
        <v>107</v>
      </c>
      <c r="P121" s="13" t="s">
        <v>430</v>
      </c>
      <c r="Q121" s="13" t="s">
        <v>431</v>
      </c>
      <c r="R121" s="13" t="s">
        <v>602</v>
      </c>
      <c r="S121" s="13" t="s">
        <v>433</v>
      </c>
      <c r="T121" s="28">
        <v>29.02</v>
      </c>
      <c r="U121" s="13" t="s">
        <v>445</v>
      </c>
      <c r="V121" s="13" t="s">
        <v>413</v>
      </c>
      <c r="W121" s="13" t="s">
        <v>537</v>
      </c>
      <c r="X121" s="17">
        <f>DATE(2022,4,10)</f>
        <v>44661</v>
      </c>
      <c r="Y121" s="3"/>
    </row>
    <row r="122" spans="1:25" ht="45" customHeight="1">
      <c r="A122" s="3">
        <v>120</v>
      </c>
      <c r="B122" s="13" t="s">
        <v>603</v>
      </c>
      <c r="C122" s="13" t="s">
        <v>103</v>
      </c>
      <c r="D122" s="13" t="s">
        <v>430</v>
      </c>
      <c r="E122" s="13" t="s">
        <v>575</v>
      </c>
      <c r="F122" s="13" t="s">
        <v>428</v>
      </c>
      <c r="G122" s="13" t="s">
        <v>537</v>
      </c>
      <c r="H122" s="13" t="s">
        <v>406</v>
      </c>
      <c r="I122" s="27" t="s">
        <v>604</v>
      </c>
      <c r="J122" s="27" t="s">
        <v>33</v>
      </c>
      <c r="K122" s="27" t="s">
        <v>106</v>
      </c>
      <c r="L122" s="27" t="s">
        <v>35</v>
      </c>
      <c r="M122" s="27" t="s">
        <v>36</v>
      </c>
      <c r="N122" s="17">
        <f>DATE(2022,1,10)</f>
        <v>44571</v>
      </c>
      <c r="O122" s="13" t="s">
        <v>107</v>
      </c>
      <c r="P122" s="13" t="s">
        <v>433</v>
      </c>
      <c r="Q122" s="13" t="s">
        <v>431</v>
      </c>
      <c r="R122" s="13" t="s">
        <v>605</v>
      </c>
      <c r="S122" s="13" t="s">
        <v>433</v>
      </c>
      <c r="T122" s="28">
        <v>40.17</v>
      </c>
      <c r="U122" s="13" t="s">
        <v>575</v>
      </c>
      <c r="V122" s="13" t="s">
        <v>413</v>
      </c>
      <c r="W122" s="13" t="s">
        <v>537</v>
      </c>
      <c r="X122" s="17">
        <f>DATE(2022,4,10)</f>
        <v>44661</v>
      </c>
      <c r="Y122" s="3"/>
    </row>
    <row r="123" spans="1:25" ht="45" customHeight="1">
      <c r="A123" s="3">
        <v>121</v>
      </c>
      <c r="B123" s="13" t="s">
        <v>606</v>
      </c>
      <c r="C123" s="13" t="s">
        <v>103</v>
      </c>
      <c r="D123" s="13" t="s">
        <v>607</v>
      </c>
      <c r="E123" s="13" t="s">
        <v>474</v>
      </c>
      <c r="F123" s="13" t="s">
        <v>608</v>
      </c>
      <c r="G123" s="13" t="s">
        <v>609</v>
      </c>
      <c r="H123" s="13" t="s">
        <v>406</v>
      </c>
      <c r="I123" s="27" t="s">
        <v>610</v>
      </c>
      <c r="J123" s="27" t="s">
        <v>33</v>
      </c>
      <c r="K123" s="27" t="s">
        <v>106</v>
      </c>
      <c r="L123" s="27" t="s">
        <v>35</v>
      </c>
      <c r="M123" s="27" t="s">
        <v>36</v>
      </c>
      <c r="N123" s="17">
        <f>DATE(2022,1,17)</f>
        <v>44578</v>
      </c>
      <c r="O123" s="13" t="s">
        <v>107</v>
      </c>
      <c r="P123" s="13" t="s">
        <v>611</v>
      </c>
      <c r="Q123" s="13" t="s">
        <v>431</v>
      </c>
      <c r="R123" s="13" t="s">
        <v>612</v>
      </c>
      <c r="S123" s="13" t="s">
        <v>611</v>
      </c>
      <c r="T123" s="28">
        <v>27.43</v>
      </c>
      <c r="U123" s="13" t="s">
        <v>474</v>
      </c>
      <c r="V123" s="13" t="s">
        <v>413</v>
      </c>
      <c r="W123" s="13" t="s">
        <v>609</v>
      </c>
      <c r="X123" s="17">
        <f>DATE(2022,4,17)</f>
        <v>44668</v>
      </c>
      <c r="Y123" s="3"/>
    </row>
    <row r="124" spans="1:25" ht="45" customHeight="1">
      <c r="A124" s="3">
        <v>122</v>
      </c>
      <c r="B124" s="13" t="s">
        <v>613</v>
      </c>
      <c r="C124" s="13" t="s">
        <v>26</v>
      </c>
      <c r="D124" s="13" t="s">
        <v>614</v>
      </c>
      <c r="E124" s="13" t="s">
        <v>474</v>
      </c>
      <c r="F124" s="13" t="s">
        <v>446</v>
      </c>
      <c r="G124" s="13" t="s">
        <v>615</v>
      </c>
      <c r="H124" s="13" t="s">
        <v>406</v>
      </c>
      <c r="I124" s="27" t="s">
        <v>616</v>
      </c>
      <c r="J124" s="27" t="s">
        <v>33</v>
      </c>
      <c r="K124" s="27" t="s">
        <v>34</v>
      </c>
      <c r="L124" s="27" t="s">
        <v>35</v>
      </c>
      <c r="M124" s="27" t="s">
        <v>36</v>
      </c>
      <c r="N124" s="17">
        <f>DATE(2022,1,24)</f>
        <v>44585</v>
      </c>
      <c r="O124" s="13" t="s">
        <v>107</v>
      </c>
      <c r="P124" s="13" t="s">
        <v>449</v>
      </c>
      <c r="Q124" s="13" t="s">
        <v>431</v>
      </c>
      <c r="R124" s="13" t="s">
        <v>617</v>
      </c>
      <c r="S124" s="13" t="s">
        <v>403</v>
      </c>
      <c r="T124" s="28">
        <v>48.74</v>
      </c>
      <c r="U124" s="13" t="s">
        <v>474</v>
      </c>
      <c r="V124" s="13" t="s">
        <v>413</v>
      </c>
      <c r="W124" s="13" t="s">
        <v>615</v>
      </c>
      <c r="X124" s="17">
        <f>DATE(2022,4,24)</f>
        <v>44675</v>
      </c>
      <c r="Y124" s="3"/>
    </row>
    <row r="125" spans="1:25" ht="45" customHeight="1">
      <c r="A125" s="3">
        <v>123</v>
      </c>
      <c r="B125" s="13" t="s">
        <v>618</v>
      </c>
      <c r="C125" s="13" t="s">
        <v>103</v>
      </c>
      <c r="D125" s="13" t="s">
        <v>619</v>
      </c>
      <c r="E125" s="13" t="s">
        <v>620</v>
      </c>
      <c r="F125" s="13" t="s">
        <v>621</v>
      </c>
      <c r="G125" s="13" t="s">
        <v>621</v>
      </c>
      <c r="H125" s="13" t="s">
        <v>406</v>
      </c>
      <c r="I125" s="27" t="s">
        <v>622</v>
      </c>
      <c r="J125" s="27" t="s">
        <v>33</v>
      </c>
      <c r="K125" s="27" t="s">
        <v>106</v>
      </c>
      <c r="L125" s="27" t="s">
        <v>35</v>
      </c>
      <c r="M125" s="27" t="s">
        <v>36</v>
      </c>
      <c r="N125" s="17">
        <f>DATE(2022,1,24)</f>
        <v>44585</v>
      </c>
      <c r="O125" s="13" t="s">
        <v>107</v>
      </c>
      <c r="P125" s="13" t="s">
        <v>623</v>
      </c>
      <c r="Q125" s="13" t="s">
        <v>465</v>
      </c>
      <c r="R125" s="13" t="s">
        <v>624</v>
      </c>
      <c r="S125" s="13" t="s">
        <v>403</v>
      </c>
      <c r="T125" s="28">
        <v>50.6</v>
      </c>
      <c r="U125" s="13" t="s">
        <v>620</v>
      </c>
      <c r="V125" s="13" t="s">
        <v>413</v>
      </c>
      <c r="W125" s="13" t="s">
        <v>625</v>
      </c>
      <c r="X125" s="17">
        <f>DATE(2022,4,24)</f>
        <v>44675</v>
      </c>
      <c r="Y125" s="3"/>
    </row>
    <row r="126" spans="1:25" ht="45" customHeight="1">
      <c r="A126" s="3">
        <v>124</v>
      </c>
      <c r="B126" s="13" t="s">
        <v>626</v>
      </c>
      <c r="C126" s="13" t="s">
        <v>26</v>
      </c>
      <c r="D126" s="13" t="s">
        <v>627</v>
      </c>
      <c r="E126" s="13" t="s">
        <v>445</v>
      </c>
      <c r="F126" s="13" t="s">
        <v>475</v>
      </c>
      <c r="G126" s="13" t="s">
        <v>476</v>
      </c>
      <c r="H126" s="13" t="s">
        <v>406</v>
      </c>
      <c r="I126" s="27" t="s">
        <v>628</v>
      </c>
      <c r="J126" s="27" t="s">
        <v>33</v>
      </c>
      <c r="K126" s="27" t="s">
        <v>34</v>
      </c>
      <c r="L126" s="27" t="s">
        <v>35</v>
      </c>
      <c r="M126" s="27" t="s">
        <v>36</v>
      </c>
      <c r="N126" s="17">
        <f>DATE(2022,2,3)</f>
        <v>44595</v>
      </c>
      <c r="O126" s="13" t="s">
        <v>107</v>
      </c>
      <c r="P126" s="13" t="s">
        <v>473</v>
      </c>
      <c r="Q126" s="13" t="s">
        <v>431</v>
      </c>
      <c r="R126" s="13" t="s">
        <v>629</v>
      </c>
      <c r="S126" s="13" t="s">
        <v>478</v>
      </c>
      <c r="T126" s="28">
        <v>34.68</v>
      </c>
      <c r="U126" s="13" t="s">
        <v>445</v>
      </c>
      <c r="V126" s="13" t="s">
        <v>413</v>
      </c>
      <c r="W126" s="13" t="s">
        <v>476</v>
      </c>
      <c r="X126" s="17">
        <f>DATE(2022,5,3)</f>
        <v>44684</v>
      </c>
      <c r="Y126" s="3"/>
    </row>
    <row r="127" spans="1:25" ht="45" customHeight="1">
      <c r="A127" s="3">
        <v>125</v>
      </c>
      <c r="B127" s="13" t="s">
        <v>630</v>
      </c>
      <c r="C127" s="13" t="s">
        <v>26</v>
      </c>
      <c r="D127" s="13" t="s">
        <v>631</v>
      </c>
      <c r="E127" s="13" t="s">
        <v>632</v>
      </c>
      <c r="F127" s="13" t="s">
        <v>446</v>
      </c>
      <c r="G127" s="13" t="s">
        <v>516</v>
      </c>
      <c r="H127" s="13" t="s">
        <v>406</v>
      </c>
      <c r="I127" s="27" t="s">
        <v>633</v>
      </c>
      <c r="J127" s="27" t="s">
        <v>33</v>
      </c>
      <c r="K127" s="27" t="s">
        <v>34</v>
      </c>
      <c r="L127" s="27" t="s">
        <v>408</v>
      </c>
      <c r="M127" s="27" t="s">
        <v>409</v>
      </c>
      <c r="N127" s="17">
        <f>DATE(2022,2,3)</f>
        <v>44595</v>
      </c>
      <c r="O127" s="13" t="s">
        <v>107</v>
      </c>
      <c r="P127" s="13" t="s">
        <v>449</v>
      </c>
      <c r="Q127" s="13" t="s">
        <v>431</v>
      </c>
      <c r="R127" s="13" t="s">
        <v>634</v>
      </c>
      <c r="S127" s="13" t="s">
        <v>403</v>
      </c>
      <c r="T127" s="28">
        <v>53.31</v>
      </c>
      <c r="U127" s="13" t="s">
        <v>575</v>
      </c>
      <c r="V127" s="13" t="s">
        <v>413</v>
      </c>
      <c r="W127" s="13" t="s">
        <v>516</v>
      </c>
      <c r="X127" s="17">
        <f>DATE(2022,5,3)</f>
        <v>44684</v>
      </c>
      <c r="Y127" s="3"/>
    </row>
    <row r="128" spans="1:25" ht="45" customHeight="1">
      <c r="A128" s="3">
        <v>126</v>
      </c>
      <c r="B128" s="13" t="s">
        <v>635</v>
      </c>
      <c r="C128" s="13" t="s">
        <v>103</v>
      </c>
      <c r="D128" s="13" t="s">
        <v>636</v>
      </c>
      <c r="E128" s="13" t="s">
        <v>637</v>
      </c>
      <c r="F128" s="13" t="s">
        <v>568</v>
      </c>
      <c r="G128" s="13" t="s">
        <v>568</v>
      </c>
      <c r="H128" s="13" t="s">
        <v>568</v>
      </c>
      <c r="I128" s="27" t="s">
        <v>638</v>
      </c>
      <c r="J128" s="27" t="s">
        <v>33</v>
      </c>
      <c r="K128" s="27" t="s">
        <v>106</v>
      </c>
      <c r="L128" s="27" t="s">
        <v>408</v>
      </c>
      <c r="M128" s="27" t="s">
        <v>409</v>
      </c>
      <c r="N128" s="17">
        <f>DATE(2022,2,7)</f>
        <v>44599</v>
      </c>
      <c r="O128" s="13" t="s">
        <v>107</v>
      </c>
      <c r="P128" s="13" t="s">
        <v>567</v>
      </c>
      <c r="Q128" s="13" t="s">
        <v>411</v>
      </c>
      <c r="R128" s="13" t="s">
        <v>639</v>
      </c>
      <c r="S128" s="13" t="s">
        <v>570</v>
      </c>
      <c r="T128" s="28">
        <v>52.35</v>
      </c>
      <c r="U128" s="13" t="s">
        <v>637</v>
      </c>
      <c r="V128" s="13" t="s">
        <v>413</v>
      </c>
      <c r="W128" s="13" t="s">
        <v>572</v>
      </c>
      <c r="X128" s="17">
        <f>DATE(2022,5,7)</f>
        <v>44688</v>
      </c>
      <c r="Y128" s="3"/>
    </row>
    <row r="129" spans="1:25" ht="45" customHeight="1">
      <c r="A129" s="3">
        <v>127</v>
      </c>
      <c r="B129" s="13" t="s">
        <v>640</v>
      </c>
      <c r="C129" s="13" t="s">
        <v>26</v>
      </c>
      <c r="D129" s="13" t="s">
        <v>641</v>
      </c>
      <c r="E129" s="13" t="s">
        <v>620</v>
      </c>
      <c r="F129" s="13" t="s">
        <v>621</v>
      </c>
      <c r="G129" s="13" t="s">
        <v>621</v>
      </c>
      <c r="H129" s="13" t="s">
        <v>406</v>
      </c>
      <c r="I129" s="27" t="s">
        <v>642</v>
      </c>
      <c r="J129" s="27" t="s">
        <v>33</v>
      </c>
      <c r="K129" s="27" t="s">
        <v>34</v>
      </c>
      <c r="L129" s="27" t="s">
        <v>208</v>
      </c>
      <c r="M129" s="27" t="s">
        <v>209</v>
      </c>
      <c r="N129" s="17">
        <f>DATE(2022,2,7)</f>
        <v>44599</v>
      </c>
      <c r="O129" s="13" t="s">
        <v>107</v>
      </c>
      <c r="P129" s="13" t="s">
        <v>623</v>
      </c>
      <c r="Q129" s="13" t="s">
        <v>465</v>
      </c>
      <c r="R129" s="13" t="s">
        <v>643</v>
      </c>
      <c r="S129" s="13" t="s">
        <v>403</v>
      </c>
      <c r="T129" s="28">
        <v>57.83</v>
      </c>
      <c r="U129" s="13" t="s">
        <v>620</v>
      </c>
      <c r="V129" s="13" t="s">
        <v>413</v>
      </c>
      <c r="W129" s="13" t="s">
        <v>625</v>
      </c>
      <c r="X129" s="17">
        <f>DATE(2022,5,7)</f>
        <v>44688</v>
      </c>
      <c r="Y129" s="3"/>
    </row>
    <row r="130" spans="1:25" ht="45" customHeight="1">
      <c r="A130" s="3">
        <v>128</v>
      </c>
      <c r="B130" s="13" t="s">
        <v>644</v>
      </c>
      <c r="C130" s="13" t="s">
        <v>103</v>
      </c>
      <c r="D130" s="13" t="s">
        <v>645</v>
      </c>
      <c r="E130" s="13" t="s">
        <v>592</v>
      </c>
      <c r="F130" s="13" t="s">
        <v>428</v>
      </c>
      <c r="G130" s="13" t="s">
        <v>646</v>
      </c>
      <c r="H130" s="13" t="s">
        <v>406</v>
      </c>
      <c r="I130" s="27" t="s">
        <v>647</v>
      </c>
      <c r="J130" s="27" t="s">
        <v>33</v>
      </c>
      <c r="K130" s="27" t="s">
        <v>106</v>
      </c>
      <c r="L130" s="27" t="s">
        <v>35</v>
      </c>
      <c r="M130" s="27" t="s">
        <v>36</v>
      </c>
      <c r="N130" s="17">
        <f>DATE(2022,2,14)</f>
        <v>44606</v>
      </c>
      <c r="O130" s="13" t="s">
        <v>107</v>
      </c>
      <c r="P130" s="13" t="s">
        <v>430</v>
      </c>
      <c r="Q130" s="13" t="s">
        <v>431</v>
      </c>
      <c r="R130" s="13" t="s">
        <v>648</v>
      </c>
      <c r="S130" s="13" t="s">
        <v>433</v>
      </c>
      <c r="T130" s="28">
        <v>37.07</v>
      </c>
      <c r="U130" s="13" t="s">
        <v>427</v>
      </c>
      <c r="V130" s="13" t="s">
        <v>413</v>
      </c>
      <c r="W130" s="13" t="s">
        <v>649</v>
      </c>
      <c r="X130" s="17">
        <f>DATE(2022,5,14)</f>
        <v>44695</v>
      </c>
      <c r="Y130" s="3"/>
    </row>
    <row r="131" spans="1:25" ht="45" customHeight="1">
      <c r="A131" s="3">
        <v>129</v>
      </c>
      <c r="B131" s="13" t="s">
        <v>650</v>
      </c>
      <c r="C131" s="13" t="s">
        <v>26</v>
      </c>
      <c r="D131" s="13" t="s">
        <v>651</v>
      </c>
      <c r="E131" s="13" t="s">
        <v>474</v>
      </c>
      <c r="F131" s="13" t="s">
        <v>428</v>
      </c>
      <c r="G131" s="13" t="s">
        <v>537</v>
      </c>
      <c r="H131" s="13" t="s">
        <v>406</v>
      </c>
      <c r="I131" s="27" t="s">
        <v>652</v>
      </c>
      <c r="J131" s="27" t="s">
        <v>33</v>
      </c>
      <c r="K131" s="27" t="s">
        <v>34</v>
      </c>
      <c r="L131" s="27" t="s">
        <v>35</v>
      </c>
      <c r="M131" s="27" t="s">
        <v>36</v>
      </c>
      <c r="N131" s="17">
        <f>DATE(2022,2,14)</f>
        <v>44606</v>
      </c>
      <c r="O131" s="13" t="s">
        <v>107</v>
      </c>
      <c r="P131" s="13" t="s">
        <v>430</v>
      </c>
      <c r="Q131" s="13" t="s">
        <v>431</v>
      </c>
      <c r="R131" s="13" t="s">
        <v>653</v>
      </c>
      <c r="S131" s="13" t="s">
        <v>433</v>
      </c>
      <c r="T131" s="28">
        <v>35.99</v>
      </c>
      <c r="U131" s="13" t="s">
        <v>474</v>
      </c>
      <c r="V131" s="13" t="s">
        <v>413</v>
      </c>
      <c r="W131" s="13" t="s">
        <v>537</v>
      </c>
      <c r="X131" s="17">
        <f>DATE(2022,5,14)</f>
        <v>44695</v>
      </c>
      <c r="Y131" s="3"/>
    </row>
    <row r="132" spans="1:25" ht="45" customHeight="1">
      <c r="A132" s="3">
        <v>130</v>
      </c>
      <c r="B132" s="29" t="s">
        <v>654</v>
      </c>
      <c r="C132" s="13" t="s">
        <v>26</v>
      </c>
      <c r="D132" s="13" t="s">
        <v>655</v>
      </c>
      <c r="E132" s="13" t="s">
        <v>427</v>
      </c>
      <c r="F132" s="13" t="s">
        <v>428</v>
      </c>
      <c r="G132" s="13" t="s">
        <v>85</v>
      </c>
      <c r="H132" s="13" t="s">
        <v>406</v>
      </c>
      <c r="I132" s="27" t="s">
        <v>656</v>
      </c>
      <c r="J132" s="27" t="s">
        <v>33</v>
      </c>
      <c r="K132" s="27" t="s">
        <v>34</v>
      </c>
      <c r="L132" s="27" t="s">
        <v>35</v>
      </c>
      <c r="M132" s="27" t="s">
        <v>36</v>
      </c>
      <c r="N132" s="17">
        <f>DATE(2022,2,28)</f>
        <v>44620</v>
      </c>
      <c r="O132" s="13" t="s">
        <v>107</v>
      </c>
      <c r="P132" s="13" t="s">
        <v>430</v>
      </c>
      <c r="Q132" s="13" t="s">
        <v>431</v>
      </c>
      <c r="R132" s="13" t="s">
        <v>657</v>
      </c>
      <c r="S132" s="13" t="s">
        <v>433</v>
      </c>
      <c r="T132" s="28">
        <v>31.09</v>
      </c>
      <c r="U132" s="13" t="s">
        <v>427</v>
      </c>
      <c r="V132" s="13" t="s">
        <v>413</v>
      </c>
      <c r="W132" s="13" t="s">
        <v>85</v>
      </c>
      <c r="X132" s="17">
        <f>DATE(2022,5,28)</f>
        <v>44709</v>
      </c>
      <c r="Y132" s="3"/>
    </row>
    <row r="133" spans="1:25" ht="45" customHeight="1">
      <c r="A133" s="3">
        <v>131</v>
      </c>
      <c r="B133" s="13" t="s">
        <v>658</v>
      </c>
      <c r="C133" s="13" t="s">
        <v>26</v>
      </c>
      <c r="D133" s="13" t="s">
        <v>659</v>
      </c>
      <c r="E133" s="13" t="s">
        <v>660</v>
      </c>
      <c r="F133" s="13" t="s">
        <v>446</v>
      </c>
      <c r="G133" s="13" t="s">
        <v>615</v>
      </c>
      <c r="H133" s="13" t="s">
        <v>406</v>
      </c>
      <c r="I133" s="27" t="s">
        <v>661</v>
      </c>
      <c r="J133" s="27" t="s">
        <v>33</v>
      </c>
      <c r="K133" s="27" t="s">
        <v>34</v>
      </c>
      <c r="L133" s="27" t="s">
        <v>35</v>
      </c>
      <c r="M133" s="27" t="s">
        <v>36</v>
      </c>
      <c r="N133" s="17">
        <f>DATE(2022,3,7)</f>
        <v>44627</v>
      </c>
      <c r="O133" s="13" t="s">
        <v>107</v>
      </c>
      <c r="P133" s="13" t="s">
        <v>449</v>
      </c>
      <c r="Q133" s="13" t="s">
        <v>431</v>
      </c>
      <c r="R133" s="13" t="s">
        <v>662</v>
      </c>
      <c r="S133" s="13" t="s">
        <v>403</v>
      </c>
      <c r="T133" s="28">
        <v>30.32</v>
      </c>
      <c r="U133" s="13" t="s">
        <v>445</v>
      </c>
      <c r="V133" s="13" t="s">
        <v>413</v>
      </c>
      <c r="W133" s="13" t="s">
        <v>615</v>
      </c>
      <c r="X133" s="17">
        <f>DATE(2022,6,7)</f>
        <v>44719</v>
      </c>
      <c r="Y133" s="3"/>
    </row>
    <row r="134" spans="1:25" ht="45" customHeight="1">
      <c r="A134" s="3">
        <v>132</v>
      </c>
      <c r="B134" s="13" t="s">
        <v>663</v>
      </c>
      <c r="C134" s="13" t="s">
        <v>26</v>
      </c>
      <c r="D134" s="13" t="s">
        <v>64</v>
      </c>
      <c r="E134" s="13" t="s">
        <v>439</v>
      </c>
      <c r="F134" s="13" t="s">
        <v>29</v>
      </c>
      <c r="G134" s="13" t="s">
        <v>537</v>
      </c>
      <c r="H134" s="13" t="s">
        <v>406</v>
      </c>
      <c r="I134" s="27" t="s">
        <v>664</v>
      </c>
      <c r="J134" s="27" t="s">
        <v>33</v>
      </c>
      <c r="K134" s="27" t="s">
        <v>34</v>
      </c>
      <c r="L134" s="27" t="s">
        <v>35</v>
      </c>
      <c r="M134" s="27" t="s">
        <v>36</v>
      </c>
      <c r="N134" s="17">
        <f>DATE(2022,2,28)</f>
        <v>44620</v>
      </c>
      <c r="O134" s="13" t="s">
        <v>107</v>
      </c>
      <c r="P134" s="13" t="s">
        <v>441</v>
      </c>
      <c r="Q134" s="13" t="s">
        <v>439</v>
      </c>
      <c r="R134" s="13" t="s">
        <v>665</v>
      </c>
      <c r="S134" s="13" t="s">
        <v>403</v>
      </c>
      <c r="T134" s="28">
        <v>31.55</v>
      </c>
      <c r="U134" s="13" t="s">
        <v>439</v>
      </c>
      <c r="V134" s="13" t="s">
        <v>413</v>
      </c>
      <c r="W134" s="13" t="s">
        <v>537</v>
      </c>
      <c r="X134" s="17">
        <f>DATE(2022,5,14)</f>
        <v>44695</v>
      </c>
      <c r="Y134" s="3"/>
    </row>
    <row r="135" spans="1:25" ht="45" customHeight="1">
      <c r="A135" s="3">
        <v>133</v>
      </c>
      <c r="B135" s="13" t="s">
        <v>666</v>
      </c>
      <c r="C135" s="13" t="s">
        <v>26</v>
      </c>
      <c r="D135" s="13" t="s">
        <v>667</v>
      </c>
      <c r="E135" s="13" t="s">
        <v>668</v>
      </c>
      <c r="F135" s="13" t="s">
        <v>446</v>
      </c>
      <c r="G135" s="13" t="s">
        <v>516</v>
      </c>
      <c r="H135" s="13" t="s">
        <v>406</v>
      </c>
      <c r="I135" s="27" t="s">
        <v>669</v>
      </c>
      <c r="J135" s="27" t="s">
        <v>33</v>
      </c>
      <c r="K135" s="27" t="s">
        <v>34</v>
      </c>
      <c r="L135" s="27" t="s">
        <v>35</v>
      </c>
      <c r="M135" s="27" t="s">
        <v>36</v>
      </c>
      <c r="N135" s="17">
        <f>DATE(2022,3,7)</f>
        <v>44627</v>
      </c>
      <c r="O135" s="13" t="s">
        <v>107</v>
      </c>
      <c r="P135" s="13" t="s">
        <v>449</v>
      </c>
      <c r="Q135" s="13" t="s">
        <v>670</v>
      </c>
      <c r="R135" s="13" t="s">
        <v>671</v>
      </c>
      <c r="S135" s="13" t="s">
        <v>449</v>
      </c>
      <c r="T135" s="28">
        <v>36.950000000000003</v>
      </c>
      <c r="U135" s="13" t="s">
        <v>668</v>
      </c>
      <c r="V135" s="13" t="s">
        <v>146</v>
      </c>
      <c r="W135" s="13" t="s">
        <v>516</v>
      </c>
      <c r="X135" s="17">
        <f>DATE(2022,6,7)</f>
        <v>44719</v>
      </c>
      <c r="Y135" s="3"/>
    </row>
    <row r="136" spans="1:25" ht="45" customHeight="1">
      <c r="A136" s="3">
        <v>134</v>
      </c>
      <c r="B136" s="13" t="s">
        <v>672</v>
      </c>
      <c r="C136" s="13" t="s">
        <v>26</v>
      </c>
      <c r="D136" s="13" t="s">
        <v>673</v>
      </c>
      <c r="E136" s="13" t="s">
        <v>499</v>
      </c>
      <c r="F136" s="13" t="s">
        <v>417</v>
      </c>
      <c r="G136" s="13" t="s">
        <v>674</v>
      </c>
      <c r="H136" s="13" t="s">
        <v>419</v>
      </c>
      <c r="I136" s="27" t="s">
        <v>675</v>
      </c>
      <c r="J136" s="27" t="s">
        <v>33</v>
      </c>
      <c r="K136" s="27" t="s">
        <v>34</v>
      </c>
      <c r="L136" s="27" t="s">
        <v>35</v>
      </c>
      <c r="M136" s="27" t="s">
        <v>36</v>
      </c>
      <c r="N136" s="17">
        <f>DATE(2022,3,7)</f>
        <v>44627</v>
      </c>
      <c r="O136" s="13" t="s">
        <v>107</v>
      </c>
      <c r="P136" s="13" t="s">
        <v>676</v>
      </c>
      <c r="Q136" s="13" t="s">
        <v>501</v>
      </c>
      <c r="R136" s="13" t="s">
        <v>677</v>
      </c>
      <c r="S136" s="13" t="s">
        <v>423</v>
      </c>
      <c r="T136" s="28">
        <v>30.37</v>
      </c>
      <c r="U136" s="13" t="s">
        <v>499</v>
      </c>
      <c r="V136" s="13" t="s">
        <v>413</v>
      </c>
      <c r="W136" s="13" t="s">
        <v>678</v>
      </c>
      <c r="X136" s="17">
        <f>DATE(2022,6,7)</f>
        <v>44719</v>
      </c>
      <c r="Y136" s="3"/>
    </row>
    <row r="137" spans="1:25" ht="45" customHeight="1">
      <c r="A137" s="3">
        <v>135</v>
      </c>
      <c r="B137" s="13" t="s">
        <v>679</v>
      </c>
      <c r="C137" s="13" t="s">
        <v>26</v>
      </c>
      <c r="D137" s="13" t="s">
        <v>52</v>
      </c>
      <c r="E137" s="13" t="s">
        <v>439</v>
      </c>
      <c r="F137" s="13" t="s">
        <v>29</v>
      </c>
      <c r="G137" s="13" t="s">
        <v>680</v>
      </c>
      <c r="H137" s="13" t="s">
        <v>406</v>
      </c>
      <c r="I137" s="27" t="s">
        <v>681</v>
      </c>
      <c r="J137" s="27" t="s">
        <v>33</v>
      </c>
      <c r="K137" s="27" t="s">
        <v>34</v>
      </c>
      <c r="L137" s="27" t="s">
        <v>35</v>
      </c>
      <c r="M137" s="27" t="s">
        <v>36</v>
      </c>
      <c r="N137" s="17">
        <f>DATE(2022,3,7)</f>
        <v>44627</v>
      </c>
      <c r="O137" s="13" t="s">
        <v>107</v>
      </c>
      <c r="P137" s="13" t="s">
        <v>503</v>
      </c>
      <c r="Q137" s="13" t="s">
        <v>439</v>
      </c>
      <c r="R137" s="13" t="s">
        <v>682</v>
      </c>
      <c r="S137" s="13" t="s">
        <v>403</v>
      </c>
      <c r="T137" s="28">
        <v>38.78</v>
      </c>
      <c r="U137" s="13" t="s">
        <v>439</v>
      </c>
      <c r="V137" s="13" t="s">
        <v>413</v>
      </c>
      <c r="W137" s="13" t="s">
        <v>683</v>
      </c>
      <c r="X137" s="17">
        <f>DATE(2022,7,11)</f>
        <v>44753</v>
      </c>
      <c r="Y137" s="3"/>
    </row>
    <row r="138" spans="1:25" ht="45" customHeight="1">
      <c r="A138" s="3">
        <v>136</v>
      </c>
      <c r="B138" s="13" t="s">
        <v>684</v>
      </c>
      <c r="C138" s="13" t="s">
        <v>103</v>
      </c>
      <c r="D138" s="13" t="s">
        <v>685</v>
      </c>
      <c r="E138" s="13" t="s">
        <v>686</v>
      </c>
      <c r="F138" s="13" t="s">
        <v>687</v>
      </c>
      <c r="G138" s="13" t="s">
        <v>687</v>
      </c>
      <c r="H138" s="13" t="s">
        <v>406</v>
      </c>
      <c r="I138" s="27" t="s">
        <v>688</v>
      </c>
      <c r="J138" s="27" t="s">
        <v>33</v>
      </c>
      <c r="K138" s="27" t="s">
        <v>106</v>
      </c>
      <c r="L138" s="27" t="s">
        <v>35</v>
      </c>
      <c r="M138" s="27" t="s">
        <v>36</v>
      </c>
      <c r="N138" s="17">
        <f>DATE(2022,3,14)</f>
        <v>44634</v>
      </c>
      <c r="O138" s="13" t="s">
        <v>107</v>
      </c>
      <c r="P138" s="13" t="s">
        <v>689</v>
      </c>
      <c r="Q138" s="13" t="s">
        <v>465</v>
      </c>
      <c r="R138" s="13" t="s">
        <v>690</v>
      </c>
      <c r="S138" s="13" t="s">
        <v>403</v>
      </c>
      <c r="T138" s="28">
        <v>37.36</v>
      </c>
      <c r="U138" s="13" t="s">
        <v>461</v>
      </c>
      <c r="V138" s="13" t="s">
        <v>413</v>
      </c>
      <c r="W138" s="13" t="s">
        <v>691</v>
      </c>
      <c r="X138" s="17">
        <f>DATE(2022,6,14)</f>
        <v>44726</v>
      </c>
      <c r="Y138" s="3"/>
    </row>
    <row r="139" spans="1:25" ht="45" customHeight="1">
      <c r="A139" s="3">
        <v>137</v>
      </c>
      <c r="B139" s="13" t="s">
        <v>692</v>
      </c>
      <c r="C139" s="13" t="s">
        <v>103</v>
      </c>
      <c r="D139" s="13" t="s">
        <v>693</v>
      </c>
      <c r="E139" s="13" t="s">
        <v>694</v>
      </c>
      <c r="F139" s="13" t="s">
        <v>417</v>
      </c>
      <c r="G139" s="13" t="s">
        <v>695</v>
      </c>
      <c r="H139" s="13" t="s">
        <v>419</v>
      </c>
      <c r="I139" s="27" t="s">
        <v>696</v>
      </c>
      <c r="J139" s="27" t="s">
        <v>33</v>
      </c>
      <c r="K139" s="27" t="s">
        <v>106</v>
      </c>
      <c r="L139" s="27" t="s">
        <v>35</v>
      </c>
      <c r="M139" s="27" t="s">
        <v>36</v>
      </c>
      <c r="N139" s="17">
        <f>DATE(2022,3,14)</f>
        <v>44634</v>
      </c>
      <c r="O139" s="13" t="s">
        <v>107</v>
      </c>
      <c r="P139" s="13" t="s">
        <v>697</v>
      </c>
      <c r="Q139" s="13" t="s">
        <v>465</v>
      </c>
      <c r="R139" s="13" t="s">
        <v>698</v>
      </c>
      <c r="S139" s="13" t="s">
        <v>423</v>
      </c>
      <c r="T139" s="28">
        <v>43.16</v>
      </c>
      <c r="U139" s="13" t="s">
        <v>694</v>
      </c>
      <c r="V139" s="13" t="s">
        <v>413</v>
      </c>
      <c r="W139" s="13" t="s">
        <v>699</v>
      </c>
      <c r="X139" s="17">
        <f>DATE(2022,6,14)</f>
        <v>44726</v>
      </c>
      <c r="Y139" s="3"/>
    </row>
    <row r="140" spans="1:25" ht="45" customHeight="1">
      <c r="A140" s="3">
        <v>138</v>
      </c>
      <c r="B140" s="13" t="s">
        <v>700</v>
      </c>
      <c r="C140" s="13" t="s">
        <v>26</v>
      </c>
      <c r="D140" s="13" t="s">
        <v>701</v>
      </c>
      <c r="E140" s="13" t="s">
        <v>660</v>
      </c>
      <c r="F140" s="13" t="s">
        <v>428</v>
      </c>
      <c r="G140" s="13" t="s">
        <v>646</v>
      </c>
      <c r="H140" s="13" t="s">
        <v>406</v>
      </c>
      <c r="I140" s="27" t="s">
        <v>702</v>
      </c>
      <c r="J140" s="27" t="s">
        <v>33</v>
      </c>
      <c r="K140" s="27" t="s">
        <v>34</v>
      </c>
      <c r="L140" s="27" t="s">
        <v>35</v>
      </c>
      <c r="M140" s="27" t="s">
        <v>36</v>
      </c>
      <c r="N140" s="17">
        <f>DATE(2022,3,14)</f>
        <v>44634</v>
      </c>
      <c r="O140" s="13" t="s">
        <v>107</v>
      </c>
      <c r="P140" s="13" t="s">
        <v>430</v>
      </c>
      <c r="Q140" s="13" t="s">
        <v>431</v>
      </c>
      <c r="R140" s="13" t="s">
        <v>703</v>
      </c>
      <c r="S140" s="13" t="s">
        <v>433</v>
      </c>
      <c r="T140" s="28">
        <v>28.53</v>
      </c>
      <c r="U140" s="13" t="s">
        <v>445</v>
      </c>
      <c r="V140" s="13" t="s">
        <v>413</v>
      </c>
      <c r="W140" s="13" t="s">
        <v>649</v>
      </c>
      <c r="X140" s="17">
        <f>DATE(2022,6,14)</f>
        <v>44726</v>
      </c>
      <c r="Y140" s="3"/>
    </row>
    <row r="141" spans="1:25" ht="45" customHeight="1">
      <c r="A141" s="3">
        <v>139</v>
      </c>
      <c r="B141" s="13" t="s">
        <v>704</v>
      </c>
      <c r="C141" s="13" t="s">
        <v>26</v>
      </c>
      <c r="D141" s="13" t="s">
        <v>705</v>
      </c>
      <c r="E141" s="13" t="s">
        <v>668</v>
      </c>
      <c r="F141" s="13" t="s">
        <v>706</v>
      </c>
      <c r="G141" s="13" t="s">
        <v>707</v>
      </c>
      <c r="H141" s="13" t="s">
        <v>706</v>
      </c>
      <c r="I141" s="27" t="s">
        <v>708</v>
      </c>
      <c r="J141" s="27" t="s">
        <v>33</v>
      </c>
      <c r="K141" s="27" t="s">
        <v>34</v>
      </c>
      <c r="L141" s="27" t="s">
        <v>208</v>
      </c>
      <c r="M141" s="27" t="s">
        <v>209</v>
      </c>
      <c r="N141" s="17">
        <f>DATE(2022,3,14)</f>
        <v>44634</v>
      </c>
      <c r="O141" s="13" t="s">
        <v>107</v>
      </c>
      <c r="P141" s="13" t="s">
        <v>709</v>
      </c>
      <c r="Q141" s="13" t="s">
        <v>670</v>
      </c>
      <c r="R141" s="13" t="s">
        <v>710</v>
      </c>
      <c r="S141" s="13" t="s">
        <v>458</v>
      </c>
      <c r="T141" s="28">
        <v>51.24</v>
      </c>
      <c r="U141" s="13" t="s">
        <v>668</v>
      </c>
      <c r="V141" s="13" t="s">
        <v>89</v>
      </c>
      <c r="W141" s="13" t="s">
        <v>711</v>
      </c>
      <c r="X141" s="17">
        <f>DATE(2022,6,14)</f>
        <v>44726</v>
      </c>
      <c r="Y141" s="3"/>
    </row>
    <row r="142" spans="1:25" ht="45" customHeight="1">
      <c r="A142" s="3">
        <v>140</v>
      </c>
      <c r="B142" s="13" t="s">
        <v>712</v>
      </c>
      <c r="C142" s="13" t="s">
        <v>26</v>
      </c>
      <c r="D142" s="13" t="s">
        <v>713</v>
      </c>
      <c r="E142" s="13" t="s">
        <v>558</v>
      </c>
      <c r="F142" s="13" t="s">
        <v>621</v>
      </c>
      <c r="G142" s="13" t="s">
        <v>621</v>
      </c>
      <c r="H142" s="13" t="s">
        <v>406</v>
      </c>
      <c r="I142" s="27" t="s">
        <v>714</v>
      </c>
      <c r="J142" s="27" t="s">
        <v>33</v>
      </c>
      <c r="K142" s="27" t="s">
        <v>34</v>
      </c>
      <c r="L142" s="27" t="s">
        <v>35</v>
      </c>
      <c r="M142" s="27" t="s">
        <v>36</v>
      </c>
      <c r="N142" s="17">
        <f>DATE(2022,3,21)</f>
        <v>44641</v>
      </c>
      <c r="O142" s="13" t="s">
        <v>107</v>
      </c>
      <c r="P142" s="13" t="s">
        <v>623</v>
      </c>
      <c r="Q142" s="13" t="s">
        <v>431</v>
      </c>
      <c r="R142" s="13" t="s">
        <v>715</v>
      </c>
      <c r="S142" s="13" t="s">
        <v>403</v>
      </c>
      <c r="T142" s="28">
        <v>33.6</v>
      </c>
      <c r="U142" s="13" t="s">
        <v>474</v>
      </c>
      <c r="V142" s="13" t="s">
        <v>413</v>
      </c>
      <c r="W142" s="13" t="s">
        <v>625</v>
      </c>
      <c r="X142" s="17">
        <f>DATE(2022,6,21)</f>
        <v>44733</v>
      </c>
      <c r="Y142" s="3"/>
    </row>
    <row r="143" spans="1:25" ht="45" customHeight="1">
      <c r="A143" s="3">
        <v>141</v>
      </c>
      <c r="B143" s="13" t="s">
        <v>716</v>
      </c>
      <c r="C143" s="13" t="s">
        <v>103</v>
      </c>
      <c r="D143" s="13" t="s">
        <v>717</v>
      </c>
      <c r="E143" s="13" t="s">
        <v>427</v>
      </c>
      <c r="F143" s="13" t="s">
        <v>491</v>
      </c>
      <c r="G143" s="13" t="s">
        <v>492</v>
      </c>
      <c r="H143" s="13" t="s">
        <v>406</v>
      </c>
      <c r="I143" s="27" t="s">
        <v>718</v>
      </c>
      <c r="J143" s="27" t="s">
        <v>33</v>
      </c>
      <c r="K143" s="27" t="s">
        <v>106</v>
      </c>
      <c r="L143" s="27" t="s">
        <v>35</v>
      </c>
      <c r="M143" s="27" t="s">
        <v>36</v>
      </c>
      <c r="N143" s="17">
        <f>DATE(2022,3,28)</f>
        <v>44648</v>
      </c>
      <c r="O143" s="13" t="s">
        <v>107</v>
      </c>
      <c r="P143" s="13" t="s">
        <v>494</v>
      </c>
      <c r="Q143" s="13" t="s">
        <v>431</v>
      </c>
      <c r="R143" s="13" t="s">
        <v>719</v>
      </c>
      <c r="S143" s="13" t="s">
        <v>496</v>
      </c>
      <c r="T143" s="28">
        <v>28.56</v>
      </c>
      <c r="U143" s="13" t="s">
        <v>427</v>
      </c>
      <c r="V143" s="13" t="s">
        <v>413</v>
      </c>
      <c r="W143" s="13" t="s">
        <v>492</v>
      </c>
      <c r="X143" s="17">
        <f>DATE(2022,6,28)</f>
        <v>44740</v>
      </c>
      <c r="Y143" s="3"/>
    </row>
    <row r="144" spans="1:25" ht="45" customHeight="1">
      <c r="A144" s="3">
        <v>142</v>
      </c>
      <c r="B144" s="13" t="s">
        <v>720</v>
      </c>
      <c r="C144" s="13" t="s">
        <v>103</v>
      </c>
      <c r="D144" s="13" t="s">
        <v>721</v>
      </c>
      <c r="E144" s="13" t="s">
        <v>637</v>
      </c>
      <c r="F144" s="13" t="s">
        <v>568</v>
      </c>
      <c r="G144" s="13" t="s">
        <v>722</v>
      </c>
      <c r="H144" s="13" t="s">
        <v>723</v>
      </c>
      <c r="I144" s="27" t="s">
        <v>724</v>
      </c>
      <c r="J144" s="27" t="s">
        <v>33</v>
      </c>
      <c r="K144" s="27" t="s">
        <v>106</v>
      </c>
      <c r="L144" s="27" t="s">
        <v>408</v>
      </c>
      <c r="M144" s="27" t="s">
        <v>409</v>
      </c>
      <c r="N144" s="17">
        <f>DATE(2022,4,1)</f>
        <v>44652</v>
      </c>
      <c r="O144" s="13" t="s">
        <v>107</v>
      </c>
      <c r="P144" s="13" t="s">
        <v>567</v>
      </c>
      <c r="Q144" s="13" t="s">
        <v>411</v>
      </c>
      <c r="R144" s="13" t="s">
        <v>725</v>
      </c>
      <c r="S144" s="13" t="s">
        <v>570</v>
      </c>
      <c r="T144" s="28">
        <v>50.9</v>
      </c>
      <c r="U144" s="13" t="s">
        <v>637</v>
      </c>
      <c r="V144" s="13" t="s">
        <v>413</v>
      </c>
      <c r="W144" s="13" t="s">
        <v>726</v>
      </c>
      <c r="X144" s="17">
        <f>DATE(2022,10,1)</f>
        <v>44835</v>
      </c>
      <c r="Y144" s="3"/>
    </row>
    <row r="145" spans="1:25" ht="45" customHeight="1">
      <c r="A145" s="3">
        <v>143</v>
      </c>
      <c r="B145" s="13" t="s">
        <v>727</v>
      </c>
      <c r="C145" s="13" t="s">
        <v>103</v>
      </c>
      <c r="D145" s="13" t="s">
        <v>728</v>
      </c>
      <c r="E145" s="13" t="s">
        <v>694</v>
      </c>
      <c r="F145" s="13" t="s">
        <v>491</v>
      </c>
      <c r="G145" s="13" t="s">
        <v>492</v>
      </c>
      <c r="H145" s="13" t="s">
        <v>406</v>
      </c>
      <c r="I145" s="27" t="s">
        <v>729</v>
      </c>
      <c r="J145" s="27" t="s">
        <v>33</v>
      </c>
      <c r="K145" s="27" t="s">
        <v>106</v>
      </c>
      <c r="L145" s="27" t="s">
        <v>35</v>
      </c>
      <c r="M145" s="27" t="s">
        <v>36</v>
      </c>
      <c r="N145" s="17">
        <f>DATE(2022,4,4)</f>
        <v>44655</v>
      </c>
      <c r="O145" s="13" t="s">
        <v>107</v>
      </c>
      <c r="P145" s="13" t="s">
        <v>494</v>
      </c>
      <c r="Q145" s="13" t="s">
        <v>465</v>
      </c>
      <c r="R145" s="13" t="s">
        <v>730</v>
      </c>
      <c r="S145" s="13" t="s">
        <v>496</v>
      </c>
      <c r="T145" s="28">
        <v>39.07</v>
      </c>
      <c r="U145" s="13" t="s">
        <v>694</v>
      </c>
      <c r="V145" s="13" t="s">
        <v>413</v>
      </c>
      <c r="W145" s="13" t="s">
        <v>492</v>
      </c>
      <c r="X145" s="17">
        <f>DATE(2022,7,4)</f>
        <v>44746</v>
      </c>
      <c r="Y145" s="3"/>
    </row>
    <row r="146" spans="1:25" ht="45" customHeight="1">
      <c r="A146" s="3">
        <v>144</v>
      </c>
      <c r="B146" s="13" t="s">
        <v>731</v>
      </c>
      <c r="C146" s="13" t="s">
        <v>26</v>
      </c>
      <c r="D146" s="13" t="s">
        <v>732</v>
      </c>
      <c r="E146" s="13" t="s">
        <v>733</v>
      </c>
      <c r="F146" s="13" t="s">
        <v>446</v>
      </c>
      <c r="G146" s="13" t="s">
        <v>615</v>
      </c>
      <c r="H146" s="13" t="s">
        <v>406</v>
      </c>
      <c r="I146" s="27" t="s">
        <v>734</v>
      </c>
      <c r="J146" s="27" t="s">
        <v>33</v>
      </c>
      <c r="K146" s="27" t="s">
        <v>34</v>
      </c>
      <c r="L146" s="27" t="s">
        <v>35</v>
      </c>
      <c r="M146" s="27" t="s">
        <v>36</v>
      </c>
      <c r="N146" s="17">
        <f>DATE(2022,4,4)</f>
        <v>44655</v>
      </c>
      <c r="O146" s="13" t="s">
        <v>107</v>
      </c>
      <c r="P146" s="13" t="s">
        <v>449</v>
      </c>
      <c r="Q146" s="13" t="s">
        <v>670</v>
      </c>
      <c r="R146" s="13" t="s">
        <v>735</v>
      </c>
      <c r="S146" s="13" t="s">
        <v>449</v>
      </c>
      <c r="T146" s="28">
        <v>27.39</v>
      </c>
      <c r="U146" s="13" t="s">
        <v>733</v>
      </c>
      <c r="V146" s="13" t="s">
        <v>146</v>
      </c>
      <c r="W146" s="13" t="s">
        <v>615</v>
      </c>
      <c r="X146" s="17">
        <f>DATE(2022,7,4)</f>
        <v>44746</v>
      </c>
      <c r="Y146" s="3"/>
    </row>
    <row r="147" spans="1:25" ht="45" customHeight="1">
      <c r="A147" s="3">
        <v>145</v>
      </c>
      <c r="B147" s="13" t="s">
        <v>736</v>
      </c>
      <c r="C147" s="13" t="s">
        <v>26</v>
      </c>
      <c r="D147" s="13" t="s">
        <v>737</v>
      </c>
      <c r="E147" s="13" t="s">
        <v>738</v>
      </c>
      <c r="F147" s="13" t="s">
        <v>453</v>
      </c>
      <c r="G147" s="13" t="s">
        <v>739</v>
      </c>
      <c r="H147" s="13" t="s">
        <v>453</v>
      </c>
      <c r="I147" s="27" t="s">
        <v>740</v>
      </c>
      <c r="J147" s="27" t="s">
        <v>33</v>
      </c>
      <c r="K147" s="27" t="s">
        <v>34</v>
      </c>
      <c r="L147" s="27" t="s">
        <v>35</v>
      </c>
      <c r="M147" s="27" t="s">
        <v>36</v>
      </c>
      <c r="N147" s="17">
        <f>DATE(2022,4,4)</f>
        <v>44655</v>
      </c>
      <c r="O147" s="13" t="s">
        <v>107</v>
      </c>
      <c r="P147" s="13" t="s">
        <v>456</v>
      </c>
      <c r="Q147" s="13" t="s">
        <v>670</v>
      </c>
      <c r="R147" s="13" t="s">
        <v>741</v>
      </c>
      <c r="S147" s="13" t="s">
        <v>458</v>
      </c>
      <c r="T147" s="28">
        <v>33.39</v>
      </c>
      <c r="U147" s="13" t="s">
        <v>733</v>
      </c>
      <c r="V147" s="13" t="s">
        <v>89</v>
      </c>
      <c r="W147" s="13" t="s">
        <v>739</v>
      </c>
      <c r="X147" s="17">
        <f>DATE(2022,7,4)</f>
        <v>44746</v>
      </c>
      <c r="Y147" s="3"/>
    </row>
    <row r="148" spans="1:25" ht="45" customHeight="1">
      <c r="A148" s="3">
        <v>146</v>
      </c>
      <c r="B148" s="13" t="s">
        <v>742</v>
      </c>
      <c r="C148" s="13" t="s">
        <v>103</v>
      </c>
      <c r="D148" s="13" t="s">
        <v>743</v>
      </c>
      <c r="E148" s="13" t="s">
        <v>738</v>
      </c>
      <c r="F148" s="13" t="s">
        <v>744</v>
      </c>
      <c r="G148" s="13" t="s">
        <v>745</v>
      </c>
      <c r="H148" s="13" t="s">
        <v>744</v>
      </c>
      <c r="I148" s="27" t="s">
        <v>746</v>
      </c>
      <c r="J148" s="27" t="s">
        <v>33</v>
      </c>
      <c r="K148" s="27" t="s">
        <v>106</v>
      </c>
      <c r="L148" s="27" t="s">
        <v>35</v>
      </c>
      <c r="M148" s="27" t="s">
        <v>36</v>
      </c>
      <c r="N148" s="17">
        <f>DATE(2022,4,5)</f>
        <v>44656</v>
      </c>
      <c r="O148" s="13" t="s">
        <v>107</v>
      </c>
      <c r="P148" s="13" t="s">
        <v>456</v>
      </c>
      <c r="Q148" s="13" t="s">
        <v>670</v>
      </c>
      <c r="R148" s="13" t="s">
        <v>747</v>
      </c>
      <c r="S148" s="13" t="s">
        <v>458</v>
      </c>
      <c r="T148" s="28">
        <v>29.1</v>
      </c>
      <c r="U148" s="13" t="s">
        <v>733</v>
      </c>
      <c r="V148" s="13" t="s">
        <v>146</v>
      </c>
      <c r="W148" s="13" t="s">
        <v>745</v>
      </c>
      <c r="X148" s="17">
        <f>DATE(2022,7,5)</f>
        <v>44747</v>
      </c>
      <c r="Y148" s="3"/>
    </row>
    <row r="149" spans="1:25" ht="45" customHeight="1">
      <c r="A149" s="3">
        <v>147</v>
      </c>
      <c r="B149" s="13" t="s">
        <v>748</v>
      </c>
      <c r="C149" s="13" t="s">
        <v>26</v>
      </c>
      <c r="D149" s="13" t="s">
        <v>749</v>
      </c>
      <c r="E149" s="13" t="s">
        <v>668</v>
      </c>
      <c r="F149" s="13" t="s">
        <v>446</v>
      </c>
      <c r="G149" s="13" t="s">
        <v>516</v>
      </c>
      <c r="H149" s="13" t="s">
        <v>406</v>
      </c>
      <c r="I149" s="27" t="s">
        <v>750</v>
      </c>
      <c r="J149" s="27" t="s">
        <v>33</v>
      </c>
      <c r="K149" s="27" t="s">
        <v>34</v>
      </c>
      <c r="L149" s="27" t="s">
        <v>35</v>
      </c>
      <c r="M149" s="27" t="s">
        <v>36</v>
      </c>
      <c r="N149" s="17">
        <f>DATE(2022,4,6)</f>
        <v>44657</v>
      </c>
      <c r="O149" s="13" t="s">
        <v>107</v>
      </c>
      <c r="P149" s="13" t="s">
        <v>449</v>
      </c>
      <c r="Q149" s="13" t="s">
        <v>670</v>
      </c>
      <c r="R149" s="13" t="s">
        <v>751</v>
      </c>
      <c r="S149" s="13" t="s">
        <v>403</v>
      </c>
      <c r="T149" s="28">
        <v>33.450000000000003</v>
      </c>
      <c r="U149" s="13" t="s">
        <v>668</v>
      </c>
      <c r="V149" s="13" t="s">
        <v>752</v>
      </c>
      <c r="W149" s="13" t="s">
        <v>516</v>
      </c>
      <c r="X149" s="17">
        <f>DATE(2022,7,6)</f>
        <v>44748</v>
      </c>
      <c r="Y149" s="3"/>
    </row>
    <row r="150" spans="1:25" ht="45" customHeight="1">
      <c r="A150" s="3">
        <v>148</v>
      </c>
      <c r="B150" s="13" t="s">
        <v>753</v>
      </c>
      <c r="C150" s="13" t="s">
        <v>26</v>
      </c>
      <c r="D150" s="13" t="s">
        <v>754</v>
      </c>
      <c r="E150" s="13" t="s">
        <v>755</v>
      </c>
      <c r="F150" s="13" t="s">
        <v>417</v>
      </c>
      <c r="G150" s="13" t="s">
        <v>756</v>
      </c>
      <c r="H150" s="13" t="s">
        <v>419</v>
      </c>
      <c r="I150" s="27" t="s">
        <v>757</v>
      </c>
      <c r="J150" s="27" t="s">
        <v>33</v>
      </c>
      <c r="K150" s="27" t="s">
        <v>34</v>
      </c>
      <c r="L150" s="27" t="s">
        <v>35</v>
      </c>
      <c r="M150" s="27" t="s">
        <v>36</v>
      </c>
      <c r="N150" s="17">
        <f>DATE(2022,4,6)</f>
        <v>44657</v>
      </c>
      <c r="O150" s="13" t="s">
        <v>34</v>
      </c>
      <c r="P150" s="13" t="s">
        <v>693</v>
      </c>
      <c r="Q150" s="13" t="s">
        <v>38</v>
      </c>
      <c r="R150" s="13" t="s">
        <v>758</v>
      </c>
      <c r="S150" s="13" t="s">
        <v>423</v>
      </c>
      <c r="T150" s="28">
        <v>27.81</v>
      </c>
      <c r="U150" s="13" t="s">
        <v>755</v>
      </c>
      <c r="V150" s="13" t="s">
        <v>89</v>
      </c>
      <c r="W150" s="13" t="s">
        <v>759</v>
      </c>
      <c r="X150" s="17">
        <f>DATE(2022,7,6)</f>
        <v>44748</v>
      </c>
      <c r="Y150" s="3"/>
    </row>
    <row r="151" spans="1:25" ht="45" customHeight="1">
      <c r="A151" s="3">
        <v>149</v>
      </c>
      <c r="B151" s="13" t="s">
        <v>760</v>
      </c>
      <c r="C151" s="13" t="s">
        <v>26</v>
      </c>
      <c r="D151" s="13" t="s">
        <v>761</v>
      </c>
      <c r="E151" s="13" t="s">
        <v>762</v>
      </c>
      <c r="F151" s="13" t="s">
        <v>453</v>
      </c>
      <c r="G151" s="13" t="s">
        <v>739</v>
      </c>
      <c r="H151" s="13" t="s">
        <v>453</v>
      </c>
      <c r="I151" s="27" t="s">
        <v>763</v>
      </c>
      <c r="J151" s="27" t="s">
        <v>33</v>
      </c>
      <c r="K151" s="27" t="s">
        <v>34</v>
      </c>
      <c r="L151" s="27" t="s">
        <v>35</v>
      </c>
      <c r="M151" s="27" t="s">
        <v>36</v>
      </c>
      <c r="N151" s="17">
        <f t="shared" ref="N151:N159" si="9">DATE(2022,4,11)</f>
        <v>44662</v>
      </c>
      <c r="O151" s="13" t="s">
        <v>107</v>
      </c>
      <c r="P151" s="13" t="s">
        <v>456</v>
      </c>
      <c r="Q151" s="13" t="s">
        <v>670</v>
      </c>
      <c r="R151" s="13" t="s">
        <v>764</v>
      </c>
      <c r="S151" s="13" t="s">
        <v>458</v>
      </c>
      <c r="T151" s="28">
        <v>32.21</v>
      </c>
      <c r="U151" s="13" t="s">
        <v>765</v>
      </c>
      <c r="V151" s="13" t="s">
        <v>146</v>
      </c>
      <c r="W151" s="13" t="s">
        <v>739</v>
      </c>
      <c r="X151" s="17">
        <f t="shared" ref="X151:X159" si="10">DATE(2022,7,11)</f>
        <v>44753</v>
      </c>
      <c r="Y151" s="3"/>
    </row>
    <row r="152" spans="1:25" ht="45" customHeight="1">
      <c r="A152" s="3">
        <v>150</v>
      </c>
      <c r="B152" s="13" t="s">
        <v>766</v>
      </c>
      <c r="C152" s="13" t="s">
        <v>26</v>
      </c>
      <c r="D152" s="13" t="s">
        <v>767</v>
      </c>
      <c r="E152" s="13" t="s">
        <v>738</v>
      </c>
      <c r="F152" s="13" t="s">
        <v>453</v>
      </c>
      <c r="G152" s="13" t="s">
        <v>739</v>
      </c>
      <c r="H152" s="13" t="s">
        <v>453</v>
      </c>
      <c r="I152" s="27" t="s">
        <v>768</v>
      </c>
      <c r="J152" s="27" t="s">
        <v>33</v>
      </c>
      <c r="K152" s="27" t="s">
        <v>34</v>
      </c>
      <c r="L152" s="27" t="s">
        <v>35</v>
      </c>
      <c r="M152" s="27" t="s">
        <v>36</v>
      </c>
      <c r="N152" s="17">
        <f t="shared" si="9"/>
        <v>44662</v>
      </c>
      <c r="O152" s="13" t="s">
        <v>107</v>
      </c>
      <c r="P152" s="13" t="s">
        <v>456</v>
      </c>
      <c r="Q152" s="13" t="s">
        <v>670</v>
      </c>
      <c r="R152" s="13" t="s">
        <v>769</v>
      </c>
      <c r="S152" s="13" t="s">
        <v>458</v>
      </c>
      <c r="T152" s="28">
        <v>29.37</v>
      </c>
      <c r="U152" s="13" t="s">
        <v>733</v>
      </c>
      <c r="V152" s="13" t="s">
        <v>53</v>
      </c>
      <c r="W152" s="13" t="s">
        <v>739</v>
      </c>
      <c r="X152" s="17">
        <f t="shared" si="10"/>
        <v>44753</v>
      </c>
      <c r="Y152" s="3"/>
    </row>
    <row r="153" spans="1:25" ht="45" customHeight="1">
      <c r="A153" s="3">
        <v>151</v>
      </c>
      <c r="B153" s="13" t="s">
        <v>770</v>
      </c>
      <c r="C153" s="13" t="s">
        <v>26</v>
      </c>
      <c r="D153" s="13" t="s">
        <v>771</v>
      </c>
      <c r="E153" s="13" t="s">
        <v>755</v>
      </c>
      <c r="F153" s="13" t="s">
        <v>417</v>
      </c>
      <c r="G153" s="13" t="s">
        <v>756</v>
      </c>
      <c r="H153" s="13" t="s">
        <v>419</v>
      </c>
      <c r="I153" s="27" t="s">
        <v>772</v>
      </c>
      <c r="J153" s="27" t="s">
        <v>33</v>
      </c>
      <c r="K153" s="27" t="s">
        <v>34</v>
      </c>
      <c r="L153" s="27" t="s">
        <v>35</v>
      </c>
      <c r="M153" s="27" t="s">
        <v>36</v>
      </c>
      <c r="N153" s="17">
        <f t="shared" si="9"/>
        <v>44662</v>
      </c>
      <c r="O153" s="13" t="s">
        <v>34</v>
      </c>
      <c r="P153" s="13" t="s">
        <v>693</v>
      </c>
      <c r="Q153" s="13" t="s">
        <v>38</v>
      </c>
      <c r="R153" s="13" t="s">
        <v>773</v>
      </c>
      <c r="S153" s="13" t="s">
        <v>423</v>
      </c>
      <c r="T153" s="28">
        <v>27.98</v>
      </c>
      <c r="U153" s="13" t="s">
        <v>755</v>
      </c>
      <c r="V153" s="13" t="s">
        <v>146</v>
      </c>
      <c r="W153" s="13" t="s">
        <v>759</v>
      </c>
      <c r="X153" s="17">
        <f t="shared" si="10"/>
        <v>44753</v>
      </c>
      <c r="Y153" s="3"/>
    </row>
    <row r="154" spans="1:25" ht="45" customHeight="1">
      <c r="A154" s="3">
        <v>152</v>
      </c>
      <c r="B154" s="13" t="s">
        <v>774</v>
      </c>
      <c r="C154" s="13" t="s">
        <v>26</v>
      </c>
      <c r="D154" s="13" t="s">
        <v>775</v>
      </c>
      <c r="E154" s="13" t="s">
        <v>738</v>
      </c>
      <c r="F154" s="13" t="s">
        <v>744</v>
      </c>
      <c r="G154" s="13" t="s">
        <v>38</v>
      </c>
      <c r="H154" s="13" t="s">
        <v>744</v>
      </c>
      <c r="I154" s="27" t="s">
        <v>776</v>
      </c>
      <c r="J154" s="27" t="s">
        <v>33</v>
      </c>
      <c r="K154" s="27" t="s">
        <v>34</v>
      </c>
      <c r="L154" s="27" t="s">
        <v>35</v>
      </c>
      <c r="M154" s="27" t="s">
        <v>36</v>
      </c>
      <c r="N154" s="17">
        <f t="shared" si="9"/>
        <v>44662</v>
      </c>
      <c r="O154" s="13" t="s">
        <v>107</v>
      </c>
      <c r="P154" s="13" t="s">
        <v>456</v>
      </c>
      <c r="Q154" s="13" t="s">
        <v>670</v>
      </c>
      <c r="R154" s="13" t="s">
        <v>777</v>
      </c>
      <c r="S154" s="13" t="s">
        <v>458</v>
      </c>
      <c r="T154" s="28">
        <v>27.83</v>
      </c>
      <c r="U154" s="13" t="s">
        <v>733</v>
      </c>
      <c r="V154" s="13" t="s">
        <v>89</v>
      </c>
      <c r="W154" s="13" t="s">
        <v>778</v>
      </c>
      <c r="X154" s="17">
        <f t="shared" si="10"/>
        <v>44753</v>
      </c>
      <c r="Y154" s="3"/>
    </row>
    <row r="155" spans="1:25" ht="45" customHeight="1">
      <c r="A155" s="3">
        <v>153</v>
      </c>
      <c r="B155" s="13" t="s">
        <v>779</v>
      </c>
      <c r="C155" s="13" t="s">
        <v>26</v>
      </c>
      <c r="D155" s="13" t="s">
        <v>780</v>
      </c>
      <c r="E155" s="13" t="s">
        <v>660</v>
      </c>
      <c r="F155" s="13" t="s">
        <v>453</v>
      </c>
      <c r="G155" s="13" t="s">
        <v>454</v>
      </c>
      <c r="H155" s="13" t="s">
        <v>453</v>
      </c>
      <c r="I155" s="27" t="s">
        <v>781</v>
      </c>
      <c r="J155" s="27" t="s">
        <v>33</v>
      </c>
      <c r="K155" s="27" t="s">
        <v>34</v>
      </c>
      <c r="L155" s="27" t="s">
        <v>35</v>
      </c>
      <c r="M155" s="27" t="s">
        <v>36</v>
      </c>
      <c r="N155" s="17">
        <f t="shared" si="9"/>
        <v>44662</v>
      </c>
      <c r="O155" s="13" t="s">
        <v>107</v>
      </c>
      <c r="P155" s="13" t="s">
        <v>456</v>
      </c>
      <c r="Q155" s="13" t="s">
        <v>431</v>
      </c>
      <c r="R155" s="13" t="s">
        <v>782</v>
      </c>
      <c r="S155" s="13" t="s">
        <v>458</v>
      </c>
      <c r="T155" s="28">
        <v>34.950000000000003</v>
      </c>
      <c r="U155" s="13" t="s">
        <v>445</v>
      </c>
      <c r="V155" s="13" t="s">
        <v>413</v>
      </c>
      <c r="W155" s="13" t="s">
        <v>454</v>
      </c>
      <c r="X155" s="17">
        <f t="shared" si="10"/>
        <v>44753</v>
      </c>
      <c r="Y155" s="3"/>
    </row>
    <row r="156" spans="1:25" ht="45" customHeight="1">
      <c r="A156" s="3">
        <v>154</v>
      </c>
      <c r="B156" s="13" t="s">
        <v>783</v>
      </c>
      <c r="C156" s="13" t="s">
        <v>26</v>
      </c>
      <c r="D156" s="13" t="s">
        <v>784</v>
      </c>
      <c r="E156" s="13" t="s">
        <v>762</v>
      </c>
      <c r="F156" s="13" t="s">
        <v>706</v>
      </c>
      <c r="G156" s="13" t="s">
        <v>707</v>
      </c>
      <c r="H156" s="13" t="s">
        <v>706</v>
      </c>
      <c r="I156" s="27" t="s">
        <v>785</v>
      </c>
      <c r="J156" s="27" t="s">
        <v>33</v>
      </c>
      <c r="K156" s="27" t="s">
        <v>34</v>
      </c>
      <c r="L156" s="27" t="s">
        <v>35</v>
      </c>
      <c r="M156" s="27" t="s">
        <v>36</v>
      </c>
      <c r="N156" s="17">
        <f t="shared" si="9"/>
        <v>44662</v>
      </c>
      <c r="O156" s="13" t="s">
        <v>107</v>
      </c>
      <c r="P156" s="13" t="s">
        <v>709</v>
      </c>
      <c r="Q156" s="13" t="s">
        <v>670</v>
      </c>
      <c r="R156" s="13" t="s">
        <v>786</v>
      </c>
      <c r="S156" s="13" t="s">
        <v>458</v>
      </c>
      <c r="T156" s="28">
        <v>34.4</v>
      </c>
      <c r="U156" s="13" t="s">
        <v>765</v>
      </c>
      <c r="V156" s="13" t="s">
        <v>146</v>
      </c>
      <c r="W156" s="13" t="s">
        <v>711</v>
      </c>
      <c r="X156" s="17">
        <f t="shared" si="10"/>
        <v>44753</v>
      </c>
      <c r="Y156" s="3"/>
    </row>
    <row r="157" spans="1:25" ht="45" customHeight="1">
      <c r="A157" s="3">
        <v>155</v>
      </c>
      <c r="B157" s="13" t="s">
        <v>787</v>
      </c>
      <c r="C157" s="13" t="s">
        <v>26</v>
      </c>
      <c r="D157" s="13" t="s">
        <v>788</v>
      </c>
      <c r="E157" s="13" t="s">
        <v>762</v>
      </c>
      <c r="F157" s="13" t="s">
        <v>453</v>
      </c>
      <c r="G157" s="13" t="s">
        <v>454</v>
      </c>
      <c r="H157" s="13" t="s">
        <v>453</v>
      </c>
      <c r="I157" s="27" t="s">
        <v>789</v>
      </c>
      <c r="J157" s="27" t="s">
        <v>33</v>
      </c>
      <c r="K157" s="27" t="s">
        <v>34</v>
      </c>
      <c r="L157" s="27" t="s">
        <v>35</v>
      </c>
      <c r="M157" s="27" t="s">
        <v>36</v>
      </c>
      <c r="N157" s="17">
        <f t="shared" si="9"/>
        <v>44662</v>
      </c>
      <c r="O157" s="13" t="s">
        <v>107</v>
      </c>
      <c r="P157" s="13" t="s">
        <v>456</v>
      </c>
      <c r="Q157" s="13" t="s">
        <v>670</v>
      </c>
      <c r="R157" s="13" t="s">
        <v>790</v>
      </c>
      <c r="S157" s="13" t="s">
        <v>458</v>
      </c>
      <c r="T157" s="28">
        <v>27.3</v>
      </c>
      <c r="U157" s="13" t="s">
        <v>765</v>
      </c>
      <c r="V157" s="13" t="s">
        <v>89</v>
      </c>
      <c r="W157" s="13" t="s">
        <v>454</v>
      </c>
      <c r="X157" s="17">
        <f t="shared" si="10"/>
        <v>44753</v>
      </c>
      <c r="Y157" s="3"/>
    </row>
    <row r="158" spans="1:25" ht="45" customHeight="1">
      <c r="A158" s="3">
        <v>156</v>
      </c>
      <c r="B158" s="13" t="s">
        <v>791</v>
      </c>
      <c r="C158" s="13" t="s">
        <v>26</v>
      </c>
      <c r="D158" s="13" t="s">
        <v>792</v>
      </c>
      <c r="E158" s="13" t="s">
        <v>668</v>
      </c>
      <c r="F158" s="13" t="s">
        <v>453</v>
      </c>
      <c r="G158" s="13" t="s">
        <v>454</v>
      </c>
      <c r="H158" s="13" t="s">
        <v>453</v>
      </c>
      <c r="I158" s="27" t="s">
        <v>793</v>
      </c>
      <c r="J158" s="27" t="s">
        <v>33</v>
      </c>
      <c r="K158" s="27" t="s">
        <v>34</v>
      </c>
      <c r="L158" s="27" t="s">
        <v>35</v>
      </c>
      <c r="M158" s="27" t="s">
        <v>36</v>
      </c>
      <c r="N158" s="17">
        <f t="shared" si="9"/>
        <v>44662</v>
      </c>
      <c r="O158" s="13" t="s">
        <v>107</v>
      </c>
      <c r="P158" s="13" t="s">
        <v>456</v>
      </c>
      <c r="Q158" s="13" t="s">
        <v>670</v>
      </c>
      <c r="R158" s="13" t="s">
        <v>794</v>
      </c>
      <c r="S158" s="13" t="s">
        <v>458</v>
      </c>
      <c r="T158" s="28">
        <v>29.47</v>
      </c>
      <c r="U158" s="13" t="s">
        <v>668</v>
      </c>
      <c r="V158" s="13" t="s">
        <v>53</v>
      </c>
      <c r="W158" s="13" t="s">
        <v>454</v>
      </c>
      <c r="X158" s="17">
        <f t="shared" si="10"/>
        <v>44753</v>
      </c>
      <c r="Y158" s="3"/>
    </row>
    <row r="159" spans="1:25" ht="45" customHeight="1">
      <c r="A159" s="3">
        <v>157</v>
      </c>
      <c r="B159" s="13" t="s">
        <v>795</v>
      </c>
      <c r="C159" s="13" t="s">
        <v>26</v>
      </c>
      <c r="D159" s="13" t="s">
        <v>796</v>
      </c>
      <c r="E159" s="13" t="s">
        <v>738</v>
      </c>
      <c r="F159" s="13" t="s">
        <v>453</v>
      </c>
      <c r="G159" s="13" t="s">
        <v>739</v>
      </c>
      <c r="H159" s="13" t="s">
        <v>453</v>
      </c>
      <c r="I159" s="27" t="s">
        <v>797</v>
      </c>
      <c r="J159" s="27" t="s">
        <v>33</v>
      </c>
      <c r="K159" s="27" t="s">
        <v>34</v>
      </c>
      <c r="L159" s="27" t="s">
        <v>35</v>
      </c>
      <c r="M159" s="27" t="s">
        <v>36</v>
      </c>
      <c r="N159" s="17">
        <f t="shared" si="9"/>
        <v>44662</v>
      </c>
      <c r="O159" s="13" t="s">
        <v>107</v>
      </c>
      <c r="P159" s="13" t="s">
        <v>456</v>
      </c>
      <c r="Q159" s="13" t="s">
        <v>670</v>
      </c>
      <c r="R159" s="13" t="s">
        <v>798</v>
      </c>
      <c r="S159" s="13" t="s">
        <v>458</v>
      </c>
      <c r="T159" s="28">
        <v>31.88</v>
      </c>
      <c r="U159" s="13" t="s">
        <v>733</v>
      </c>
      <c r="V159" s="13" t="s">
        <v>799</v>
      </c>
      <c r="W159" s="13" t="s">
        <v>739</v>
      </c>
      <c r="X159" s="17">
        <f t="shared" si="10"/>
        <v>44753</v>
      </c>
      <c r="Y159" s="3"/>
    </row>
    <row r="160" spans="1:25" ht="45" customHeight="1">
      <c r="A160" s="3">
        <v>158</v>
      </c>
      <c r="B160" s="13" t="s">
        <v>800</v>
      </c>
      <c r="C160" s="13" t="s">
        <v>103</v>
      </c>
      <c r="D160" s="13" t="s">
        <v>801</v>
      </c>
      <c r="E160" s="13" t="s">
        <v>738</v>
      </c>
      <c r="F160" s="13" t="s">
        <v>744</v>
      </c>
      <c r="G160" s="13" t="s">
        <v>745</v>
      </c>
      <c r="H160" s="13" t="s">
        <v>744</v>
      </c>
      <c r="I160" s="27" t="s">
        <v>802</v>
      </c>
      <c r="J160" s="27" t="s">
        <v>33</v>
      </c>
      <c r="K160" s="27" t="s">
        <v>106</v>
      </c>
      <c r="L160" s="27" t="s">
        <v>35</v>
      </c>
      <c r="M160" s="27" t="s">
        <v>36</v>
      </c>
      <c r="N160" s="17">
        <f>DATE(2022,4,4)</f>
        <v>44655</v>
      </c>
      <c r="O160" s="13" t="s">
        <v>107</v>
      </c>
      <c r="P160" s="13" t="s">
        <v>456</v>
      </c>
      <c r="Q160" s="13" t="s">
        <v>670</v>
      </c>
      <c r="R160" s="13" t="s">
        <v>803</v>
      </c>
      <c r="S160" s="13" t="s">
        <v>458</v>
      </c>
      <c r="T160" s="28">
        <v>26.63</v>
      </c>
      <c r="U160" s="13" t="s">
        <v>733</v>
      </c>
      <c r="V160" s="13" t="s">
        <v>89</v>
      </c>
      <c r="W160" s="13" t="s">
        <v>745</v>
      </c>
      <c r="X160" s="17">
        <f>DATE(2022,7,4)</f>
        <v>44746</v>
      </c>
      <c r="Y160" s="3"/>
    </row>
    <row r="161" spans="1:25" ht="45" customHeight="1">
      <c r="A161" s="3">
        <v>159</v>
      </c>
      <c r="B161" s="13" t="s">
        <v>804</v>
      </c>
      <c r="C161" s="13" t="s">
        <v>26</v>
      </c>
      <c r="D161" s="13" t="s">
        <v>805</v>
      </c>
      <c r="E161" s="13" t="s">
        <v>668</v>
      </c>
      <c r="F161" s="13" t="s">
        <v>744</v>
      </c>
      <c r="G161" s="13" t="s">
        <v>745</v>
      </c>
      <c r="H161" s="13" t="s">
        <v>744</v>
      </c>
      <c r="I161" s="27" t="s">
        <v>806</v>
      </c>
      <c r="J161" s="27" t="s">
        <v>33</v>
      </c>
      <c r="K161" s="27" t="s">
        <v>34</v>
      </c>
      <c r="L161" s="27" t="s">
        <v>35</v>
      </c>
      <c r="M161" s="27" t="s">
        <v>36</v>
      </c>
      <c r="N161" s="17">
        <f>DATE(2022,4,11)</f>
        <v>44662</v>
      </c>
      <c r="O161" s="13" t="s">
        <v>107</v>
      </c>
      <c r="P161" s="13" t="s">
        <v>456</v>
      </c>
      <c r="Q161" s="13" t="s">
        <v>670</v>
      </c>
      <c r="R161" s="13" t="s">
        <v>807</v>
      </c>
      <c r="S161" s="13" t="s">
        <v>458</v>
      </c>
      <c r="T161" s="28">
        <v>28.83</v>
      </c>
      <c r="U161" s="13" t="s">
        <v>668</v>
      </c>
      <c r="V161" s="13" t="s">
        <v>89</v>
      </c>
      <c r="W161" s="13" t="s">
        <v>745</v>
      </c>
      <c r="X161" s="17">
        <f>DATE(2022,7,11)</f>
        <v>44753</v>
      </c>
      <c r="Y161" s="3"/>
    </row>
    <row r="162" spans="1:25" ht="45" customHeight="1">
      <c r="A162" s="3">
        <v>160</v>
      </c>
      <c r="B162" s="13" t="s">
        <v>808</v>
      </c>
      <c r="C162" s="13" t="s">
        <v>26</v>
      </c>
      <c r="D162" s="13" t="s">
        <v>809</v>
      </c>
      <c r="E162" s="13" t="s">
        <v>810</v>
      </c>
      <c r="F162" s="13" t="s">
        <v>453</v>
      </c>
      <c r="G162" s="13" t="s">
        <v>739</v>
      </c>
      <c r="H162" s="13" t="s">
        <v>453</v>
      </c>
      <c r="I162" s="27" t="s">
        <v>811</v>
      </c>
      <c r="J162" s="27" t="s">
        <v>33</v>
      </c>
      <c r="K162" s="27" t="s">
        <v>34</v>
      </c>
      <c r="L162" s="27" t="s">
        <v>208</v>
      </c>
      <c r="M162" s="27" t="s">
        <v>209</v>
      </c>
      <c r="N162" s="17">
        <f t="shared" ref="N162:N170" si="11">DATE(2022,4,18)</f>
        <v>44669</v>
      </c>
      <c r="O162" s="13" t="s">
        <v>107</v>
      </c>
      <c r="P162" s="13" t="s">
        <v>456</v>
      </c>
      <c r="Q162" s="13" t="s">
        <v>411</v>
      </c>
      <c r="R162" s="13" t="s">
        <v>812</v>
      </c>
      <c r="S162" s="13" t="s">
        <v>458</v>
      </c>
      <c r="T162" s="28">
        <v>38.28</v>
      </c>
      <c r="U162" s="13" t="s">
        <v>810</v>
      </c>
      <c r="V162" s="13" t="s">
        <v>413</v>
      </c>
      <c r="W162" s="13" t="s">
        <v>739</v>
      </c>
      <c r="X162" s="17">
        <f t="shared" ref="X162:X170" si="12">DATE(2022,7,18)</f>
        <v>44760</v>
      </c>
      <c r="Y162" s="3"/>
    </row>
    <row r="163" spans="1:25" ht="45" customHeight="1">
      <c r="A163" s="3">
        <v>161</v>
      </c>
      <c r="B163" s="13" t="s">
        <v>813</v>
      </c>
      <c r="C163" s="13" t="s">
        <v>103</v>
      </c>
      <c r="D163" s="13" t="s">
        <v>814</v>
      </c>
      <c r="E163" s="13" t="s">
        <v>815</v>
      </c>
      <c r="F163" s="13" t="s">
        <v>816</v>
      </c>
      <c r="G163" s="13" t="s">
        <v>817</v>
      </c>
      <c r="H163" s="13" t="s">
        <v>817</v>
      </c>
      <c r="I163" s="27" t="s">
        <v>818</v>
      </c>
      <c r="J163" s="27" t="s">
        <v>33</v>
      </c>
      <c r="K163" s="27" t="s">
        <v>106</v>
      </c>
      <c r="L163" s="27" t="s">
        <v>35</v>
      </c>
      <c r="M163" s="27" t="s">
        <v>36</v>
      </c>
      <c r="N163" s="17">
        <f t="shared" si="11"/>
        <v>44669</v>
      </c>
      <c r="O163" s="13" t="s">
        <v>107</v>
      </c>
      <c r="P163" s="13" t="s">
        <v>819</v>
      </c>
      <c r="Q163" s="13" t="s">
        <v>465</v>
      </c>
      <c r="R163" s="13" t="s">
        <v>820</v>
      </c>
      <c r="S163" s="13" t="s">
        <v>821</v>
      </c>
      <c r="T163" s="28">
        <v>40.67</v>
      </c>
      <c r="U163" s="13" t="s">
        <v>822</v>
      </c>
      <c r="V163" s="13" t="s">
        <v>413</v>
      </c>
      <c r="W163" s="13" t="s">
        <v>817</v>
      </c>
      <c r="X163" s="17">
        <f t="shared" si="12"/>
        <v>44760</v>
      </c>
      <c r="Y163" s="3"/>
    </row>
    <row r="164" spans="1:25" ht="45" customHeight="1">
      <c r="A164" s="3">
        <v>162</v>
      </c>
      <c r="B164" s="13" t="s">
        <v>823</v>
      </c>
      <c r="C164" s="13" t="s">
        <v>103</v>
      </c>
      <c r="D164" s="13" t="s">
        <v>824</v>
      </c>
      <c r="E164" s="13" t="s">
        <v>637</v>
      </c>
      <c r="F164" s="13" t="s">
        <v>568</v>
      </c>
      <c r="G164" s="13" t="s">
        <v>722</v>
      </c>
      <c r="H164" s="13" t="s">
        <v>723</v>
      </c>
      <c r="I164" s="27" t="s">
        <v>825</v>
      </c>
      <c r="J164" s="27" t="s">
        <v>33</v>
      </c>
      <c r="K164" s="27" t="s">
        <v>106</v>
      </c>
      <c r="L164" s="27" t="s">
        <v>35</v>
      </c>
      <c r="M164" s="27" t="s">
        <v>36</v>
      </c>
      <c r="N164" s="17">
        <f t="shared" si="11"/>
        <v>44669</v>
      </c>
      <c r="O164" s="13" t="s">
        <v>107</v>
      </c>
      <c r="P164" s="13" t="s">
        <v>567</v>
      </c>
      <c r="Q164" s="13" t="s">
        <v>411</v>
      </c>
      <c r="R164" s="13" t="s">
        <v>826</v>
      </c>
      <c r="S164" s="13" t="s">
        <v>570</v>
      </c>
      <c r="T164" s="28">
        <v>41.09</v>
      </c>
      <c r="U164" s="13" t="s">
        <v>637</v>
      </c>
      <c r="V164" s="13" t="s">
        <v>827</v>
      </c>
      <c r="W164" s="13" t="s">
        <v>726</v>
      </c>
      <c r="X164" s="17">
        <f t="shared" si="12"/>
        <v>44760</v>
      </c>
      <c r="Y164" s="3"/>
    </row>
    <row r="165" spans="1:25" ht="45" customHeight="1">
      <c r="A165" s="3">
        <v>163</v>
      </c>
      <c r="B165" s="13" t="s">
        <v>828</v>
      </c>
      <c r="C165" s="13" t="s">
        <v>103</v>
      </c>
      <c r="D165" s="13" t="s">
        <v>829</v>
      </c>
      <c r="E165" s="13" t="s">
        <v>499</v>
      </c>
      <c r="F165" s="13" t="s">
        <v>491</v>
      </c>
      <c r="G165" s="13" t="s">
        <v>830</v>
      </c>
      <c r="H165" s="13" t="s">
        <v>406</v>
      </c>
      <c r="I165" s="27" t="s">
        <v>831</v>
      </c>
      <c r="J165" s="27" t="s">
        <v>33</v>
      </c>
      <c r="K165" s="27" t="s">
        <v>106</v>
      </c>
      <c r="L165" s="27" t="s">
        <v>35</v>
      </c>
      <c r="M165" s="27" t="s">
        <v>36</v>
      </c>
      <c r="N165" s="17">
        <f t="shared" si="11"/>
        <v>44669</v>
      </c>
      <c r="O165" s="13" t="s">
        <v>107</v>
      </c>
      <c r="P165" s="13" t="s">
        <v>505</v>
      </c>
      <c r="Q165" s="13" t="s">
        <v>501</v>
      </c>
      <c r="R165" s="13" t="s">
        <v>832</v>
      </c>
      <c r="S165" s="13" t="s">
        <v>496</v>
      </c>
      <c r="T165" s="28">
        <v>30.21</v>
      </c>
      <c r="U165" s="13" t="s">
        <v>499</v>
      </c>
      <c r="V165" s="13" t="s">
        <v>146</v>
      </c>
      <c r="W165" s="13" t="s">
        <v>833</v>
      </c>
      <c r="X165" s="17">
        <f t="shared" si="12"/>
        <v>44760</v>
      </c>
      <c r="Y165" s="3"/>
    </row>
    <row r="166" spans="1:25" ht="45" customHeight="1">
      <c r="A166" s="3">
        <v>164</v>
      </c>
      <c r="B166" s="13" t="s">
        <v>834</v>
      </c>
      <c r="C166" s="13" t="s">
        <v>26</v>
      </c>
      <c r="D166" s="13" t="s">
        <v>835</v>
      </c>
      <c r="E166" s="13" t="s">
        <v>668</v>
      </c>
      <c r="F166" s="13" t="s">
        <v>446</v>
      </c>
      <c r="G166" s="13" t="s">
        <v>836</v>
      </c>
      <c r="H166" s="13" t="s">
        <v>406</v>
      </c>
      <c r="I166" s="27" t="s">
        <v>837</v>
      </c>
      <c r="J166" s="27" t="s">
        <v>33</v>
      </c>
      <c r="K166" s="27" t="s">
        <v>34</v>
      </c>
      <c r="L166" s="27" t="s">
        <v>208</v>
      </c>
      <c r="M166" s="27" t="s">
        <v>209</v>
      </c>
      <c r="N166" s="17">
        <f t="shared" si="11"/>
        <v>44669</v>
      </c>
      <c r="O166" s="13" t="s">
        <v>107</v>
      </c>
      <c r="P166" s="13" t="s">
        <v>449</v>
      </c>
      <c r="Q166" s="13" t="s">
        <v>670</v>
      </c>
      <c r="R166" s="13" t="s">
        <v>838</v>
      </c>
      <c r="S166" s="13" t="s">
        <v>403</v>
      </c>
      <c r="T166" s="28">
        <v>27.08</v>
      </c>
      <c r="U166" s="13" t="s">
        <v>668</v>
      </c>
      <c r="V166" s="13" t="s">
        <v>799</v>
      </c>
      <c r="W166" s="13" t="s">
        <v>836</v>
      </c>
      <c r="X166" s="17">
        <f t="shared" si="12"/>
        <v>44760</v>
      </c>
      <c r="Y166" s="3"/>
    </row>
    <row r="167" spans="1:25" ht="45" customHeight="1">
      <c r="A167" s="3">
        <v>165</v>
      </c>
      <c r="B167" s="13" t="s">
        <v>839</v>
      </c>
      <c r="C167" s="13" t="s">
        <v>26</v>
      </c>
      <c r="D167" s="13" t="s">
        <v>840</v>
      </c>
      <c r="E167" s="13" t="s">
        <v>762</v>
      </c>
      <c r="F167" s="13" t="s">
        <v>706</v>
      </c>
      <c r="G167" s="13" t="s">
        <v>707</v>
      </c>
      <c r="H167" s="13" t="s">
        <v>706</v>
      </c>
      <c r="I167" s="27" t="s">
        <v>841</v>
      </c>
      <c r="J167" s="27" t="s">
        <v>33</v>
      </c>
      <c r="K167" s="27" t="s">
        <v>34</v>
      </c>
      <c r="L167" s="27" t="s">
        <v>208</v>
      </c>
      <c r="M167" s="27" t="s">
        <v>209</v>
      </c>
      <c r="N167" s="17">
        <f t="shared" si="11"/>
        <v>44669</v>
      </c>
      <c r="O167" s="13" t="s">
        <v>107</v>
      </c>
      <c r="P167" s="13" t="s">
        <v>709</v>
      </c>
      <c r="Q167" s="13" t="s">
        <v>670</v>
      </c>
      <c r="R167" s="13" t="s">
        <v>842</v>
      </c>
      <c r="S167" s="13" t="s">
        <v>458</v>
      </c>
      <c r="T167" s="28">
        <v>33.18</v>
      </c>
      <c r="U167" s="13" t="s">
        <v>765</v>
      </c>
      <c r="V167" s="13" t="s">
        <v>89</v>
      </c>
      <c r="W167" s="13" t="s">
        <v>711</v>
      </c>
      <c r="X167" s="17">
        <f t="shared" si="12"/>
        <v>44760</v>
      </c>
      <c r="Y167" s="3"/>
    </row>
    <row r="168" spans="1:25" ht="45" customHeight="1">
      <c r="A168" s="3">
        <v>166</v>
      </c>
      <c r="B168" s="13" t="s">
        <v>843</v>
      </c>
      <c r="C168" s="13" t="s">
        <v>26</v>
      </c>
      <c r="D168" s="13" t="s">
        <v>844</v>
      </c>
      <c r="E168" s="13" t="s">
        <v>738</v>
      </c>
      <c r="F168" s="13" t="s">
        <v>453</v>
      </c>
      <c r="G168" s="13" t="s">
        <v>454</v>
      </c>
      <c r="H168" s="13" t="s">
        <v>453</v>
      </c>
      <c r="I168" s="27" t="s">
        <v>845</v>
      </c>
      <c r="J168" s="27" t="s">
        <v>33</v>
      </c>
      <c r="K168" s="27" t="s">
        <v>34</v>
      </c>
      <c r="L168" s="27" t="s">
        <v>35</v>
      </c>
      <c r="M168" s="27" t="s">
        <v>36</v>
      </c>
      <c r="N168" s="17">
        <f t="shared" si="11"/>
        <v>44669</v>
      </c>
      <c r="O168" s="13" t="s">
        <v>107</v>
      </c>
      <c r="P168" s="13" t="s">
        <v>456</v>
      </c>
      <c r="Q168" s="13" t="s">
        <v>670</v>
      </c>
      <c r="R168" s="13" t="s">
        <v>846</v>
      </c>
      <c r="S168" s="13" t="s">
        <v>458</v>
      </c>
      <c r="T168" s="28">
        <v>32.47</v>
      </c>
      <c r="U168" s="13" t="s">
        <v>733</v>
      </c>
      <c r="V168" s="13" t="s">
        <v>146</v>
      </c>
      <c r="W168" s="13" t="s">
        <v>454</v>
      </c>
      <c r="X168" s="17">
        <f t="shared" si="12"/>
        <v>44760</v>
      </c>
      <c r="Y168" s="3"/>
    </row>
    <row r="169" spans="1:25" ht="45" customHeight="1">
      <c r="A169" s="3">
        <v>167</v>
      </c>
      <c r="B169" s="13" t="s">
        <v>847</v>
      </c>
      <c r="C169" s="13" t="s">
        <v>26</v>
      </c>
      <c r="D169" s="13" t="s">
        <v>848</v>
      </c>
      <c r="E169" s="13" t="s">
        <v>762</v>
      </c>
      <c r="F169" s="13" t="s">
        <v>706</v>
      </c>
      <c r="G169" s="13" t="s">
        <v>707</v>
      </c>
      <c r="H169" s="13" t="s">
        <v>706</v>
      </c>
      <c r="I169" s="27" t="s">
        <v>849</v>
      </c>
      <c r="J169" s="27" t="s">
        <v>33</v>
      </c>
      <c r="K169" s="27" t="s">
        <v>34</v>
      </c>
      <c r="L169" s="27" t="s">
        <v>35</v>
      </c>
      <c r="M169" s="27" t="s">
        <v>36</v>
      </c>
      <c r="N169" s="17">
        <f t="shared" si="11"/>
        <v>44669</v>
      </c>
      <c r="O169" s="13" t="s">
        <v>107</v>
      </c>
      <c r="P169" s="13" t="s">
        <v>709</v>
      </c>
      <c r="Q169" s="13" t="s">
        <v>670</v>
      </c>
      <c r="R169" s="13" t="s">
        <v>365</v>
      </c>
      <c r="S169" s="13" t="s">
        <v>458</v>
      </c>
      <c r="T169" s="28">
        <v>44.92</v>
      </c>
      <c r="U169" s="13" t="s">
        <v>765</v>
      </c>
      <c r="V169" s="13" t="s">
        <v>146</v>
      </c>
      <c r="W169" s="13" t="s">
        <v>711</v>
      </c>
      <c r="X169" s="17">
        <f t="shared" si="12"/>
        <v>44760</v>
      </c>
      <c r="Y169" s="3"/>
    </row>
    <row r="170" spans="1:25" ht="45" customHeight="1">
      <c r="A170" s="3">
        <v>168</v>
      </c>
      <c r="B170" s="13" t="s">
        <v>850</v>
      </c>
      <c r="C170" s="13" t="s">
        <v>26</v>
      </c>
      <c r="D170" s="13" t="s">
        <v>851</v>
      </c>
      <c r="E170" s="13" t="s">
        <v>762</v>
      </c>
      <c r="F170" s="13" t="s">
        <v>706</v>
      </c>
      <c r="G170" s="13" t="s">
        <v>707</v>
      </c>
      <c r="H170" s="13" t="s">
        <v>706</v>
      </c>
      <c r="I170" s="27" t="s">
        <v>852</v>
      </c>
      <c r="J170" s="27" t="s">
        <v>33</v>
      </c>
      <c r="K170" s="27" t="s">
        <v>34</v>
      </c>
      <c r="L170" s="27" t="s">
        <v>208</v>
      </c>
      <c r="M170" s="27" t="s">
        <v>209</v>
      </c>
      <c r="N170" s="17">
        <f t="shared" si="11"/>
        <v>44669</v>
      </c>
      <c r="O170" s="13" t="s">
        <v>107</v>
      </c>
      <c r="P170" s="13" t="s">
        <v>709</v>
      </c>
      <c r="Q170" s="13" t="s">
        <v>670</v>
      </c>
      <c r="R170" s="13" t="s">
        <v>853</v>
      </c>
      <c r="S170" s="13" t="s">
        <v>458</v>
      </c>
      <c r="T170" s="28">
        <v>30.56</v>
      </c>
      <c r="U170" s="13" t="s">
        <v>765</v>
      </c>
      <c r="V170" s="13" t="s">
        <v>53</v>
      </c>
      <c r="W170" s="13" t="s">
        <v>711</v>
      </c>
      <c r="X170" s="17">
        <f t="shared" si="12"/>
        <v>44760</v>
      </c>
      <c r="Y170" s="3"/>
    </row>
    <row r="171" spans="1:25" ht="45" customHeight="1">
      <c r="A171" s="3">
        <v>169</v>
      </c>
      <c r="B171" s="13" t="s">
        <v>854</v>
      </c>
      <c r="C171" s="13" t="s">
        <v>26</v>
      </c>
      <c r="D171" s="13" t="s">
        <v>855</v>
      </c>
      <c r="E171" s="13" t="s">
        <v>762</v>
      </c>
      <c r="F171" s="13" t="s">
        <v>706</v>
      </c>
      <c r="G171" s="13" t="s">
        <v>707</v>
      </c>
      <c r="H171" s="13" t="s">
        <v>706</v>
      </c>
      <c r="I171" s="27" t="s">
        <v>856</v>
      </c>
      <c r="J171" s="27" t="s">
        <v>33</v>
      </c>
      <c r="K171" s="27" t="s">
        <v>34</v>
      </c>
      <c r="L171" s="27" t="s">
        <v>208</v>
      </c>
      <c r="M171" s="27" t="s">
        <v>209</v>
      </c>
      <c r="N171" s="17">
        <f>DATE(2022,4,19)</f>
        <v>44670</v>
      </c>
      <c r="O171" s="13" t="s">
        <v>107</v>
      </c>
      <c r="P171" s="13" t="s">
        <v>709</v>
      </c>
      <c r="Q171" s="13" t="s">
        <v>670</v>
      </c>
      <c r="R171" s="13" t="s">
        <v>857</v>
      </c>
      <c r="S171" s="13" t="s">
        <v>458</v>
      </c>
      <c r="T171" s="28">
        <v>51.96</v>
      </c>
      <c r="U171" s="13" t="s">
        <v>765</v>
      </c>
      <c r="V171" s="13" t="s">
        <v>146</v>
      </c>
      <c r="W171" s="13" t="s">
        <v>711</v>
      </c>
      <c r="X171" s="17">
        <f>DATE(2022,7,19)</f>
        <v>44761</v>
      </c>
      <c r="Y171" s="3"/>
    </row>
    <row r="172" spans="1:25" ht="45" customHeight="1">
      <c r="A172" s="3">
        <v>170</v>
      </c>
      <c r="B172" s="13" t="s">
        <v>858</v>
      </c>
      <c r="C172" s="13" t="s">
        <v>26</v>
      </c>
      <c r="D172" s="13" t="s">
        <v>859</v>
      </c>
      <c r="E172" s="13" t="s">
        <v>738</v>
      </c>
      <c r="F172" s="13" t="s">
        <v>446</v>
      </c>
      <c r="G172" s="13" t="s">
        <v>860</v>
      </c>
      <c r="H172" s="13" t="s">
        <v>406</v>
      </c>
      <c r="I172" s="27" t="s">
        <v>861</v>
      </c>
      <c r="J172" s="27" t="s">
        <v>33</v>
      </c>
      <c r="K172" s="27" t="s">
        <v>34</v>
      </c>
      <c r="L172" s="27" t="s">
        <v>35</v>
      </c>
      <c r="M172" s="27" t="s">
        <v>36</v>
      </c>
      <c r="N172" s="17">
        <f>DATE(2022,4,19)</f>
        <v>44670</v>
      </c>
      <c r="O172" s="13" t="s">
        <v>107</v>
      </c>
      <c r="P172" s="13" t="s">
        <v>862</v>
      </c>
      <c r="Q172" s="13" t="s">
        <v>670</v>
      </c>
      <c r="R172" s="13" t="s">
        <v>863</v>
      </c>
      <c r="S172" s="13" t="s">
        <v>449</v>
      </c>
      <c r="T172" s="28">
        <v>27.4</v>
      </c>
      <c r="U172" s="13" t="s">
        <v>733</v>
      </c>
      <c r="V172" s="13" t="s">
        <v>89</v>
      </c>
      <c r="W172" s="13" t="s">
        <v>860</v>
      </c>
      <c r="X172" s="17">
        <f>DATE(2022,7,19)</f>
        <v>44761</v>
      </c>
      <c r="Y172" s="3"/>
    </row>
    <row r="173" spans="1:25" ht="45" customHeight="1">
      <c r="A173" s="3">
        <v>171</v>
      </c>
      <c r="B173" s="13" t="s">
        <v>864</v>
      </c>
      <c r="C173" s="13" t="s">
        <v>26</v>
      </c>
      <c r="D173" s="13" t="s">
        <v>865</v>
      </c>
      <c r="E173" s="13" t="s">
        <v>762</v>
      </c>
      <c r="F173" s="13" t="s">
        <v>446</v>
      </c>
      <c r="G173" s="13" t="s">
        <v>860</v>
      </c>
      <c r="H173" s="13" t="s">
        <v>406</v>
      </c>
      <c r="I173" s="27" t="s">
        <v>866</v>
      </c>
      <c r="J173" s="27" t="s">
        <v>33</v>
      </c>
      <c r="K173" s="27" t="s">
        <v>34</v>
      </c>
      <c r="L173" s="27" t="s">
        <v>35</v>
      </c>
      <c r="M173" s="27" t="s">
        <v>36</v>
      </c>
      <c r="N173" s="17">
        <f>DATE(2022,4,19)</f>
        <v>44670</v>
      </c>
      <c r="O173" s="13" t="s">
        <v>107</v>
      </c>
      <c r="P173" s="13" t="s">
        <v>862</v>
      </c>
      <c r="Q173" s="13" t="s">
        <v>670</v>
      </c>
      <c r="R173" s="13" t="s">
        <v>867</v>
      </c>
      <c r="S173" s="13" t="s">
        <v>449</v>
      </c>
      <c r="T173" s="28">
        <v>25.76</v>
      </c>
      <c r="U173" s="13" t="s">
        <v>765</v>
      </c>
      <c r="V173" s="13" t="s">
        <v>89</v>
      </c>
      <c r="W173" s="13" t="s">
        <v>860</v>
      </c>
      <c r="X173" s="17">
        <f>DATE(2022,7,19)</f>
        <v>44761</v>
      </c>
      <c r="Y173" s="3"/>
    </row>
    <row r="174" spans="1:25" ht="45" customHeight="1">
      <c r="A174" s="3">
        <v>172</v>
      </c>
      <c r="B174" s="13" t="s">
        <v>868</v>
      </c>
      <c r="C174" s="13" t="s">
        <v>26</v>
      </c>
      <c r="D174" s="13" t="s">
        <v>869</v>
      </c>
      <c r="E174" s="13" t="s">
        <v>762</v>
      </c>
      <c r="F174" s="13" t="s">
        <v>706</v>
      </c>
      <c r="G174" s="13" t="s">
        <v>870</v>
      </c>
      <c r="H174" s="13" t="s">
        <v>706</v>
      </c>
      <c r="I174" s="27" t="s">
        <v>871</v>
      </c>
      <c r="J174" s="27" t="s">
        <v>33</v>
      </c>
      <c r="K174" s="27" t="s">
        <v>34</v>
      </c>
      <c r="L174" s="27" t="s">
        <v>35</v>
      </c>
      <c r="M174" s="27" t="s">
        <v>36</v>
      </c>
      <c r="N174" s="17">
        <f>DATE(2022,4,25)</f>
        <v>44676</v>
      </c>
      <c r="O174" s="13" t="s">
        <v>107</v>
      </c>
      <c r="P174" s="13" t="s">
        <v>709</v>
      </c>
      <c r="Q174" s="13" t="s">
        <v>670</v>
      </c>
      <c r="R174" s="13" t="s">
        <v>872</v>
      </c>
      <c r="S174" s="13" t="s">
        <v>458</v>
      </c>
      <c r="T174" s="28">
        <v>35.43</v>
      </c>
      <c r="U174" s="13" t="s">
        <v>765</v>
      </c>
      <c r="V174" s="13" t="s">
        <v>89</v>
      </c>
      <c r="W174" s="13" t="s">
        <v>873</v>
      </c>
      <c r="X174" s="17">
        <f>DATE(2022,7,25)</f>
        <v>44767</v>
      </c>
      <c r="Y174" s="3"/>
    </row>
    <row r="175" spans="1:25" ht="45" customHeight="1">
      <c r="A175" s="3">
        <v>173</v>
      </c>
      <c r="B175" s="13" t="s">
        <v>874</v>
      </c>
      <c r="C175" s="13" t="s">
        <v>26</v>
      </c>
      <c r="D175" s="13" t="s">
        <v>875</v>
      </c>
      <c r="E175" s="13" t="s">
        <v>738</v>
      </c>
      <c r="F175" s="13" t="s">
        <v>446</v>
      </c>
      <c r="G175" s="13" t="s">
        <v>516</v>
      </c>
      <c r="H175" s="13" t="s">
        <v>406</v>
      </c>
      <c r="I175" s="27" t="s">
        <v>876</v>
      </c>
      <c r="J175" s="27" t="s">
        <v>33</v>
      </c>
      <c r="K175" s="27" t="s">
        <v>34</v>
      </c>
      <c r="L175" s="27" t="s">
        <v>35</v>
      </c>
      <c r="M175" s="27" t="s">
        <v>36</v>
      </c>
      <c r="N175" s="17">
        <f>DATE(2022,4,25)</f>
        <v>44676</v>
      </c>
      <c r="O175" s="13" t="s">
        <v>107</v>
      </c>
      <c r="P175" s="13" t="s">
        <v>862</v>
      </c>
      <c r="Q175" s="13" t="s">
        <v>670</v>
      </c>
      <c r="R175" s="13" t="s">
        <v>877</v>
      </c>
      <c r="S175" s="13" t="s">
        <v>449</v>
      </c>
      <c r="T175" s="28">
        <v>30.96</v>
      </c>
      <c r="U175" s="13" t="s">
        <v>733</v>
      </c>
      <c r="V175" s="13" t="s">
        <v>89</v>
      </c>
      <c r="W175" s="13" t="s">
        <v>516</v>
      </c>
      <c r="X175" s="17">
        <f>DATE(2022,7,25)</f>
        <v>44767</v>
      </c>
      <c r="Y175" s="3"/>
    </row>
    <row r="176" spans="1:25" ht="45" customHeight="1">
      <c r="A176" s="3">
        <v>174</v>
      </c>
      <c r="B176" s="13" t="s">
        <v>878</v>
      </c>
      <c r="C176" s="13" t="s">
        <v>26</v>
      </c>
      <c r="D176" s="13" t="s">
        <v>879</v>
      </c>
      <c r="E176" s="13" t="s">
        <v>880</v>
      </c>
      <c r="F176" s="13" t="s">
        <v>417</v>
      </c>
      <c r="G176" s="13" t="s">
        <v>756</v>
      </c>
      <c r="H176" s="13" t="s">
        <v>419</v>
      </c>
      <c r="I176" s="27" t="s">
        <v>881</v>
      </c>
      <c r="J176" s="27" t="s">
        <v>33</v>
      </c>
      <c r="K176" s="27" t="s">
        <v>34</v>
      </c>
      <c r="L176" s="27" t="s">
        <v>208</v>
      </c>
      <c r="M176" s="27" t="s">
        <v>209</v>
      </c>
      <c r="N176" s="17">
        <f>DATE(2022,4,25)</f>
        <v>44676</v>
      </c>
      <c r="O176" s="13" t="s">
        <v>34</v>
      </c>
      <c r="P176" s="13" t="s">
        <v>693</v>
      </c>
      <c r="Q176" s="13" t="s">
        <v>38</v>
      </c>
      <c r="R176" s="13" t="s">
        <v>882</v>
      </c>
      <c r="S176" s="13" t="s">
        <v>423</v>
      </c>
      <c r="T176" s="28">
        <v>40.630000000000003</v>
      </c>
      <c r="U176" s="13" t="s">
        <v>880</v>
      </c>
      <c r="V176" s="13" t="s">
        <v>53</v>
      </c>
      <c r="W176" s="13" t="s">
        <v>759</v>
      </c>
      <c r="X176" s="17">
        <f>DATE(2022,7,25)</f>
        <v>44767</v>
      </c>
      <c r="Y176" s="3"/>
    </row>
    <row r="177" spans="1:25" ht="45" customHeight="1">
      <c r="A177" s="3">
        <v>175</v>
      </c>
      <c r="B177" s="13" t="s">
        <v>883</v>
      </c>
      <c r="C177" s="13" t="s">
        <v>26</v>
      </c>
      <c r="D177" s="13" t="s">
        <v>884</v>
      </c>
      <c r="E177" s="13" t="s">
        <v>738</v>
      </c>
      <c r="F177" s="13" t="s">
        <v>744</v>
      </c>
      <c r="G177" s="13" t="s">
        <v>745</v>
      </c>
      <c r="H177" s="13" t="s">
        <v>744</v>
      </c>
      <c r="I177" s="27" t="s">
        <v>885</v>
      </c>
      <c r="J177" s="27" t="s">
        <v>33</v>
      </c>
      <c r="K177" s="27" t="s">
        <v>34</v>
      </c>
      <c r="L177" s="27" t="s">
        <v>35</v>
      </c>
      <c r="M177" s="27" t="s">
        <v>36</v>
      </c>
      <c r="N177" s="17">
        <f>DATE(2022,4,25)</f>
        <v>44676</v>
      </c>
      <c r="O177" s="13" t="s">
        <v>107</v>
      </c>
      <c r="P177" s="13" t="s">
        <v>456</v>
      </c>
      <c r="Q177" s="13" t="s">
        <v>670</v>
      </c>
      <c r="R177" s="13" t="s">
        <v>886</v>
      </c>
      <c r="S177" s="13" t="s">
        <v>458</v>
      </c>
      <c r="T177" s="28">
        <v>34.090000000000003</v>
      </c>
      <c r="U177" s="13" t="s">
        <v>733</v>
      </c>
      <c r="V177" s="13" t="s">
        <v>53</v>
      </c>
      <c r="W177" s="13" t="s">
        <v>745</v>
      </c>
      <c r="X177" s="17">
        <f>DATE(2022,7,25)</f>
        <v>44767</v>
      </c>
      <c r="Y177" s="3"/>
    </row>
    <row r="178" spans="1:25" ht="45" customHeight="1">
      <c r="A178" s="3">
        <v>176</v>
      </c>
      <c r="B178" s="13" t="s">
        <v>887</v>
      </c>
      <c r="C178" s="13" t="s">
        <v>103</v>
      </c>
      <c r="D178" s="13" t="s">
        <v>888</v>
      </c>
      <c r="E178" s="13" t="s">
        <v>461</v>
      </c>
      <c r="F178" s="13" t="s">
        <v>816</v>
      </c>
      <c r="G178" s="13" t="s">
        <v>817</v>
      </c>
      <c r="H178" s="13" t="s">
        <v>817</v>
      </c>
      <c r="I178" s="27" t="s">
        <v>889</v>
      </c>
      <c r="J178" s="27" t="s">
        <v>33</v>
      </c>
      <c r="K178" s="27" t="s">
        <v>106</v>
      </c>
      <c r="L178" s="27" t="s">
        <v>35</v>
      </c>
      <c r="M178" s="27" t="s">
        <v>36</v>
      </c>
      <c r="N178" s="17">
        <f>DATE(2024,10,28)</f>
        <v>45593</v>
      </c>
      <c r="O178" s="13" t="s">
        <v>107</v>
      </c>
      <c r="P178" s="13" t="s">
        <v>821</v>
      </c>
      <c r="Q178" s="13" t="s">
        <v>465</v>
      </c>
      <c r="R178" s="13" t="s">
        <v>890</v>
      </c>
      <c r="S178" s="13" t="s">
        <v>821</v>
      </c>
      <c r="T178" s="28">
        <v>31.87</v>
      </c>
      <c r="U178" s="13" t="s">
        <v>461</v>
      </c>
      <c r="V178" s="13" t="s">
        <v>413</v>
      </c>
      <c r="W178" s="13" t="s">
        <v>817</v>
      </c>
      <c r="X178" s="17">
        <f>DATE(2024,10,28)</f>
        <v>45593</v>
      </c>
      <c r="Y178" s="3"/>
    </row>
    <row r="179" spans="1:25" ht="45" customHeight="1">
      <c r="A179" s="3">
        <v>177</v>
      </c>
      <c r="B179" s="13" t="s">
        <v>891</v>
      </c>
      <c r="C179" s="13" t="s">
        <v>103</v>
      </c>
      <c r="D179" s="13" t="s">
        <v>892</v>
      </c>
      <c r="E179" s="13" t="s">
        <v>461</v>
      </c>
      <c r="F179" s="13" t="s">
        <v>417</v>
      </c>
      <c r="G179" s="13" t="s">
        <v>893</v>
      </c>
      <c r="H179" s="13" t="s">
        <v>419</v>
      </c>
      <c r="I179" s="27" t="s">
        <v>894</v>
      </c>
      <c r="J179" s="27" t="s">
        <v>33</v>
      </c>
      <c r="K179" s="27" t="s">
        <v>106</v>
      </c>
      <c r="L179" s="27" t="s">
        <v>35</v>
      </c>
      <c r="M179" s="27" t="s">
        <v>36</v>
      </c>
      <c r="N179" s="17">
        <f t="shared" ref="N179:N186" si="13">DATE(2022,5,9)</f>
        <v>44690</v>
      </c>
      <c r="O179" s="13" t="s">
        <v>107</v>
      </c>
      <c r="P179" s="13" t="s">
        <v>676</v>
      </c>
      <c r="Q179" s="13" t="s">
        <v>465</v>
      </c>
      <c r="R179" s="13" t="s">
        <v>895</v>
      </c>
      <c r="S179" s="13" t="s">
        <v>423</v>
      </c>
      <c r="T179" s="28">
        <v>34.21</v>
      </c>
      <c r="U179" s="13" t="s">
        <v>461</v>
      </c>
      <c r="V179" s="13" t="s">
        <v>413</v>
      </c>
      <c r="W179" s="13" t="s">
        <v>896</v>
      </c>
      <c r="X179" s="17">
        <f>DATE(2022,8,9)</f>
        <v>44782</v>
      </c>
      <c r="Y179" s="3"/>
    </row>
    <row r="180" spans="1:25" ht="45" customHeight="1">
      <c r="A180" s="3">
        <v>178</v>
      </c>
      <c r="B180" s="13" t="s">
        <v>897</v>
      </c>
      <c r="C180" s="13" t="s">
        <v>103</v>
      </c>
      <c r="D180" s="13" t="s">
        <v>898</v>
      </c>
      <c r="E180" s="13" t="s">
        <v>416</v>
      </c>
      <c r="F180" s="13" t="s">
        <v>491</v>
      </c>
      <c r="G180" s="13" t="s">
        <v>899</v>
      </c>
      <c r="H180" s="13" t="s">
        <v>406</v>
      </c>
      <c r="I180" s="27" t="s">
        <v>900</v>
      </c>
      <c r="J180" s="27" t="s">
        <v>33</v>
      </c>
      <c r="K180" s="27" t="s">
        <v>106</v>
      </c>
      <c r="L180" s="27" t="s">
        <v>408</v>
      </c>
      <c r="M180" s="27" t="s">
        <v>409</v>
      </c>
      <c r="N180" s="17">
        <f t="shared" si="13"/>
        <v>44690</v>
      </c>
      <c r="O180" s="13" t="s">
        <v>107</v>
      </c>
      <c r="P180" s="13" t="s">
        <v>496</v>
      </c>
      <c r="Q180" s="13" t="s">
        <v>411</v>
      </c>
      <c r="R180" s="13" t="s">
        <v>901</v>
      </c>
      <c r="S180" s="13" t="s">
        <v>496</v>
      </c>
      <c r="T180" s="28">
        <v>48.66</v>
      </c>
      <c r="U180" s="13" t="s">
        <v>416</v>
      </c>
      <c r="V180" s="13" t="s">
        <v>413</v>
      </c>
      <c r="W180" s="13" t="s">
        <v>899</v>
      </c>
      <c r="X180" s="17">
        <f>DATE(2023,5,2)</f>
        <v>45048</v>
      </c>
      <c r="Y180" s="3"/>
    </row>
    <row r="181" spans="1:25" ht="45" customHeight="1">
      <c r="A181" s="3">
        <v>179</v>
      </c>
      <c r="B181" s="13" t="s">
        <v>902</v>
      </c>
      <c r="C181" s="13" t="s">
        <v>26</v>
      </c>
      <c r="D181" s="13" t="s">
        <v>903</v>
      </c>
      <c r="E181" s="13" t="s">
        <v>738</v>
      </c>
      <c r="F181" s="13" t="s">
        <v>706</v>
      </c>
      <c r="G181" s="13" t="s">
        <v>707</v>
      </c>
      <c r="H181" s="13" t="s">
        <v>706</v>
      </c>
      <c r="I181" s="27" t="s">
        <v>904</v>
      </c>
      <c r="J181" s="27" t="s">
        <v>33</v>
      </c>
      <c r="K181" s="27" t="s">
        <v>34</v>
      </c>
      <c r="L181" s="27" t="s">
        <v>35</v>
      </c>
      <c r="M181" s="27" t="s">
        <v>36</v>
      </c>
      <c r="N181" s="17">
        <f t="shared" si="13"/>
        <v>44690</v>
      </c>
      <c r="O181" s="13" t="s">
        <v>107</v>
      </c>
      <c r="P181" s="13" t="s">
        <v>709</v>
      </c>
      <c r="Q181" s="13" t="s">
        <v>670</v>
      </c>
      <c r="R181" s="13" t="s">
        <v>905</v>
      </c>
      <c r="S181" s="13" t="s">
        <v>458</v>
      </c>
      <c r="T181" s="28">
        <v>28.4</v>
      </c>
      <c r="U181" s="13" t="s">
        <v>733</v>
      </c>
      <c r="V181" s="13" t="s">
        <v>89</v>
      </c>
      <c r="W181" s="13" t="s">
        <v>711</v>
      </c>
      <c r="X181" s="17">
        <f t="shared" ref="X181:X186" si="14">DATE(2022,8,9)</f>
        <v>44782</v>
      </c>
      <c r="Y181" s="3"/>
    </row>
    <row r="182" spans="1:25" ht="45" customHeight="1">
      <c r="A182" s="3">
        <v>180</v>
      </c>
      <c r="B182" s="13" t="s">
        <v>906</v>
      </c>
      <c r="C182" s="13" t="s">
        <v>26</v>
      </c>
      <c r="D182" s="13" t="s">
        <v>127</v>
      </c>
      <c r="E182" s="13" t="s">
        <v>439</v>
      </c>
      <c r="F182" s="13" t="s">
        <v>29</v>
      </c>
      <c r="G182" s="13" t="s">
        <v>123</v>
      </c>
      <c r="H182" s="13" t="s">
        <v>406</v>
      </c>
      <c r="I182" s="27" t="s">
        <v>907</v>
      </c>
      <c r="J182" s="27" t="s">
        <v>33</v>
      </c>
      <c r="K182" s="27" t="s">
        <v>34</v>
      </c>
      <c r="L182" s="27" t="s">
        <v>35</v>
      </c>
      <c r="M182" s="27" t="s">
        <v>36</v>
      </c>
      <c r="N182" s="17">
        <f t="shared" si="13"/>
        <v>44690</v>
      </c>
      <c r="O182" s="13" t="s">
        <v>107</v>
      </c>
      <c r="P182" s="13" t="s">
        <v>503</v>
      </c>
      <c r="Q182" s="13" t="s">
        <v>439</v>
      </c>
      <c r="R182" s="13" t="s">
        <v>908</v>
      </c>
      <c r="S182" s="13" t="s">
        <v>403</v>
      </c>
      <c r="T182" s="28">
        <v>28.4</v>
      </c>
      <c r="U182" s="13" t="s">
        <v>439</v>
      </c>
      <c r="V182" s="13" t="s">
        <v>413</v>
      </c>
      <c r="W182" s="13" t="s">
        <v>128</v>
      </c>
      <c r="X182" s="17">
        <f t="shared" si="14"/>
        <v>44782</v>
      </c>
      <c r="Y182" s="3"/>
    </row>
    <row r="183" spans="1:25" ht="45" customHeight="1">
      <c r="A183" s="3">
        <v>181</v>
      </c>
      <c r="B183" s="13" t="s">
        <v>909</v>
      </c>
      <c r="C183" s="13" t="s">
        <v>26</v>
      </c>
      <c r="D183" s="13" t="s">
        <v>910</v>
      </c>
      <c r="E183" s="13" t="s">
        <v>738</v>
      </c>
      <c r="F183" s="13" t="s">
        <v>453</v>
      </c>
      <c r="G183" s="13" t="s">
        <v>454</v>
      </c>
      <c r="H183" s="13" t="s">
        <v>453</v>
      </c>
      <c r="I183" s="27" t="s">
        <v>911</v>
      </c>
      <c r="J183" s="27" t="s">
        <v>33</v>
      </c>
      <c r="K183" s="27" t="s">
        <v>34</v>
      </c>
      <c r="L183" s="27" t="s">
        <v>912</v>
      </c>
      <c r="M183" s="27" t="s">
        <v>409</v>
      </c>
      <c r="N183" s="17">
        <f t="shared" si="13"/>
        <v>44690</v>
      </c>
      <c r="O183" s="13" t="s">
        <v>107</v>
      </c>
      <c r="P183" s="13" t="s">
        <v>456</v>
      </c>
      <c r="Q183" s="13" t="s">
        <v>670</v>
      </c>
      <c r="R183" s="13" t="s">
        <v>913</v>
      </c>
      <c r="S183" s="13" t="s">
        <v>458</v>
      </c>
      <c r="T183" s="28">
        <v>26.83</v>
      </c>
      <c r="U183" s="13" t="s">
        <v>733</v>
      </c>
      <c r="V183" s="13" t="s">
        <v>53</v>
      </c>
      <c r="W183" s="13" t="s">
        <v>454</v>
      </c>
      <c r="X183" s="17">
        <f t="shared" si="14"/>
        <v>44782</v>
      </c>
      <c r="Y183" s="3"/>
    </row>
    <row r="184" spans="1:25" ht="45" customHeight="1">
      <c r="A184" s="3">
        <v>182</v>
      </c>
      <c r="B184" s="13" t="s">
        <v>914</v>
      </c>
      <c r="C184" s="13" t="s">
        <v>26</v>
      </c>
      <c r="D184" s="13" t="s">
        <v>915</v>
      </c>
      <c r="E184" s="13" t="s">
        <v>668</v>
      </c>
      <c r="F184" s="13" t="s">
        <v>453</v>
      </c>
      <c r="G184" s="13" t="s">
        <v>454</v>
      </c>
      <c r="H184" s="13" t="s">
        <v>453</v>
      </c>
      <c r="I184" s="27" t="s">
        <v>916</v>
      </c>
      <c r="J184" s="27" t="s">
        <v>33</v>
      </c>
      <c r="K184" s="27" t="s">
        <v>34</v>
      </c>
      <c r="L184" s="27" t="s">
        <v>912</v>
      </c>
      <c r="M184" s="27" t="s">
        <v>409</v>
      </c>
      <c r="N184" s="17">
        <f t="shared" si="13"/>
        <v>44690</v>
      </c>
      <c r="O184" s="13" t="s">
        <v>107</v>
      </c>
      <c r="P184" s="13" t="s">
        <v>456</v>
      </c>
      <c r="Q184" s="13" t="s">
        <v>670</v>
      </c>
      <c r="R184" s="13" t="s">
        <v>917</v>
      </c>
      <c r="S184" s="13" t="s">
        <v>458</v>
      </c>
      <c r="T184" s="28">
        <v>26.46</v>
      </c>
      <c r="U184" s="13" t="s">
        <v>668</v>
      </c>
      <c r="V184" s="13" t="s">
        <v>146</v>
      </c>
      <c r="W184" s="13" t="s">
        <v>454</v>
      </c>
      <c r="X184" s="17">
        <f t="shared" si="14"/>
        <v>44782</v>
      </c>
      <c r="Y184" s="3"/>
    </row>
    <row r="185" spans="1:25" ht="45" customHeight="1">
      <c r="A185" s="3">
        <v>183</v>
      </c>
      <c r="B185" s="13" t="s">
        <v>918</v>
      </c>
      <c r="C185" s="13" t="s">
        <v>26</v>
      </c>
      <c r="D185" s="13" t="s">
        <v>919</v>
      </c>
      <c r="E185" s="13" t="s">
        <v>755</v>
      </c>
      <c r="F185" s="13" t="s">
        <v>417</v>
      </c>
      <c r="G185" s="13" t="s">
        <v>695</v>
      </c>
      <c r="H185" s="13" t="s">
        <v>419</v>
      </c>
      <c r="I185" s="27" t="s">
        <v>920</v>
      </c>
      <c r="J185" s="27" t="s">
        <v>33</v>
      </c>
      <c r="K185" s="27" t="s">
        <v>34</v>
      </c>
      <c r="L185" s="27" t="s">
        <v>35</v>
      </c>
      <c r="M185" s="27" t="s">
        <v>36</v>
      </c>
      <c r="N185" s="17">
        <f t="shared" si="13"/>
        <v>44690</v>
      </c>
      <c r="O185" s="13" t="s">
        <v>34</v>
      </c>
      <c r="P185" s="13" t="s">
        <v>693</v>
      </c>
      <c r="Q185" s="13" t="s">
        <v>38</v>
      </c>
      <c r="R185" s="13" t="s">
        <v>921</v>
      </c>
      <c r="S185" s="13" t="s">
        <v>423</v>
      </c>
      <c r="T185" s="28">
        <v>24.86</v>
      </c>
      <c r="U185" s="13" t="s">
        <v>755</v>
      </c>
      <c r="V185" s="13" t="s">
        <v>53</v>
      </c>
      <c r="W185" s="13" t="s">
        <v>699</v>
      </c>
      <c r="X185" s="17">
        <f t="shared" si="14"/>
        <v>44782</v>
      </c>
      <c r="Y185" s="3"/>
    </row>
    <row r="186" spans="1:25" ht="45" customHeight="1">
      <c r="A186" s="3">
        <v>184</v>
      </c>
      <c r="B186" s="13" t="s">
        <v>922</v>
      </c>
      <c r="C186" s="13" t="s">
        <v>26</v>
      </c>
      <c r="D186" s="13" t="s">
        <v>923</v>
      </c>
      <c r="E186" s="13" t="s">
        <v>499</v>
      </c>
      <c r="F186" s="13" t="s">
        <v>417</v>
      </c>
      <c r="G186" s="13" t="s">
        <v>924</v>
      </c>
      <c r="H186" s="13" t="s">
        <v>419</v>
      </c>
      <c r="I186" s="27" t="s">
        <v>925</v>
      </c>
      <c r="J186" s="27" t="s">
        <v>33</v>
      </c>
      <c r="K186" s="27" t="s">
        <v>34</v>
      </c>
      <c r="L186" s="27" t="s">
        <v>35</v>
      </c>
      <c r="M186" s="27" t="s">
        <v>36</v>
      </c>
      <c r="N186" s="17">
        <f t="shared" si="13"/>
        <v>44690</v>
      </c>
      <c r="O186" s="13" t="s">
        <v>107</v>
      </c>
      <c r="P186" s="13" t="s">
        <v>693</v>
      </c>
      <c r="Q186" s="13" t="s">
        <v>501</v>
      </c>
      <c r="R186" s="13" t="s">
        <v>926</v>
      </c>
      <c r="S186" s="13" t="s">
        <v>423</v>
      </c>
      <c r="T186" s="28">
        <v>48.97</v>
      </c>
      <c r="U186" s="13" t="s">
        <v>499</v>
      </c>
      <c r="V186" s="13" t="s">
        <v>413</v>
      </c>
      <c r="W186" s="13" t="s">
        <v>927</v>
      </c>
      <c r="X186" s="17">
        <f t="shared" si="14"/>
        <v>44782</v>
      </c>
      <c r="Y186" s="3"/>
    </row>
    <row r="187" spans="1:25" ht="45" customHeight="1">
      <c r="A187" s="3">
        <v>185</v>
      </c>
      <c r="B187" s="13" t="s">
        <v>928</v>
      </c>
      <c r="C187" s="13" t="s">
        <v>103</v>
      </c>
      <c r="D187" s="13" t="s">
        <v>929</v>
      </c>
      <c r="E187" s="13" t="s">
        <v>490</v>
      </c>
      <c r="F187" s="13" t="s">
        <v>417</v>
      </c>
      <c r="G187" s="13" t="s">
        <v>674</v>
      </c>
      <c r="H187" s="13" t="s">
        <v>419</v>
      </c>
      <c r="I187" s="27" t="s">
        <v>930</v>
      </c>
      <c r="J187" s="27" t="s">
        <v>33</v>
      </c>
      <c r="K187" s="27" t="s">
        <v>106</v>
      </c>
      <c r="L187" s="27" t="s">
        <v>35</v>
      </c>
      <c r="M187" s="27" t="s">
        <v>36</v>
      </c>
      <c r="N187" s="17">
        <f>DATE(2022,5,17)</f>
        <v>44698</v>
      </c>
      <c r="O187" s="13" t="s">
        <v>107</v>
      </c>
      <c r="P187" s="13" t="s">
        <v>676</v>
      </c>
      <c r="Q187" s="13" t="s">
        <v>465</v>
      </c>
      <c r="R187" s="13" t="s">
        <v>931</v>
      </c>
      <c r="S187" s="13" t="s">
        <v>423</v>
      </c>
      <c r="T187" s="28">
        <v>27.86</v>
      </c>
      <c r="U187" s="13" t="s">
        <v>490</v>
      </c>
      <c r="V187" s="13" t="s">
        <v>413</v>
      </c>
      <c r="W187" s="13" t="s">
        <v>678</v>
      </c>
      <c r="X187" s="17">
        <f>DATE(2022,8,17)</f>
        <v>44790</v>
      </c>
      <c r="Y187" s="3"/>
    </row>
    <row r="188" spans="1:25" ht="45" customHeight="1">
      <c r="A188" s="3">
        <v>186</v>
      </c>
      <c r="B188" s="13" t="s">
        <v>932</v>
      </c>
      <c r="C188" s="13" t="s">
        <v>26</v>
      </c>
      <c r="D188" s="13" t="s">
        <v>933</v>
      </c>
      <c r="E188" s="13" t="s">
        <v>733</v>
      </c>
      <c r="F188" s="13" t="s">
        <v>446</v>
      </c>
      <c r="G188" s="13" t="s">
        <v>516</v>
      </c>
      <c r="H188" s="13" t="s">
        <v>406</v>
      </c>
      <c r="I188" s="27" t="s">
        <v>934</v>
      </c>
      <c r="J188" s="27" t="s">
        <v>33</v>
      </c>
      <c r="K188" s="27" t="s">
        <v>34</v>
      </c>
      <c r="L188" s="27" t="s">
        <v>35</v>
      </c>
      <c r="M188" s="27" t="s">
        <v>36</v>
      </c>
      <c r="N188" s="17">
        <f>DATE(2022,5,17)</f>
        <v>44698</v>
      </c>
      <c r="O188" s="13" t="s">
        <v>107</v>
      </c>
      <c r="P188" s="13" t="s">
        <v>449</v>
      </c>
      <c r="Q188" s="13" t="s">
        <v>670</v>
      </c>
      <c r="R188" s="13" t="s">
        <v>935</v>
      </c>
      <c r="S188" s="13" t="s">
        <v>449</v>
      </c>
      <c r="T188" s="28">
        <v>25.2</v>
      </c>
      <c r="U188" s="13" t="s">
        <v>733</v>
      </c>
      <c r="V188" s="13" t="s">
        <v>146</v>
      </c>
      <c r="W188" s="13" t="s">
        <v>516</v>
      </c>
      <c r="X188" s="17">
        <f>DATE(2022,8,17)</f>
        <v>44790</v>
      </c>
      <c r="Y188" s="3"/>
    </row>
    <row r="189" spans="1:25" ht="45" customHeight="1">
      <c r="A189" s="3">
        <v>187</v>
      </c>
      <c r="B189" s="13" t="s">
        <v>936</v>
      </c>
      <c r="C189" s="13" t="s">
        <v>26</v>
      </c>
      <c r="D189" s="13" t="s">
        <v>937</v>
      </c>
      <c r="E189" s="13" t="s">
        <v>660</v>
      </c>
      <c r="F189" s="13" t="s">
        <v>475</v>
      </c>
      <c r="G189" s="13" t="s">
        <v>559</v>
      </c>
      <c r="H189" s="13" t="s">
        <v>406</v>
      </c>
      <c r="I189" s="27" t="s">
        <v>938</v>
      </c>
      <c r="J189" s="27" t="s">
        <v>33</v>
      </c>
      <c r="K189" s="27" t="s">
        <v>34</v>
      </c>
      <c r="L189" s="27" t="s">
        <v>35</v>
      </c>
      <c r="M189" s="27" t="s">
        <v>36</v>
      </c>
      <c r="N189" s="17">
        <f>DATE(2022,5,17)</f>
        <v>44698</v>
      </c>
      <c r="O189" s="13" t="s">
        <v>107</v>
      </c>
      <c r="P189" s="13" t="s">
        <v>557</v>
      </c>
      <c r="Q189" s="13" t="s">
        <v>431</v>
      </c>
      <c r="R189" s="13" t="s">
        <v>939</v>
      </c>
      <c r="S189" s="13" t="s">
        <v>478</v>
      </c>
      <c r="T189" s="28">
        <v>28.55</v>
      </c>
      <c r="U189" s="13" t="s">
        <v>445</v>
      </c>
      <c r="V189" s="13" t="s">
        <v>413</v>
      </c>
      <c r="W189" s="13" t="s">
        <v>559</v>
      </c>
      <c r="X189" s="17">
        <f>DATE(2022,8,17)</f>
        <v>44790</v>
      </c>
      <c r="Y189" s="3"/>
    </row>
    <row r="190" spans="1:25" ht="45" customHeight="1">
      <c r="A190" s="3">
        <v>188</v>
      </c>
      <c r="B190" s="13" t="s">
        <v>940</v>
      </c>
      <c r="C190" s="13" t="s">
        <v>103</v>
      </c>
      <c r="D190" s="13" t="s">
        <v>941</v>
      </c>
      <c r="E190" s="13" t="s">
        <v>738</v>
      </c>
      <c r="F190" s="13" t="s">
        <v>744</v>
      </c>
      <c r="G190" s="13" t="s">
        <v>38</v>
      </c>
      <c r="H190" s="13" t="s">
        <v>744</v>
      </c>
      <c r="I190" s="27" t="s">
        <v>942</v>
      </c>
      <c r="J190" s="27" t="s">
        <v>33</v>
      </c>
      <c r="K190" s="27" t="s">
        <v>106</v>
      </c>
      <c r="L190" s="27" t="s">
        <v>35</v>
      </c>
      <c r="M190" s="27" t="s">
        <v>36</v>
      </c>
      <c r="N190" s="17">
        <f>DATE(2022,5,17)</f>
        <v>44698</v>
      </c>
      <c r="O190" s="13" t="s">
        <v>107</v>
      </c>
      <c r="P190" s="13" t="s">
        <v>456</v>
      </c>
      <c r="Q190" s="13" t="s">
        <v>670</v>
      </c>
      <c r="R190" s="13" t="s">
        <v>943</v>
      </c>
      <c r="S190" s="13" t="s">
        <v>458</v>
      </c>
      <c r="T190" s="28">
        <v>28.84</v>
      </c>
      <c r="U190" s="13" t="s">
        <v>733</v>
      </c>
      <c r="V190" s="13" t="s">
        <v>146</v>
      </c>
      <c r="W190" s="13" t="s">
        <v>778</v>
      </c>
      <c r="X190" s="17">
        <f>DATE(2022,8,17)</f>
        <v>44790</v>
      </c>
      <c r="Y190" s="3"/>
    </row>
    <row r="191" spans="1:25" ht="45" customHeight="1">
      <c r="A191" s="3">
        <v>189</v>
      </c>
      <c r="B191" s="13" t="s">
        <v>944</v>
      </c>
      <c r="C191" s="13" t="s">
        <v>26</v>
      </c>
      <c r="D191" s="13" t="s">
        <v>945</v>
      </c>
      <c r="E191" s="13" t="s">
        <v>592</v>
      </c>
      <c r="F191" s="13" t="s">
        <v>453</v>
      </c>
      <c r="G191" s="13" t="s">
        <v>739</v>
      </c>
      <c r="H191" s="13" t="s">
        <v>453</v>
      </c>
      <c r="I191" s="27" t="s">
        <v>946</v>
      </c>
      <c r="J191" s="27" t="s">
        <v>33</v>
      </c>
      <c r="K191" s="27" t="s">
        <v>34</v>
      </c>
      <c r="L191" s="27" t="s">
        <v>35</v>
      </c>
      <c r="M191" s="27" t="s">
        <v>36</v>
      </c>
      <c r="N191" s="17">
        <f>DATE(2022,5,17)</f>
        <v>44698</v>
      </c>
      <c r="O191" s="13" t="s">
        <v>107</v>
      </c>
      <c r="P191" s="13" t="s">
        <v>456</v>
      </c>
      <c r="Q191" s="13" t="s">
        <v>431</v>
      </c>
      <c r="R191" s="13" t="s">
        <v>947</v>
      </c>
      <c r="S191" s="13" t="s">
        <v>458</v>
      </c>
      <c r="T191" s="28">
        <v>38.65</v>
      </c>
      <c r="U191" s="13" t="s">
        <v>427</v>
      </c>
      <c r="V191" s="13" t="s">
        <v>413</v>
      </c>
      <c r="W191" s="13" t="s">
        <v>739</v>
      </c>
      <c r="X191" s="17">
        <f>DATE(2022,8,17)</f>
        <v>44790</v>
      </c>
      <c r="Y191" s="3"/>
    </row>
    <row r="192" spans="1:25" ht="45" customHeight="1">
      <c r="A192" s="3">
        <v>190</v>
      </c>
      <c r="B192" s="13" t="s">
        <v>948</v>
      </c>
      <c r="C192" s="13" t="s">
        <v>103</v>
      </c>
      <c r="D192" s="13" t="s">
        <v>949</v>
      </c>
      <c r="E192" s="13" t="s">
        <v>733</v>
      </c>
      <c r="F192" s="13" t="s">
        <v>491</v>
      </c>
      <c r="G192" s="13" t="s">
        <v>950</v>
      </c>
      <c r="H192" s="13" t="s">
        <v>406</v>
      </c>
      <c r="I192" s="27" t="s">
        <v>951</v>
      </c>
      <c r="J192" s="27" t="s">
        <v>33</v>
      </c>
      <c r="K192" s="27" t="s">
        <v>106</v>
      </c>
      <c r="L192" s="27" t="s">
        <v>35</v>
      </c>
      <c r="M192" s="27" t="s">
        <v>36</v>
      </c>
      <c r="N192" s="17">
        <f>DATE(2022,5,23)</f>
        <v>44704</v>
      </c>
      <c r="O192" s="13" t="s">
        <v>107</v>
      </c>
      <c r="P192" s="13" t="s">
        <v>952</v>
      </c>
      <c r="Q192" s="13" t="s">
        <v>670</v>
      </c>
      <c r="R192" s="13" t="s">
        <v>953</v>
      </c>
      <c r="S192" s="13" t="s">
        <v>496</v>
      </c>
      <c r="T192" s="28">
        <v>28.95</v>
      </c>
      <c r="U192" s="13" t="s">
        <v>733</v>
      </c>
      <c r="V192" s="13" t="s">
        <v>799</v>
      </c>
      <c r="W192" s="13" t="s">
        <v>954</v>
      </c>
      <c r="X192" s="17">
        <f>DATE(2022,8,23)</f>
        <v>44796</v>
      </c>
      <c r="Y192" s="3"/>
    </row>
    <row r="193" spans="1:25" ht="45" customHeight="1">
      <c r="A193" s="3">
        <v>191</v>
      </c>
      <c r="B193" s="13" t="s">
        <v>955</v>
      </c>
      <c r="C193" s="13" t="s">
        <v>26</v>
      </c>
      <c r="D193" s="13" t="s">
        <v>956</v>
      </c>
      <c r="E193" s="13" t="s">
        <v>733</v>
      </c>
      <c r="F193" s="13" t="s">
        <v>491</v>
      </c>
      <c r="G193" s="13" t="s">
        <v>950</v>
      </c>
      <c r="H193" s="13" t="s">
        <v>406</v>
      </c>
      <c r="I193" s="27" t="s">
        <v>957</v>
      </c>
      <c r="J193" s="27" t="s">
        <v>33</v>
      </c>
      <c r="K193" s="27" t="s">
        <v>34</v>
      </c>
      <c r="L193" s="27" t="s">
        <v>35</v>
      </c>
      <c r="M193" s="27" t="s">
        <v>36</v>
      </c>
      <c r="N193" s="17">
        <f>DATE(2022,5,23)</f>
        <v>44704</v>
      </c>
      <c r="O193" s="13" t="s">
        <v>107</v>
      </c>
      <c r="P193" s="13" t="s">
        <v>952</v>
      </c>
      <c r="Q193" s="13" t="s">
        <v>670</v>
      </c>
      <c r="R193" s="13" t="s">
        <v>958</v>
      </c>
      <c r="S193" s="13" t="s">
        <v>496</v>
      </c>
      <c r="T193" s="28">
        <v>28.17</v>
      </c>
      <c r="U193" s="13" t="s">
        <v>733</v>
      </c>
      <c r="V193" s="13" t="s">
        <v>53</v>
      </c>
      <c r="W193" s="13" t="s">
        <v>954</v>
      </c>
      <c r="X193" s="17">
        <f>DATE(2022,8,23)</f>
        <v>44796</v>
      </c>
      <c r="Y193" s="3"/>
    </row>
    <row r="194" spans="1:25" ht="45" customHeight="1">
      <c r="A194" s="3">
        <v>192</v>
      </c>
      <c r="B194" s="13" t="s">
        <v>959</v>
      </c>
      <c r="C194" s="13" t="s">
        <v>26</v>
      </c>
      <c r="D194" s="13" t="s">
        <v>960</v>
      </c>
      <c r="E194" s="13" t="s">
        <v>762</v>
      </c>
      <c r="F194" s="13" t="s">
        <v>446</v>
      </c>
      <c r="G194" s="13" t="s">
        <v>516</v>
      </c>
      <c r="H194" s="13" t="s">
        <v>406</v>
      </c>
      <c r="I194" s="27" t="s">
        <v>961</v>
      </c>
      <c r="J194" s="27" t="s">
        <v>33</v>
      </c>
      <c r="K194" s="27" t="s">
        <v>34</v>
      </c>
      <c r="L194" s="27" t="s">
        <v>35</v>
      </c>
      <c r="M194" s="27" t="s">
        <v>36</v>
      </c>
      <c r="N194" s="17">
        <f>DATE(2022,5,23)</f>
        <v>44704</v>
      </c>
      <c r="O194" s="13" t="s">
        <v>107</v>
      </c>
      <c r="P194" s="13" t="s">
        <v>449</v>
      </c>
      <c r="Q194" s="13" t="s">
        <v>670</v>
      </c>
      <c r="R194" s="13" t="s">
        <v>962</v>
      </c>
      <c r="S194" s="13" t="s">
        <v>449</v>
      </c>
      <c r="T194" s="28">
        <v>36.42</v>
      </c>
      <c r="U194" s="13" t="s">
        <v>765</v>
      </c>
      <c r="V194" s="13" t="s">
        <v>146</v>
      </c>
      <c r="W194" s="13" t="s">
        <v>516</v>
      </c>
      <c r="X194" s="17">
        <f>DATE(2022,8,23)</f>
        <v>44796</v>
      </c>
      <c r="Y194" s="3"/>
    </row>
    <row r="195" spans="1:25" ht="45" customHeight="1">
      <c r="A195" s="3">
        <v>193</v>
      </c>
      <c r="B195" s="13" t="s">
        <v>963</v>
      </c>
      <c r="C195" s="13" t="s">
        <v>26</v>
      </c>
      <c r="D195" s="13" t="s">
        <v>964</v>
      </c>
      <c r="E195" s="13" t="s">
        <v>738</v>
      </c>
      <c r="F195" s="13" t="s">
        <v>446</v>
      </c>
      <c r="G195" s="13" t="s">
        <v>516</v>
      </c>
      <c r="H195" s="13" t="s">
        <v>406</v>
      </c>
      <c r="I195" s="27" t="s">
        <v>965</v>
      </c>
      <c r="J195" s="27" t="s">
        <v>33</v>
      </c>
      <c r="K195" s="27" t="s">
        <v>34</v>
      </c>
      <c r="L195" s="27" t="s">
        <v>35</v>
      </c>
      <c r="M195" s="27" t="s">
        <v>36</v>
      </c>
      <c r="N195" s="17">
        <f>DATE(2022,5,23)</f>
        <v>44704</v>
      </c>
      <c r="O195" s="13" t="s">
        <v>107</v>
      </c>
      <c r="P195" s="13" t="s">
        <v>966</v>
      </c>
      <c r="Q195" s="13" t="s">
        <v>670</v>
      </c>
      <c r="R195" s="13" t="s">
        <v>967</v>
      </c>
      <c r="S195" s="13" t="s">
        <v>449</v>
      </c>
      <c r="T195" s="28">
        <v>32.200000000000003</v>
      </c>
      <c r="U195" s="13" t="s">
        <v>733</v>
      </c>
      <c r="V195" s="13" t="s">
        <v>53</v>
      </c>
      <c r="W195" s="13" t="s">
        <v>516</v>
      </c>
      <c r="X195" s="17">
        <f>DATE(2022,8,23)</f>
        <v>44796</v>
      </c>
      <c r="Y195" s="3"/>
    </row>
    <row r="196" spans="1:25" ht="45" customHeight="1">
      <c r="A196" s="3">
        <v>194</v>
      </c>
      <c r="B196" s="13" t="s">
        <v>968</v>
      </c>
      <c r="C196" s="13" t="s">
        <v>26</v>
      </c>
      <c r="D196" s="13" t="s">
        <v>862</v>
      </c>
      <c r="E196" s="13" t="s">
        <v>969</v>
      </c>
      <c r="F196" s="13" t="s">
        <v>446</v>
      </c>
      <c r="G196" s="13" t="s">
        <v>516</v>
      </c>
      <c r="H196" s="13" t="s">
        <v>406</v>
      </c>
      <c r="I196" s="27" t="s">
        <v>970</v>
      </c>
      <c r="J196" s="27" t="s">
        <v>33</v>
      </c>
      <c r="K196" s="27" t="s">
        <v>34</v>
      </c>
      <c r="L196" s="27" t="s">
        <v>35</v>
      </c>
      <c r="M196" s="27" t="s">
        <v>36</v>
      </c>
      <c r="N196" s="17">
        <f>DATE(2022,5,23)</f>
        <v>44704</v>
      </c>
      <c r="O196" s="13" t="s">
        <v>107</v>
      </c>
      <c r="P196" s="13" t="s">
        <v>449</v>
      </c>
      <c r="Q196" s="13" t="s">
        <v>431</v>
      </c>
      <c r="R196" s="13" t="s">
        <v>971</v>
      </c>
      <c r="S196" s="13" t="s">
        <v>403</v>
      </c>
      <c r="T196" s="28">
        <v>39.85</v>
      </c>
      <c r="U196" s="13" t="s">
        <v>969</v>
      </c>
      <c r="V196" s="13" t="s">
        <v>89</v>
      </c>
      <c r="W196" s="13" t="s">
        <v>516</v>
      </c>
      <c r="X196" s="17">
        <f>DATE(2022,8,23)</f>
        <v>44796</v>
      </c>
      <c r="Y196" s="3"/>
    </row>
    <row r="197" spans="1:25" ht="45" customHeight="1">
      <c r="A197" s="3">
        <v>195</v>
      </c>
      <c r="B197" s="13" t="s">
        <v>972</v>
      </c>
      <c r="C197" s="13" t="s">
        <v>26</v>
      </c>
      <c r="D197" s="13" t="s">
        <v>973</v>
      </c>
      <c r="E197" s="13" t="s">
        <v>762</v>
      </c>
      <c r="F197" s="13" t="s">
        <v>453</v>
      </c>
      <c r="G197" s="13" t="s">
        <v>454</v>
      </c>
      <c r="H197" s="13" t="s">
        <v>453</v>
      </c>
      <c r="I197" s="27" t="s">
        <v>974</v>
      </c>
      <c r="J197" s="27" t="s">
        <v>33</v>
      </c>
      <c r="K197" s="27" t="s">
        <v>34</v>
      </c>
      <c r="L197" s="27" t="s">
        <v>208</v>
      </c>
      <c r="M197" s="27" t="s">
        <v>209</v>
      </c>
      <c r="N197" s="17">
        <f>DATE(2022,5,30)</f>
        <v>44711</v>
      </c>
      <c r="O197" s="13" t="s">
        <v>107</v>
      </c>
      <c r="P197" s="13" t="s">
        <v>456</v>
      </c>
      <c r="Q197" s="13" t="s">
        <v>670</v>
      </c>
      <c r="R197" s="13" t="s">
        <v>975</v>
      </c>
      <c r="S197" s="13" t="s">
        <v>458</v>
      </c>
      <c r="T197" s="28">
        <v>25.79</v>
      </c>
      <c r="U197" s="13" t="s">
        <v>765</v>
      </c>
      <c r="V197" s="13" t="s">
        <v>89</v>
      </c>
      <c r="W197" s="13" t="s">
        <v>454</v>
      </c>
      <c r="X197" s="17">
        <f>DATE(2022,8,30)</f>
        <v>44803</v>
      </c>
      <c r="Y197" s="3"/>
    </row>
    <row r="198" spans="1:25" ht="45" customHeight="1">
      <c r="A198" s="3">
        <v>196</v>
      </c>
      <c r="B198" s="13" t="s">
        <v>976</v>
      </c>
      <c r="C198" s="13" t="s">
        <v>103</v>
      </c>
      <c r="D198" s="13" t="s">
        <v>977</v>
      </c>
      <c r="E198" s="13" t="s">
        <v>733</v>
      </c>
      <c r="F198" s="13" t="s">
        <v>491</v>
      </c>
      <c r="G198" s="13" t="s">
        <v>978</v>
      </c>
      <c r="H198" s="13" t="s">
        <v>406</v>
      </c>
      <c r="I198" s="27" t="s">
        <v>979</v>
      </c>
      <c r="J198" s="27" t="s">
        <v>33</v>
      </c>
      <c r="K198" s="27" t="s">
        <v>106</v>
      </c>
      <c r="L198" s="27" t="s">
        <v>35</v>
      </c>
      <c r="M198" s="27" t="s">
        <v>36</v>
      </c>
      <c r="N198" s="17">
        <f>DATE(2022,6,7)</f>
        <v>44719</v>
      </c>
      <c r="O198" s="13" t="s">
        <v>107</v>
      </c>
      <c r="P198" s="13" t="s">
        <v>596</v>
      </c>
      <c r="Q198" s="13" t="s">
        <v>670</v>
      </c>
      <c r="R198" s="13" t="s">
        <v>980</v>
      </c>
      <c r="S198" s="13" t="s">
        <v>496</v>
      </c>
      <c r="T198" s="28">
        <v>30.34</v>
      </c>
      <c r="U198" s="13" t="s">
        <v>733</v>
      </c>
      <c r="V198" s="13" t="s">
        <v>146</v>
      </c>
      <c r="W198" s="13" t="s">
        <v>981</v>
      </c>
      <c r="X198" s="17">
        <f>DATE(2022,9,7)</f>
        <v>44811</v>
      </c>
      <c r="Y198" s="3"/>
    </row>
    <row r="199" spans="1:25" ht="45" customHeight="1">
      <c r="A199" s="3">
        <v>197</v>
      </c>
      <c r="B199" s="13" t="s">
        <v>982</v>
      </c>
      <c r="C199" s="13" t="s">
        <v>103</v>
      </c>
      <c r="D199" s="13" t="s">
        <v>983</v>
      </c>
      <c r="E199" s="13" t="s">
        <v>427</v>
      </c>
      <c r="F199" s="13" t="s">
        <v>491</v>
      </c>
      <c r="G199" s="13" t="s">
        <v>899</v>
      </c>
      <c r="H199" s="13" t="s">
        <v>406</v>
      </c>
      <c r="I199" s="27" t="s">
        <v>984</v>
      </c>
      <c r="J199" s="27" t="s">
        <v>33</v>
      </c>
      <c r="K199" s="27" t="s">
        <v>106</v>
      </c>
      <c r="L199" s="27" t="s">
        <v>35</v>
      </c>
      <c r="M199" s="27" t="s">
        <v>36</v>
      </c>
      <c r="N199" s="17">
        <f>DATE(2022,6,7)</f>
        <v>44719</v>
      </c>
      <c r="O199" s="13" t="s">
        <v>107</v>
      </c>
      <c r="P199" s="13" t="s">
        <v>898</v>
      </c>
      <c r="Q199" s="13" t="s">
        <v>431</v>
      </c>
      <c r="R199" s="13" t="s">
        <v>985</v>
      </c>
      <c r="S199" s="13" t="s">
        <v>496</v>
      </c>
      <c r="T199" s="28">
        <v>29.86</v>
      </c>
      <c r="U199" s="13" t="s">
        <v>427</v>
      </c>
      <c r="V199" s="13" t="s">
        <v>413</v>
      </c>
      <c r="W199" s="13" t="s">
        <v>899</v>
      </c>
      <c r="X199" s="17">
        <f>DATE(2022,9,7)</f>
        <v>44811</v>
      </c>
      <c r="Y199" s="3"/>
    </row>
    <row r="200" spans="1:25" ht="45" customHeight="1">
      <c r="A200" s="3">
        <v>198</v>
      </c>
      <c r="B200" s="13" t="s">
        <v>986</v>
      </c>
      <c r="C200" s="13" t="s">
        <v>26</v>
      </c>
      <c r="D200" s="13" t="s">
        <v>987</v>
      </c>
      <c r="E200" s="13" t="s">
        <v>738</v>
      </c>
      <c r="F200" s="13" t="s">
        <v>453</v>
      </c>
      <c r="G200" s="13" t="s">
        <v>454</v>
      </c>
      <c r="H200" s="13" t="s">
        <v>453</v>
      </c>
      <c r="I200" s="27" t="s">
        <v>988</v>
      </c>
      <c r="J200" s="27" t="s">
        <v>33</v>
      </c>
      <c r="K200" s="27" t="s">
        <v>34</v>
      </c>
      <c r="L200" s="27" t="s">
        <v>35</v>
      </c>
      <c r="M200" s="27" t="s">
        <v>36</v>
      </c>
      <c r="N200" s="17">
        <f>DATE(2022,6,7)</f>
        <v>44719</v>
      </c>
      <c r="O200" s="13" t="s">
        <v>107</v>
      </c>
      <c r="P200" s="13" t="s">
        <v>456</v>
      </c>
      <c r="Q200" s="13" t="s">
        <v>670</v>
      </c>
      <c r="R200" s="13" t="s">
        <v>989</v>
      </c>
      <c r="S200" s="13" t="s">
        <v>458</v>
      </c>
      <c r="T200" s="28">
        <v>38.17</v>
      </c>
      <c r="U200" s="13" t="s">
        <v>733</v>
      </c>
      <c r="V200" s="13" t="s">
        <v>53</v>
      </c>
      <c r="W200" s="13" t="s">
        <v>454</v>
      </c>
      <c r="X200" s="17">
        <f>DATE(2022,9,7)</f>
        <v>44811</v>
      </c>
      <c r="Y200" s="3"/>
    </row>
    <row r="201" spans="1:25" ht="45" customHeight="1">
      <c r="A201" s="3">
        <v>199</v>
      </c>
      <c r="B201" s="13" t="s">
        <v>990</v>
      </c>
      <c r="C201" s="13" t="s">
        <v>26</v>
      </c>
      <c r="D201" s="13" t="s">
        <v>991</v>
      </c>
      <c r="E201" s="13" t="s">
        <v>762</v>
      </c>
      <c r="F201" s="13" t="s">
        <v>446</v>
      </c>
      <c r="G201" s="13" t="s">
        <v>516</v>
      </c>
      <c r="H201" s="13" t="s">
        <v>406</v>
      </c>
      <c r="I201" s="27" t="s">
        <v>992</v>
      </c>
      <c r="J201" s="27" t="s">
        <v>33</v>
      </c>
      <c r="K201" s="27" t="s">
        <v>34</v>
      </c>
      <c r="L201" s="27" t="s">
        <v>35</v>
      </c>
      <c r="M201" s="27" t="s">
        <v>36</v>
      </c>
      <c r="N201" s="17">
        <f>DATE(2022,6,7)</f>
        <v>44719</v>
      </c>
      <c r="O201" s="13" t="s">
        <v>107</v>
      </c>
      <c r="P201" s="13" t="s">
        <v>966</v>
      </c>
      <c r="Q201" s="13" t="s">
        <v>670</v>
      </c>
      <c r="R201" s="13" t="s">
        <v>993</v>
      </c>
      <c r="S201" s="13" t="s">
        <v>449</v>
      </c>
      <c r="T201" s="28">
        <v>28.49</v>
      </c>
      <c r="U201" s="13" t="s">
        <v>765</v>
      </c>
      <c r="V201" s="13" t="s">
        <v>53</v>
      </c>
      <c r="W201" s="13" t="s">
        <v>516</v>
      </c>
      <c r="X201" s="17">
        <f>DATE(2022,9,7)</f>
        <v>44811</v>
      </c>
      <c r="Y201" s="3"/>
    </row>
    <row r="202" spans="1:25" ht="45" customHeight="1">
      <c r="A202" s="3">
        <v>200</v>
      </c>
      <c r="B202" s="13" t="s">
        <v>994</v>
      </c>
      <c r="C202" s="13" t="s">
        <v>26</v>
      </c>
      <c r="D202" s="13" t="s">
        <v>995</v>
      </c>
      <c r="E202" s="13" t="s">
        <v>738</v>
      </c>
      <c r="F202" s="13" t="s">
        <v>706</v>
      </c>
      <c r="G202" s="13" t="s">
        <v>996</v>
      </c>
      <c r="H202" s="13" t="s">
        <v>706</v>
      </c>
      <c r="I202" s="27" t="s">
        <v>997</v>
      </c>
      <c r="J202" s="27" t="s">
        <v>33</v>
      </c>
      <c r="K202" s="27" t="s">
        <v>34</v>
      </c>
      <c r="L202" s="27" t="s">
        <v>208</v>
      </c>
      <c r="M202" s="27" t="s">
        <v>209</v>
      </c>
      <c r="N202" s="17">
        <f>DATE(2022,6,8)</f>
        <v>44720</v>
      </c>
      <c r="O202" s="13" t="s">
        <v>107</v>
      </c>
      <c r="P202" s="13" t="s">
        <v>709</v>
      </c>
      <c r="Q202" s="13" t="s">
        <v>670</v>
      </c>
      <c r="R202" s="13" t="s">
        <v>998</v>
      </c>
      <c r="S202" s="13" t="s">
        <v>458</v>
      </c>
      <c r="T202" s="28">
        <v>28.31</v>
      </c>
      <c r="U202" s="13" t="s">
        <v>733</v>
      </c>
      <c r="V202" s="13" t="s">
        <v>53</v>
      </c>
      <c r="W202" s="13" t="s">
        <v>999</v>
      </c>
      <c r="X202" s="17">
        <f>DATE(2022,9,8)</f>
        <v>44812</v>
      </c>
      <c r="Y202" s="3"/>
    </row>
    <row r="203" spans="1:25" ht="45" customHeight="1">
      <c r="A203" s="3">
        <v>201</v>
      </c>
      <c r="B203" s="13" t="s">
        <v>1000</v>
      </c>
      <c r="C203" s="13" t="s">
        <v>103</v>
      </c>
      <c r="D203" s="13" t="s">
        <v>1001</v>
      </c>
      <c r="E203" s="13" t="s">
        <v>445</v>
      </c>
      <c r="F203" s="13" t="s">
        <v>491</v>
      </c>
      <c r="G203" s="13" t="s">
        <v>492</v>
      </c>
      <c r="H203" s="13" t="s">
        <v>406</v>
      </c>
      <c r="I203" s="27" t="s">
        <v>1002</v>
      </c>
      <c r="J203" s="27" t="s">
        <v>33</v>
      </c>
      <c r="K203" s="27" t="s">
        <v>106</v>
      </c>
      <c r="L203" s="27" t="s">
        <v>35</v>
      </c>
      <c r="M203" s="27" t="s">
        <v>36</v>
      </c>
      <c r="N203" s="17">
        <f>DATE(2022,6,13)</f>
        <v>44725</v>
      </c>
      <c r="O203" s="13" t="s">
        <v>107</v>
      </c>
      <c r="P203" s="13" t="s">
        <v>494</v>
      </c>
      <c r="Q203" s="13" t="s">
        <v>431</v>
      </c>
      <c r="R203" s="13" t="s">
        <v>1003</v>
      </c>
      <c r="S203" s="13" t="s">
        <v>496</v>
      </c>
      <c r="T203" s="28">
        <v>29.09</v>
      </c>
      <c r="U203" s="13" t="s">
        <v>445</v>
      </c>
      <c r="V203" s="13" t="s">
        <v>413</v>
      </c>
      <c r="W203" s="13" t="s">
        <v>492</v>
      </c>
      <c r="X203" s="17">
        <f>DATE(2022,9,13)</f>
        <v>44817</v>
      </c>
      <c r="Y203" s="3"/>
    </row>
    <row r="204" spans="1:25" ht="45" customHeight="1">
      <c r="A204" s="3">
        <v>202</v>
      </c>
      <c r="B204" s="13" t="s">
        <v>1004</v>
      </c>
      <c r="C204" s="13" t="s">
        <v>26</v>
      </c>
      <c r="D204" s="13" t="s">
        <v>1005</v>
      </c>
      <c r="E204" s="13" t="s">
        <v>738</v>
      </c>
      <c r="F204" s="13" t="s">
        <v>706</v>
      </c>
      <c r="G204" s="13" t="s">
        <v>996</v>
      </c>
      <c r="H204" s="13" t="s">
        <v>706</v>
      </c>
      <c r="I204" s="27" t="s">
        <v>1006</v>
      </c>
      <c r="J204" s="27" t="s">
        <v>33</v>
      </c>
      <c r="K204" s="27" t="s">
        <v>34</v>
      </c>
      <c r="L204" s="27" t="s">
        <v>35</v>
      </c>
      <c r="M204" s="27" t="s">
        <v>36</v>
      </c>
      <c r="N204" s="17">
        <f>DATE(2022,6,13)</f>
        <v>44725</v>
      </c>
      <c r="O204" s="13" t="s">
        <v>107</v>
      </c>
      <c r="P204" s="13" t="s">
        <v>709</v>
      </c>
      <c r="Q204" s="13" t="s">
        <v>670</v>
      </c>
      <c r="R204" s="13" t="s">
        <v>1007</v>
      </c>
      <c r="S204" s="13" t="s">
        <v>458</v>
      </c>
      <c r="T204" s="28">
        <v>42.42</v>
      </c>
      <c r="U204" s="13" t="s">
        <v>733</v>
      </c>
      <c r="V204" s="13" t="s">
        <v>53</v>
      </c>
      <c r="W204" s="13" t="s">
        <v>999</v>
      </c>
      <c r="X204" s="17">
        <f>DATE(2022,9,13)</f>
        <v>44817</v>
      </c>
      <c r="Y204" s="3"/>
    </row>
    <row r="205" spans="1:25" ht="45" customHeight="1">
      <c r="A205" s="3">
        <v>203</v>
      </c>
      <c r="B205" s="13" t="s">
        <v>1008</v>
      </c>
      <c r="C205" s="13" t="s">
        <v>26</v>
      </c>
      <c r="D205" s="13" t="s">
        <v>1009</v>
      </c>
      <c r="E205" s="13" t="s">
        <v>738</v>
      </c>
      <c r="F205" s="13" t="s">
        <v>446</v>
      </c>
      <c r="G205" s="13" t="s">
        <v>860</v>
      </c>
      <c r="H205" s="13" t="s">
        <v>406</v>
      </c>
      <c r="I205" s="27" t="s">
        <v>1010</v>
      </c>
      <c r="J205" s="27" t="s">
        <v>33</v>
      </c>
      <c r="K205" s="27" t="s">
        <v>34</v>
      </c>
      <c r="L205" s="27" t="s">
        <v>35</v>
      </c>
      <c r="M205" s="27" t="s">
        <v>36</v>
      </c>
      <c r="N205" s="17">
        <f>DATE(2022,6,13)</f>
        <v>44725</v>
      </c>
      <c r="O205" s="13" t="s">
        <v>107</v>
      </c>
      <c r="P205" s="13" t="s">
        <v>449</v>
      </c>
      <c r="Q205" s="13" t="s">
        <v>670</v>
      </c>
      <c r="R205" s="13" t="s">
        <v>1011</v>
      </c>
      <c r="S205" s="13" t="s">
        <v>449</v>
      </c>
      <c r="T205" s="28">
        <v>40.14</v>
      </c>
      <c r="U205" s="13" t="s">
        <v>733</v>
      </c>
      <c r="V205" s="13" t="s">
        <v>146</v>
      </c>
      <c r="W205" s="13" t="s">
        <v>860</v>
      </c>
      <c r="X205" s="17">
        <f>DATE(2022,9,13)</f>
        <v>44817</v>
      </c>
      <c r="Y205" s="3"/>
    </row>
    <row r="206" spans="1:25" ht="45" customHeight="1">
      <c r="A206" s="3">
        <v>204</v>
      </c>
      <c r="B206" s="13" t="s">
        <v>1012</v>
      </c>
      <c r="C206" s="13" t="s">
        <v>26</v>
      </c>
      <c r="D206" s="13" t="s">
        <v>1013</v>
      </c>
      <c r="E206" s="13" t="s">
        <v>969</v>
      </c>
      <c r="F206" s="13" t="s">
        <v>446</v>
      </c>
      <c r="G206" s="13" t="s">
        <v>615</v>
      </c>
      <c r="H206" s="13" t="s">
        <v>406</v>
      </c>
      <c r="I206" s="27" t="s">
        <v>1014</v>
      </c>
      <c r="J206" s="27" t="s">
        <v>33</v>
      </c>
      <c r="K206" s="27" t="s">
        <v>34</v>
      </c>
      <c r="L206" s="27" t="s">
        <v>35</v>
      </c>
      <c r="M206" s="27" t="s">
        <v>36</v>
      </c>
      <c r="N206" s="17">
        <f>DATE(2022,6,13)</f>
        <v>44725</v>
      </c>
      <c r="O206" s="13" t="s">
        <v>107</v>
      </c>
      <c r="P206" s="13" t="s">
        <v>579</v>
      </c>
      <c r="Q206" s="13" t="s">
        <v>431</v>
      </c>
      <c r="R206" s="13" t="s">
        <v>1015</v>
      </c>
      <c r="S206" s="13" t="s">
        <v>449</v>
      </c>
      <c r="T206" s="28">
        <v>48.24</v>
      </c>
      <c r="U206" s="13" t="s">
        <v>969</v>
      </c>
      <c r="V206" s="13" t="s">
        <v>752</v>
      </c>
      <c r="W206" s="13" t="s">
        <v>615</v>
      </c>
      <c r="X206" s="17">
        <f>DATE(2022,9,13)</f>
        <v>44817</v>
      </c>
      <c r="Y206" s="3"/>
    </row>
    <row r="207" spans="1:25" ht="45" customHeight="1">
      <c r="A207" s="3">
        <v>205</v>
      </c>
      <c r="B207" s="13" t="s">
        <v>1016</v>
      </c>
      <c r="C207" s="13" t="s">
        <v>26</v>
      </c>
      <c r="D207" s="13" t="s">
        <v>1017</v>
      </c>
      <c r="E207" s="13" t="s">
        <v>738</v>
      </c>
      <c r="F207" s="13" t="s">
        <v>446</v>
      </c>
      <c r="G207" s="13" t="s">
        <v>615</v>
      </c>
      <c r="H207" s="13" t="s">
        <v>406</v>
      </c>
      <c r="I207" s="27" t="s">
        <v>1018</v>
      </c>
      <c r="J207" s="27" t="s">
        <v>33</v>
      </c>
      <c r="K207" s="27" t="s">
        <v>34</v>
      </c>
      <c r="L207" s="27" t="s">
        <v>35</v>
      </c>
      <c r="M207" s="27" t="s">
        <v>36</v>
      </c>
      <c r="N207" s="17">
        <f>DATE(2022,6,14)</f>
        <v>44726</v>
      </c>
      <c r="O207" s="13" t="s">
        <v>107</v>
      </c>
      <c r="P207" s="13" t="s">
        <v>966</v>
      </c>
      <c r="Q207" s="13" t="s">
        <v>670</v>
      </c>
      <c r="R207" s="13" t="s">
        <v>1019</v>
      </c>
      <c r="S207" s="13" t="s">
        <v>449</v>
      </c>
      <c r="T207" s="28">
        <v>26.71</v>
      </c>
      <c r="U207" s="13" t="s">
        <v>733</v>
      </c>
      <c r="V207" s="13" t="s">
        <v>53</v>
      </c>
      <c r="W207" s="13" t="s">
        <v>615</v>
      </c>
      <c r="X207" s="17">
        <f>DATE(2022,9,14)</f>
        <v>44818</v>
      </c>
      <c r="Y207" s="3"/>
    </row>
    <row r="208" spans="1:25" ht="45" customHeight="1">
      <c r="A208" s="3">
        <v>206</v>
      </c>
      <c r="B208" s="13" t="s">
        <v>1020</v>
      </c>
      <c r="C208" s="13" t="s">
        <v>103</v>
      </c>
      <c r="D208" s="13" t="s">
        <v>1021</v>
      </c>
      <c r="E208" s="13" t="s">
        <v>416</v>
      </c>
      <c r="F208" s="13" t="s">
        <v>491</v>
      </c>
      <c r="G208" s="13" t="s">
        <v>1022</v>
      </c>
      <c r="H208" s="13" t="s">
        <v>406</v>
      </c>
      <c r="I208" s="27" t="s">
        <v>1023</v>
      </c>
      <c r="J208" s="27" t="s">
        <v>33</v>
      </c>
      <c r="K208" s="27" t="s">
        <v>106</v>
      </c>
      <c r="L208" s="27" t="s">
        <v>408</v>
      </c>
      <c r="M208" s="27" t="s">
        <v>409</v>
      </c>
      <c r="N208" s="17">
        <f>DATE(2022,6,20)</f>
        <v>44732</v>
      </c>
      <c r="O208" s="13" t="s">
        <v>107</v>
      </c>
      <c r="P208" s="13" t="s">
        <v>496</v>
      </c>
      <c r="Q208" s="13" t="s">
        <v>411</v>
      </c>
      <c r="R208" s="13" t="s">
        <v>1024</v>
      </c>
      <c r="S208" s="13" t="s">
        <v>496</v>
      </c>
      <c r="T208" s="28">
        <v>53.01</v>
      </c>
      <c r="U208" s="13" t="s">
        <v>416</v>
      </c>
      <c r="V208" s="13" t="s">
        <v>413</v>
      </c>
      <c r="W208" s="13" t="s">
        <v>1022</v>
      </c>
      <c r="X208" s="17">
        <f>DATE(2022,12,20)</f>
        <v>44915</v>
      </c>
      <c r="Y208" s="3"/>
    </row>
    <row r="209" spans="1:25" ht="45" customHeight="1">
      <c r="A209" s="3">
        <v>207</v>
      </c>
      <c r="B209" s="13" t="s">
        <v>1025</v>
      </c>
      <c r="C209" s="13" t="s">
        <v>103</v>
      </c>
      <c r="D209" s="13" t="s">
        <v>1026</v>
      </c>
      <c r="E209" s="13" t="s">
        <v>620</v>
      </c>
      <c r="F209" s="13" t="s">
        <v>417</v>
      </c>
      <c r="G209" s="13" t="s">
        <v>462</v>
      </c>
      <c r="H209" s="13" t="s">
        <v>419</v>
      </c>
      <c r="I209" s="27" t="s">
        <v>1027</v>
      </c>
      <c r="J209" s="27" t="s">
        <v>33</v>
      </c>
      <c r="K209" s="27" t="s">
        <v>106</v>
      </c>
      <c r="L209" s="27" t="s">
        <v>408</v>
      </c>
      <c r="M209" s="27" t="s">
        <v>409</v>
      </c>
      <c r="N209" s="17">
        <f t="shared" ref="N209:N231" si="15">DATE(2022,7,1)</f>
        <v>44743</v>
      </c>
      <c r="O209" s="13" t="s">
        <v>107</v>
      </c>
      <c r="P209" s="13" t="s">
        <v>415</v>
      </c>
      <c r="Q209" s="13" t="s">
        <v>465</v>
      </c>
      <c r="R209" s="13" t="s">
        <v>1028</v>
      </c>
      <c r="S209" s="13" t="s">
        <v>423</v>
      </c>
      <c r="T209" s="28">
        <v>37.35</v>
      </c>
      <c r="U209" s="13" t="s">
        <v>620</v>
      </c>
      <c r="V209" s="13" t="s">
        <v>413</v>
      </c>
      <c r="W209" s="13" t="s">
        <v>467</v>
      </c>
      <c r="X209" s="17">
        <f>DATE(2022,10,1)</f>
        <v>44835</v>
      </c>
      <c r="Y209" s="3"/>
    </row>
    <row r="210" spans="1:25" ht="45" customHeight="1">
      <c r="A210" s="3">
        <v>208</v>
      </c>
      <c r="B210" s="13" t="s">
        <v>1029</v>
      </c>
      <c r="C210" s="13" t="s">
        <v>103</v>
      </c>
      <c r="D210" s="13" t="s">
        <v>1030</v>
      </c>
      <c r="E210" s="13" t="s">
        <v>28</v>
      </c>
      <c r="F210" s="13" t="s">
        <v>29</v>
      </c>
      <c r="G210" s="13" t="s">
        <v>56</v>
      </c>
      <c r="H210" s="13" t="s">
        <v>1031</v>
      </c>
      <c r="I210" s="27" t="s">
        <v>1032</v>
      </c>
      <c r="J210" s="27" t="s">
        <v>33</v>
      </c>
      <c r="K210" s="27" t="s">
        <v>106</v>
      </c>
      <c r="L210" s="27" t="s">
        <v>35</v>
      </c>
      <c r="M210" s="27" t="s">
        <v>36</v>
      </c>
      <c r="N210" s="17">
        <f t="shared" si="15"/>
        <v>44743</v>
      </c>
      <c r="O210" s="13" t="s">
        <v>34</v>
      </c>
      <c r="P210" s="13" t="s">
        <v>1033</v>
      </c>
      <c r="Q210" s="13" t="s">
        <v>38</v>
      </c>
      <c r="R210" s="13" t="s">
        <v>1034</v>
      </c>
      <c r="S210" s="13" t="s">
        <v>58</v>
      </c>
      <c r="T210" s="28">
        <v>29.55</v>
      </c>
      <c r="U210" s="13" t="s">
        <v>28</v>
      </c>
      <c r="V210" s="13" t="s">
        <v>146</v>
      </c>
      <c r="W210" s="13" t="s">
        <v>56</v>
      </c>
      <c r="X210" s="17">
        <f t="shared" ref="X210:X231" si="16">DATE(2022,8,1)</f>
        <v>44774</v>
      </c>
      <c r="Y210" s="3"/>
    </row>
    <row r="211" spans="1:25" ht="45" customHeight="1">
      <c r="A211" s="3">
        <v>209</v>
      </c>
      <c r="B211" s="13" t="s">
        <v>1035</v>
      </c>
      <c r="C211" s="13" t="s">
        <v>26</v>
      </c>
      <c r="D211" s="13" t="s">
        <v>1036</v>
      </c>
      <c r="E211" s="13" t="s">
        <v>765</v>
      </c>
      <c r="F211" s="13" t="s">
        <v>491</v>
      </c>
      <c r="G211" s="13" t="s">
        <v>950</v>
      </c>
      <c r="H211" s="13" t="s">
        <v>406</v>
      </c>
      <c r="I211" s="27" t="s">
        <v>1037</v>
      </c>
      <c r="J211" s="27" t="s">
        <v>33</v>
      </c>
      <c r="K211" s="27" t="s">
        <v>34</v>
      </c>
      <c r="L211" s="27" t="s">
        <v>35</v>
      </c>
      <c r="M211" s="27" t="s">
        <v>36</v>
      </c>
      <c r="N211" s="17">
        <f t="shared" si="15"/>
        <v>44743</v>
      </c>
      <c r="O211" s="13" t="s">
        <v>107</v>
      </c>
      <c r="P211" s="13" t="s">
        <v>952</v>
      </c>
      <c r="Q211" s="13" t="s">
        <v>670</v>
      </c>
      <c r="R211" s="13" t="s">
        <v>1038</v>
      </c>
      <c r="S211" s="13" t="s">
        <v>496</v>
      </c>
      <c r="T211" s="28">
        <v>25.78</v>
      </c>
      <c r="U211" s="13" t="s">
        <v>765</v>
      </c>
      <c r="V211" s="13" t="s">
        <v>89</v>
      </c>
      <c r="W211" s="13" t="s">
        <v>954</v>
      </c>
      <c r="X211" s="17">
        <f t="shared" si="16"/>
        <v>44774</v>
      </c>
      <c r="Y211" s="3"/>
    </row>
    <row r="212" spans="1:25" ht="45" customHeight="1">
      <c r="A212" s="3">
        <v>210</v>
      </c>
      <c r="B212" s="13" t="s">
        <v>1039</v>
      </c>
      <c r="C212" s="13" t="s">
        <v>26</v>
      </c>
      <c r="D212" s="13" t="s">
        <v>1040</v>
      </c>
      <c r="E212" s="13" t="s">
        <v>1041</v>
      </c>
      <c r="F212" s="13" t="s">
        <v>491</v>
      </c>
      <c r="G212" s="13" t="s">
        <v>1042</v>
      </c>
      <c r="H212" s="13" t="s">
        <v>406</v>
      </c>
      <c r="I212" s="27" t="s">
        <v>1043</v>
      </c>
      <c r="J212" s="27" t="s">
        <v>33</v>
      </c>
      <c r="K212" s="27" t="s">
        <v>34</v>
      </c>
      <c r="L212" s="27" t="s">
        <v>35</v>
      </c>
      <c r="M212" s="27" t="s">
        <v>36</v>
      </c>
      <c r="N212" s="17">
        <f t="shared" si="15"/>
        <v>44743</v>
      </c>
      <c r="O212" s="13" t="s">
        <v>107</v>
      </c>
      <c r="P212" s="13" t="s">
        <v>717</v>
      </c>
      <c r="Q212" s="13" t="s">
        <v>501</v>
      </c>
      <c r="R212" s="13" t="s">
        <v>1044</v>
      </c>
      <c r="S212" s="13" t="s">
        <v>496</v>
      </c>
      <c r="T212" s="28">
        <v>29.94</v>
      </c>
      <c r="U212" s="13" t="s">
        <v>1041</v>
      </c>
      <c r="V212" s="13" t="s">
        <v>89</v>
      </c>
      <c r="W212" s="13" t="s">
        <v>1042</v>
      </c>
      <c r="X212" s="17">
        <f t="shared" si="16"/>
        <v>44774</v>
      </c>
      <c r="Y212" s="3"/>
    </row>
    <row r="213" spans="1:25" ht="45" customHeight="1">
      <c r="A213" s="3">
        <v>211</v>
      </c>
      <c r="B213" s="13" t="s">
        <v>1045</v>
      </c>
      <c r="C213" s="13" t="s">
        <v>26</v>
      </c>
      <c r="D213" s="13" t="s">
        <v>1046</v>
      </c>
      <c r="E213" s="13" t="s">
        <v>28</v>
      </c>
      <c r="F213" s="13" t="s">
        <v>491</v>
      </c>
      <c r="G213" s="13" t="s">
        <v>1042</v>
      </c>
      <c r="H213" s="13" t="s">
        <v>406</v>
      </c>
      <c r="I213" s="27" t="s">
        <v>1047</v>
      </c>
      <c r="J213" s="27" t="s">
        <v>33</v>
      </c>
      <c r="K213" s="27" t="s">
        <v>34</v>
      </c>
      <c r="L213" s="27" t="s">
        <v>35</v>
      </c>
      <c r="M213" s="27" t="s">
        <v>36</v>
      </c>
      <c r="N213" s="17">
        <f t="shared" si="15"/>
        <v>44743</v>
      </c>
      <c r="O213" s="13" t="s">
        <v>34</v>
      </c>
      <c r="P213" s="13" t="s">
        <v>717</v>
      </c>
      <c r="Q213" s="13" t="s">
        <v>38</v>
      </c>
      <c r="R213" s="13" t="s">
        <v>1048</v>
      </c>
      <c r="S213" s="13" t="s">
        <v>496</v>
      </c>
      <c r="T213" s="28">
        <v>28.29</v>
      </c>
      <c r="U213" s="13" t="s">
        <v>28</v>
      </c>
      <c r="V213" s="13" t="s">
        <v>146</v>
      </c>
      <c r="W213" s="13" t="s">
        <v>1042</v>
      </c>
      <c r="X213" s="17">
        <f t="shared" si="16"/>
        <v>44774</v>
      </c>
      <c r="Y213" s="3"/>
    </row>
    <row r="214" spans="1:25" ht="45" customHeight="1">
      <c r="A214" s="3">
        <v>212</v>
      </c>
      <c r="B214" s="13" t="s">
        <v>1049</v>
      </c>
      <c r="C214" s="13" t="s">
        <v>26</v>
      </c>
      <c r="D214" s="13" t="s">
        <v>1050</v>
      </c>
      <c r="E214" s="13" t="s">
        <v>28</v>
      </c>
      <c r="F214" s="13" t="s">
        <v>491</v>
      </c>
      <c r="G214" s="13" t="s">
        <v>1042</v>
      </c>
      <c r="H214" s="13" t="s">
        <v>406</v>
      </c>
      <c r="I214" s="27" t="s">
        <v>1051</v>
      </c>
      <c r="J214" s="27" t="s">
        <v>33</v>
      </c>
      <c r="K214" s="27" t="s">
        <v>34</v>
      </c>
      <c r="L214" s="27" t="s">
        <v>208</v>
      </c>
      <c r="M214" s="27" t="s">
        <v>209</v>
      </c>
      <c r="N214" s="17">
        <f t="shared" si="15"/>
        <v>44743</v>
      </c>
      <c r="O214" s="13" t="s">
        <v>34</v>
      </c>
      <c r="P214" s="13" t="s">
        <v>717</v>
      </c>
      <c r="Q214" s="13" t="s">
        <v>38</v>
      </c>
      <c r="R214" s="13" t="s">
        <v>365</v>
      </c>
      <c r="S214" s="13" t="s">
        <v>496</v>
      </c>
      <c r="T214" s="28">
        <v>32.06</v>
      </c>
      <c r="U214" s="13" t="s">
        <v>28</v>
      </c>
      <c r="V214" s="13" t="s">
        <v>89</v>
      </c>
      <c r="W214" s="13" t="s">
        <v>1042</v>
      </c>
      <c r="X214" s="17">
        <f t="shared" si="16"/>
        <v>44774</v>
      </c>
      <c r="Y214" s="3"/>
    </row>
    <row r="215" spans="1:25" ht="45" customHeight="1">
      <c r="A215" s="3">
        <v>213</v>
      </c>
      <c r="B215" s="13" t="s">
        <v>1052</v>
      </c>
      <c r="C215" s="13" t="s">
        <v>26</v>
      </c>
      <c r="D215" s="13" t="s">
        <v>1053</v>
      </c>
      <c r="E215" s="13" t="s">
        <v>1054</v>
      </c>
      <c r="F215" s="13" t="s">
        <v>29</v>
      </c>
      <c r="G215" s="13" t="s">
        <v>72</v>
      </c>
      <c r="H215" s="13" t="s">
        <v>1031</v>
      </c>
      <c r="I215" s="27" t="s">
        <v>1055</v>
      </c>
      <c r="J215" s="27" t="s">
        <v>33</v>
      </c>
      <c r="K215" s="27" t="s">
        <v>34</v>
      </c>
      <c r="L215" s="27" t="s">
        <v>35</v>
      </c>
      <c r="M215" s="27" t="s">
        <v>36</v>
      </c>
      <c r="N215" s="17">
        <f t="shared" si="15"/>
        <v>44743</v>
      </c>
      <c r="O215" s="13" t="s">
        <v>107</v>
      </c>
      <c r="P215" s="13" t="s">
        <v>74</v>
      </c>
      <c r="Q215" s="13" t="s">
        <v>1054</v>
      </c>
      <c r="R215" s="13" t="s">
        <v>365</v>
      </c>
      <c r="S215" s="13" t="s">
        <v>74</v>
      </c>
      <c r="T215" s="28">
        <v>40.74</v>
      </c>
      <c r="U215" s="13" t="s">
        <v>1054</v>
      </c>
      <c r="V215" s="13" t="s">
        <v>752</v>
      </c>
      <c r="W215" s="13" t="s">
        <v>72</v>
      </c>
      <c r="X215" s="17">
        <f t="shared" si="16"/>
        <v>44774</v>
      </c>
      <c r="Y215" s="3"/>
    </row>
    <row r="216" spans="1:25" ht="45" customHeight="1">
      <c r="A216" s="3">
        <v>214</v>
      </c>
      <c r="B216" s="13" t="s">
        <v>1056</v>
      </c>
      <c r="C216" s="13" t="s">
        <v>26</v>
      </c>
      <c r="D216" s="13" t="s">
        <v>1057</v>
      </c>
      <c r="E216" s="13" t="s">
        <v>28</v>
      </c>
      <c r="F216" s="13" t="s">
        <v>29</v>
      </c>
      <c r="G216" s="13" t="s">
        <v>1058</v>
      </c>
      <c r="H216" s="13" t="s">
        <v>1031</v>
      </c>
      <c r="I216" s="27" t="s">
        <v>1059</v>
      </c>
      <c r="J216" s="27" t="s">
        <v>33</v>
      </c>
      <c r="K216" s="27" t="s">
        <v>34</v>
      </c>
      <c r="L216" s="27" t="s">
        <v>35</v>
      </c>
      <c r="M216" s="27" t="s">
        <v>36</v>
      </c>
      <c r="N216" s="17">
        <f t="shared" si="15"/>
        <v>44743</v>
      </c>
      <c r="O216" s="13" t="s">
        <v>34</v>
      </c>
      <c r="P216" s="13" t="s">
        <v>1060</v>
      </c>
      <c r="Q216" s="13" t="s">
        <v>38</v>
      </c>
      <c r="R216" s="13" t="s">
        <v>1061</v>
      </c>
      <c r="S216" s="13" t="s">
        <v>87</v>
      </c>
      <c r="T216" s="28">
        <v>27.97</v>
      </c>
      <c r="U216" s="13" t="s">
        <v>28</v>
      </c>
      <c r="V216" s="13" t="s">
        <v>53</v>
      </c>
      <c r="W216" s="13" t="s">
        <v>1058</v>
      </c>
      <c r="X216" s="17">
        <f t="shared" si="16"/>
        <v>44774</v>
      </c>
      <c r="Y216" s="3"/>
    </row>
    <row r="217" spans="1:25" ht="45" customHeight="1">
      <c r="A217" s="3">
        <v>215</v>
      </c>
      <c r="B217" s="13" t="s">
        <v>1062</v>
      </c>
      <c r="C217" s="13" t="s">
        <v>26</v>
      </c>
      <c r="D217" s="13" t="s">
        <v>1063</v>
      </c>
      <c r="E217" s="13" t="s">
        <v>1064</v>
      </c>
      <c r="F217" s="13" t="s">
        <v>475</v>
      </c>
      <c r="G217" s="13" t="s">
        <v>476</v>
      </c>
      <c r="H217" s="13" t="s">
        <v>406</v>
      </c>
      <c r="I217" s="27" t="s">
        <v>1065</v>
      </c>
      <c r="J217" s="27" t="s">
        <v>33</v>
      </c>
      <c r="K217" s="27" t="s">
        <v>34</v>
      </c>
      <c r="L217" s="27" t="s">
        <v>35</v>
      </c>
      <c r="M217" s="27" t="s">
        <v>36</v>
      </c>
      <c r="N217" s="17">
        <f t="shared" si="15"/>
        <v>44743</v>
      </c>
      <c r="O217" s="13" t="s">
        <v>34</v>
      </c>
      <c r="P217" s="13" t="s">
        <v>473</v>
      </c>
      <c r="Q217" s="13" t="s">
        <v>38</v>
      </c>
      <c r="R217" s="13" t="s">
        <v>1066</v>
      </c>
      <c r="S217" s="13" t="s">
        <v>478</v>
      </c>
      <c r="T217" s="28">
        <v>24.73</v>
      </c>
      <c r="U217" s="13" t="s">
        <v>28</v>
      </c>
      <c r="V217" s="13" t="s">
        <v>146</v>
      </c>
      <c r="W217" s="13" t="s">
        <v>476</v>
      </c>
      <c r="X217" s="17">
        <f t="shared" si="16"/>
        <v>44774</v>
      </c>
      <c r="Y217" s="3"/>
    </row>
    <row r="218" spans="1:25" ht="45" customHeight="1">
      <c r="A218" s="3">
        <v>216</v>
      </c>
      <c r="B218" s="13" t="s">
        <v>1067</v>
      </c>
      <c r="C218" s="13" t="s">
        <v>103</v>
      </c>
      <c r="D218" s="13" t="s">
        <v>1068</v>
      </c>
      <c r="E218" s="13" t="s">
        <v>28</v>
      </c>
      <c r="F218" s="13" t="s">
        <v>475</v>
      </c>
      <c r="G218" s="13" t="s">
        <v>476</v>
      </c>
      <c r="H218" s="13" t="s">
        <v>406</v>
      </c>
      <c r="I218" s="27" t="s">
        <v>1069</v>
      </c>
      <c r="J218" s="27" t="s">
        <v>33</v>
      </c>
      <c r="K218" s="27" t="s">
        <v>106</v>
      </c>
      <c r="L218" s="27" t="s">
        <v>35</v>
      </c>
      <c r="M218" s="27" t="s">
        <v>36</v>
      </c>
      <c r="N218" s="17">
        <f t="shared" si="15"/>
        <v>44743</v>
      </c>
      <c r="O218" s="13" t="s">
        <v>34</v>
      </c>
      <c r="P218" s="13" t="s">
        <v>473</v>
      </c>
      <c r="Q218" s="13" t="s">
        <v>38</v>
      </c>
      <c r="R218" s="13" t="s">
        <v>1070</v>
      </c>
      <c r="S218" s="13" t="s">
        <v>478</v>
      </c>
      <c r="T218" s="28">
        <v>25.68</v>
      </c>
      <c r="U218" s="13" t="s">
        <v>28</v>
      </c>
      <c r="V218" s="13" t="s">
        <v>53</v>
      </c>
      <c r="W218" s="13" t="s">
        <v>476</v>
      </c>
      <c r="X218" s="17">
        <f t="shared" si="16"/>
        <v>44774</v>
      </c>
      <c r="Y218" s="3"/>
    </row>
    <row r="219" spans="1:25" ht="45" customHeight="1">
      <c r="A219" s="3">
        <v>217</v>
      </c>
      <c r="B219" s="13" t="s">
        <v>1071</v>
      </c>
      <c r="C219" s="13" t="s">
        <v>103</v>
      </c>
      <c r="D219" s="13" t="s">
        <v>1072</v>
      </c>
      <c r="E219" s="13" t="s">
        <v>765</v>
      </c>
      <c r="F219" s="13" t="s">
        <v>475</v>
      </c>
      <c r="G219" s="13" t="s">
        <v>476</v>
      </c>
      <c r="H219" s="13" t="s">
        <v>406</v>
      </c>
      <c r="I219" s="27" t="s">
        <v>1073</v>
      </c>
      <c r="J219" s="27" t="s">
        <v>33</v>
      </c>
      <c r="K219" s="27" t="s">
        <v>106</v>
      </c>
      <c r="L219" s="27" t="s">
        <v>35</v>
      </c>
      <c r="M219" s="27" t="s">
        <v>36</v>
      </c>
      <c r="N219" s="17">
        <f t="shared" si="15"/>
        <v>44743</v>
      </c>
      <c r="O219" s="13" t="s">
        <v>107</v>
      </c>
      <c r="P219" s="13" t="s">
        <v>473</v>
      </c>
      <c r="Q219" s="13" t="s">
        <v>670</v>
      </c>
      <c r="R219" s="13" t="s">
        <v>1074</v>
      </c>
      <c r="S219" s="13" t="s">
        <v>478</v>
      </c>
      <c r="T219" s="28">
        <v>27.31</v>
      </c>
      <c r="U219" s="13" t="s">
        <v>765</v>
      </c>
      <c r="V219" s="13" t="s">
        <v>146</v>
      </c>
      <c r="W219" s="13" t="s">
        <v>476</v>
      </c>
      <c r="X219" s="17">
        <f t="shared" si="16"/>
        <v>44774</v>
      </c>
      <c r="Y219" s="3"/>
    </row>
    <row r="220" spans="1:25" ht="45" customHeight="1">
      <c r="A220" s="3">
        <v>218</v>
      </c>
      <c r="B220" s="13" t="s">
        <v>1075</v>
      </c>
      <c r="C220" s="13" t="s">
        <v>103</v>
      </c>
      <c r="D220" s="13" t="s">
        <v>1076</v>
      </c>
      <c r="E220" s="13" t="s">
        <v>1054</v>
      </c>
      <c r="F220" s="13" t="s">
        <v>475</v>
      </c>
      <c r="G220" s="13" t="s">
        <v>476</v>
      </c>
      <c r="H220" s="13" t="s">
        <v>406</v>
      </c>
      <c r="I220" s="27" t="s">
        <v>1077</v>
      </c>
      <c r="J220" s="27" t="s">
        <v>33</v>
      </c>
      <c r="K220" s="27" t="s">
        <v>106</v>
      </c>
      <c r="L220" s="27" t="s">
        <v>35</v>
      </c>
      <c r="M220" s="27" t="s">
        <v>36</v>
      </c>
      <c r="N220" s="17">
        <f t="shared" si="15"/>
        <v>44743</v>
      </c>
      <c r="O220" s="13" t="s">
        <v>107</v>
      </c>
      <c r="P220" s="13" t="s">
        <v>473</v>
      </c>
      <c r="Q220" s="13" t="s">
        <v>1054</v>
      </c>
      <c r="R220" s="13" t="s">
        <v>1078</v>
      </c>
      <c r="S220" s="13" t="s">
        <v>478</v>
      </c>
      <c r="T220" s="28">
        <v>24.44</v>
      </c>
      <c r="U220" s="13" t="s">
        <v>1054</v>
      </c>
      <c r="V220" s="13" t="s">
        <v>53</v>
      </c>
      <c r="W220" s="13" t="s">
        <v>476</v>
      </c>
      <c r="X220" s="17">
        <f t="shared" si="16"/>
        <v>44774</v>
      </c>
      <c r="Y220" s="3"/>
    </row>
    <row r="221" spans="1:25" ht="45" customHeight="1">
      <c r="A221" s="3">
        <v>219</v>
      </c>
      <c r="B221" s="13" t="s">
        <v>1079</v>
      </c>
      <c r="C221" s="13" t="s">
        <v>103</v>
      </c>
      <c r="D221" s="13" t="s">
        <v>1080</v>
      </c>
      <c r="E221" s="13" t="s">
        <v>1081</v>
      </c>
      <c r="F221" s="13" t="s">
        <v>475</v>
      </c>
      <c r="G221" s="13" t="s">
        <v>476</v>
      </c>
      <c r="H221" s="13" t="s">
        <v>406</v>
      </c>
      <c r="I221" s="27" t="s">
        <v>1082</v>
      </c>
      <c r="J221" s="27" t="s">
        <v>33</v>
      </c>
      <c r="K221" s="27" t="s">
        <v>106</v>
      </c>
      <c r="L221" s="27" t="s">
        <v>35</v>
      </c>
      <c r="M221" s="27" t="s">
        <v>36</v>
      </c>
      <c r="N221" s="17">
        <f t="shared" si="15"/>
        <v>44743</v>
      </c>
      <c r="O221" s="13" t="s">
        <v>107</v>
      </c>
      <c r="P221" s="13" t="s">
        <v>473</v>
      </c>
      <c r="Q221" s="13" t="s">
        <v>501</v>
      </c>
      <c r="R221" s="13" t="s">
        <v>1083</v>
      </c>
      <c r="S221" s="13" t="s">
        <v>478</v>
      </c>
      <c r="T221" s="28">
        <v>33.51</v>
      </c>
      <c r="U221" s="13" t="s">
        <v>1041</v>
      </c>
      <c r="V221" s="13" t="s">
        <v>89</v>
      </c>
      <c r="W221" s="13" t="s">
        <v>476</v>
      </c>
      <c r="X221" s="17">
        <f t="shared" si="16"/>
        <v>44774</v>
      </c>
      <c r="Y221" s="3"/>
    </row>
    <row r="222" spans="1:25" ht="45" customHeight="1">
      <c r="A222" s="3">
        <v>220</v>
      </c>
      <c r="B222" s="13" t="s">
        <v>1084</v>
      </c>
      <c r="C222" s="13" t="s">
        <v>26</v>
      </c>
      <c r="D222" s="13" t="s">
        <v>1085</v>
      </c>
      <c r="E222" s="13" t="s">
        <v>28</v>
      </c>
      <c r="F222" s="13" t="s">
        <v>475</v>
      </c>
      <c r="G222" s="13" t="s">
        <v>476</v>
      </c>
      <c r="H222" s="13" t="s">
        <v>406</v>
      </c>
      <c r="I222" s="27" t="s">
        <v>1086</v>
      </c>
      <c r="J222" s="27" t="s">
        <v>33</v>
      </c>
      <c r="K222" s="27" t="s">
        <v>34</v>
      </c>
      <c r="L222" s="27" t="s">
        <v>35</v>
      </c>
      <c r="M222" s="27" t="s">
        <v>36</v>
      </c>
      <c r="N222" s="17">
        <f t="shared" si="15"/>
        <v>44743</v>
      </c>
      <c r="O222" s="13" t="s">
        <v>34</v>
      </c>
      <c r="P222" s="13" t="s">
        <v>473</v>
      </c>
      <c r="Q222" s="13" t="s">
        <v>38</v>
      </c>
      <c r="R222" s="13" t="s">
        <v>1087</v>
      </c>
      <c r="S222" s="13" t="s">
        <v>478</v>
      </c>
      <c r="T222" s="28">
        <v>35.020000000000003</v>
      </c>
      <c r="U222" s="13" t="s">
        <v>28</v>
      </c>
      <c r="V222" s="13" t="s">
        <v>53</v>
      </c>
      <c r="W222" s="13" t="s">
        <v>476</v>
      </c>
      <c r="X222" s="17">
        <f t="shared" si="16"/>
        <v>44774</v>
      </c>
      <c r="Y222" s="3"/>
    </row>
    <row r="223" spans="1:25" ht="45" customHeight="1">
      <c r="A223" s="3">
        <v>221</v>
      </c>
      <c r="B223" s="13" t="s">
        <v>1088</v>
      </c>
      <c r="C223" s="13" t="s">
        <v>26</v>
      </c>
      <c r="D223" s="13" t="s">
        <v>1089</v>
      </c>
      <c r="E223" s="13" t="s">
        <v>1054</v>
      </c>
      <c r="F223" s="13" t="s">
        <v>29</v>
      </c>
      <c r="G223" s="13" t="s">
        <v>56</v>
      </c>
      <c r="H223" s="13" t="s">
        <v>1031</v>
      </c>
      <c r="I223" s="27" t="s">
        <v>1090</v>
      </c>
      <c r="J223" s="27" t="s">
        <v>33</v>
      </c>
      <c r="K223" s="27" t="s">
        <v>34</v>
      </c>
      <c r="L223" s="27" t="s">
        <v>35</v>
      </c>
      <c r="M223" s="27" t="s">
        <v>36</v>
      </c>
      <c r="N223" s="17">
        <f t="shared" si="15"/>
        <v>44743</v>
      </c>
      <c r="O223" s="13" t="s">
        <v>107</v>
      </c>
      <c r="P223" s="13" t="s">
        <v>58</v>
      </c>
      <c r="Q223" s="13" t="s">
        <v>1054</v>
      </c>
      <c r="R223" s="13" t="s">
        <v>1091</v>
      </c>
      <c r="S223" s="13" t="s">
        <v>58</v>
      </c>
      <c r="T223" s="28">
        <v>33.35</v>
      </c>
      <c r="U223" s="13" t="s">
        <v>1054</v>
      </c>
      <c r="V223" s="13" t="s">
        <v>53</v>
      </c>
      <c r="W223" s="13" t="s">
        <v>56</v>
      </c>
      <c r="X223" s="17">
        <f t="shared" si="16"/>
        <v>44774</v>
      </c>
      <c r="Y223" s="3"/>
    </row>
    <row r="224" spans="1:25" ht="45" customHeight="1">
      <c r="A224" s="3">
        <v>222</v>
      </c>
      <c r="B224" s="13" t="s">
        <v>1092</v>
      </c>
      <c r="C224" s="13" t="s">
        <v>26</v>
      </c>
      <c r="D224" s="13" t="s">
        <v>1093</v>
      </c>
      <c r="E224" s="13" t="s">
        <v>28</v>
      </c>
      <c r="F224" s="13" t="s">
        <v>29</v>
      </c>
      <c r="G224" s="13" t="s">
        <v>43</v>
      </c>
      <c r="H224" s="13" t="s">
        <v>1031</v>
      </c>
      <c r="I224" s="27" t="s">
        <v>1094</v>
      </c>
      <c r="J224" s="27" t="s">
        <v>33</v>
      </c>
      <c r="K224" s="27" t="s">
        <v>34</v>
      </c>
      <c r="L224" s="27" t="s">
        <v>35</v>
      </c>
      <c r="M224" s="27" t="s">
        <v>36</v>
      </c>
      <c r="N224" s="17">
        <f t="shared" si="15"/>
        <v>44743</v>
      </c>
      <c r="O224" s="13" t="s">
        <v>34</v>
      </c>
      <c r="P224" s="13" t="s">
        <v>1095</v>
      </c>
      <c r="Q224" s="13" t="s">
        <v>38</v>
      </c>
      <c r="R224" s="13" t="s">
        <v>1096</v>
      </c>
      <c r="S224" s="13" t="s">
        <v>37</v>
      </c>
      <c r="T224" s="28">
        <v>29.38</v>
      </c>
      <c r="U224" s="13" t="s">
        <v>28</v>
      </c>
      <c r="V224" s="13" t="s">
        <v>53</v>
      </c>
      <c r="W224" s="13" t="s">
        <v>43</v>
      </c>
      <c r="X224" s="17">
        <f t="shared" si="16"/>
        <v>44774</v>
      </c>
      <c r="Y224" s="3"/>
    </row>
    <row r="225" spans="1:25" ht="45" customHeight="1">
      <c r="A225" s="3">
        <v>223</v>
      </c>
      <c r="B225" s="13" t="s">
        <v>1097</v>
      </c>
      <c r="C225" s="13" t="s">
        <v>26</v>
      </c>
      <c r="D225" s="13" t="s">
        <v>1098</v>
      </c>
      <c r="E225" s="13" t="s">
        <v>28</v>
      </c>
      <c r="F225" s="13" t="s">
        <v>29</v>
      </c>
      <c r="G225" s="13" t="s">
        <v>72</v>
      </c>
      <c r="H225" s="13" t="s">
        <v>1031</v>
      </c>
      <c r="I225" s="27" t="s">
        <v>1099</v>
      </c>
      <c r="J225" s="27" t="s">
        <v>33</v>
      </c>
      <c r="K225" s="27" t="s">
        <v>34</v>
      </c>
      <c r="L225" s="27" t="s">
        <v>35</v>
      </c>
      <c r="M225" s="27" t="s">
        <v>36</v>
      </c>
      <c r="N225" s="17">
        <f t="shared" si="15"/>
        <v>44743</v>
      </c>
      <c r="O225" s="13" t="s">
        <v>34</v>
      </c>
      <c r="P225" s="13" t="s">
        <v>1100</v>
      </c>
      <c r="Q225" s="13" t="s">
        <v>38</v>
      </c>
      <c r="R225" s="13" t="s">
        <v>1101</v>
      </c>
      <c r="S225" s="13" t="s">
        <v>74</v>
      </c>
      <c r="T225" s="28">
        <v>38.57</v>
      </c>
      <c r="U225" s="13" t="s">
        <v>28</v>
      </c>
      <c r="V225" s="13" t="s">
        <v>89</v>
      </c>
      <c r="W225" s="13" t="s">
        <v>72</v>
      </c>
      <c r="X225" s="17">
        <f t="shared" si="16"/>
        <v>44774</v>
      </c>
      <c r="Y225" s="3"/>
    </row>
    <row r="226" spans="1:25" ht="45" customHeight="1">
      <c r="A226" s="3">
        <v>224</v>
      </c>
      <c r="B226" s="13" t="s">
        <v>1102</v>
      </c>
      <c r="C226" s="13" t="s">
        <v>103</v>
      </c>
      <c r="D226" s="13" t="s">
        <v>1103</v>
      </c>
      <c r="E226" s="13" t="s">
        <v>755</v>
      </c>
      <c r="F226" s="13" t="s">
        <v>417</v>
      </c>
      <c r="G226" s="13" t="s">
        <v>695</v>
      </c>
      <c r="H226" s="13" t="s">
        <v>419</v>
      </c>
      <c r="I226" s="27" t="s">
        <v>1104</v>
      </c>
      <c r="J226" s="27" t="s">
        <v>33</v>
      </c>
      <c r="K226" s="27" t="s">
        <v>106</v>
      </c>
      <c r="L226" s="27" t="s">
        <v>35</v>
      </c>
      <c r="M226" s="27" t="s">
        <v>36</v>
      </c>
      <c r="N226" s="17">
        <f t="shared" si="15"/>
        <v>44743</v>
      </c>
      <c r="O226" s="13" t="s">
        <v>34</v>
      </c>
      <c r="P226" s="13" t="s">
        <v>693</v>
      </c>
      <c r="Q226" s="13" t="s">
        <v>38</v>
      </c>
      <c r="R226" s="13" t="s">
        <v>1105</v>
      </c>
      <c r="S226" s="13" t="s">
        <v>423</v>
      </c>
      <c r="T226" s="28">
        <v>32.76</v>
      </c>
      <c r="U226" s="13" t="s">
        <v>755</v>
      </c>
      <c r="V226" s="13" t="s">
        <v>799</v>
      </c>
      <c r="W226" s="13" t="s">
        <v>699</v>
      </c>
      <c r="X226" s="17">
        <f t="shared" si="16"/>
        <v>44774</v>
      </c>
      <c r="Y226" s="3"/>
    </row>
    <row r="227" spans="1:25" ht="45" customHeight="1">
      <c r="A227" s="3">
        <v>225</v>
      </c>
      <c r="B227" s="13" t="s">
        <v>1106</v>
      </c>
      <c r="C227" s="13" t="s">
        <v>103</v>
      </c>
      <c r="D227" s="13" t="s">
        <v>1107</v>
      </c>
      <c r="E227" s="13" t="s">
        <v>28</v>
      </c>
      <c r="F227" s="13" t="s">
        <v>29</v>
      </c>
      <c r="G227" s="13" t="s">
        <v>43</v>
      </c>
      <c r="H227" s="13" t="s">
        <v>1031</v>
      </c>
      <c r="I227" s="27" t="s">
        <v>1108</v>
      </c>
      <c r="J227" s="27" t="s">
        <v>33</v>
      </c>
      <c r="K227" s="27" t="s">
        <v>106</v>
      </c>
      <c r="L227" s="27" t="s">
        <v>35</v>
      </c>
      <c r="M227" s="27" t="s">
        <v>36</v>
      </c>
      <c r="N227" s="17">
        <f t="shared" si="15"/>
        <v>44743</v>
      </c>
      <c r="O227" s="13" t="s">
        <v>34</v>
      </c>
      <c r="P227" s="13" t="s">
        <v>1095</v>
      </c>
      <c r="Q227" s="13" t="s">
        <v>38</v>
      </c>
      <c r="R227" s="13" t="s">
        <v>1109</v>
      </c>
      <c r="S227" s="13" t="s">
        <v>37</v>
      </c>
      <c r="T227" s="28">
        <v>24.09</v>
      </c>
      <c r="U227" s="13" t="s">
        <v>28</v>
      </c>
      <c r="V227" s="13" t="s">
        <v>53</v>
      </c>
      <c r="W227" s="13" t="s">
        <v>43</v>
      </c>
      <c r="X227" s="17">
        <f t="shared" si="16"/>
        <v>44774</v>
      </c>
      <c r="Y227" s="3"/>
    </row>
    <row r="228" spans="1:25" ht="45" customHeight="1">
      <c r="A228" s="3">
        <v>226</v>
      </c>
      <c r="B228" s="13" t="s">
        <v>1110</v>
      </c>
      <c r="C228" s="13" t="s">
        <v>26</v>
      </c>
      <c r="D228" s="13" t="s">
        <v>1111</v>
      </c>
      <c r="E228" s="13" t="s">
        <v>1054</v>
      </c>
      <c r="F228" s="13" t="s">
        <v>29</v>
      </c>
      <c r="G228" s="13" t="s">
        <v>1058</v>
      </c>
      <c r="H228" s="13" t="s">
        <v>1031</v>
      </c>
      <c r="I228" s="27" t="s">
        <v>1112</v>
      </c>
      <c r="J228" s="27" t="s">
        <v>33</v>
      </c>
      <c r="K228" s="27" t="s">
        <v>34</v>
      </c>
      <c r="L228" s="27" t="s">
        <v>35</v>
      </c>
      <c r="M228" s="27" t="s">
        <v>36</v>
      </c>
      <c r="N228" s="17">
        <f t="shared" si="15"/>
        <v>44743</v>
      </c>
      <c r="O228" s="13" t="s">
        <v>107</v>
      </c>
      <c r="P228" s="13" t="s">
        <v>87</v>
      </c>
      <c r="Q228" s="13" t="s">
        <v>1054</v>
      </c>
      <c r="R228" s="13" t="s">
        <v>1113</v>
      </c>
      <c r="S228" s="13" t="s">
        <v>87</v>
      </c>
      <c r="T228" s="28">
        <v>32.26</v>
      </c>
      <c r="U228" s="13" t="s">
        <v>1054</v>
      </c>
      <c r="V228" s="13" t="s">
        <v>89</v>
      </c>
      <c r="W228" s="13" t="s">
        <v>1058</v>
      </c>
      <c r="X228" s="17">
        <f t="shared" si="16"/>
        <v>44774</v>
      </c>
      <c r="Y228" s="3"/>
    </row>
    <row r="229" spans="1:25" ht="45" customHeight="1">
      <c r="A229" s="3">
        <v>227</v>
      </c>
      <c r="B229" s="13" t="s">
        <v>1114</v>
      </c>
      <c r="C229" s="13" t="s">
        <v>103</v>
      </c>
      <c r="D229" s="13" t="s">
        <v>1115</v>
      </c>
      <c r="E229" s="13" t="s">
        <v>1054</v>
      </c>
      <c r="F229" s="13" t="s">
        <v>29</v>
      </c>
      <c r="G229" s="13" t="s">
        <v>123</v>
      </c>
      <c r="H229" s="13" t="s">
        <v>1031</v>
      </c>
      <c r="I229" s="27" t="s">
        <v>1116</v>
      </c>
      <c r="J229" s="27" t="s">
        <v>33</v>
      </c>
      <c r="K229" s="27" t="s">
        <v>106</v>
      </c>
      <c r="L229" s="27" t="s">
        <v>35</v>
      </c>
      <c r="M229" s="27" t="s">
        <v>36</v>
      </c>
      <c r="N229" s="17">
        <f t="shared" si="15"/>
        <v>44743</v>
      </c>
      <c r="O229" s="13" t="s">
        <v>107</v>
      </c>
      <c r="P229" s="13" t="s">
        <v>125</v>
      </c>
      <c r="Q229" s="13" t="s">
        <v>1054</v>
      </c>
      <c r="R229" s="13" t="s">
        <v>365</v>
      </c>
      <c r="S229" s="13" t="s">
        <v>127</v>
      </c>
      <c r="T229" s="28">
        <v>26.25</v>
      </c>
      <c r="U229" s="13" t="s">
        <v>1054</v>
      </c>
      <c r="V229" s="13" t="s">
        <v>89</v>
      </c>
      <c r="W229" s="13" t="s">
        <v>128</v>
      </c>
      <c r="X229" s="17">
        <f t="shared" si="16"/>
        <v>44774</v>
      </c>
      <c r="Y229" s="3"/>
    </row>
    <row r="230" spans="1:25" ht="45" customHeight="1">
      <c r="A230" s="3">
        <v>228</v>
      </c>
      <c r="B230" s="13" t="s">
        <v>1117</v>
      </c>
      <c r="C230" s="13" t="s">
        <v>103</v>
      </c>
      <c r="D230" s="13" t="s">
        <v>1118</v>
      </c>
      <c r="E230" s="13" t="s">
        <v>28</v>
      </c>
      <c r="F230" s="13" t="s">
        <v>29</v>
      </c>
      <c r="G230" s="13" t="s">
        <v>123</v>
      </c>
      <c r="H230" s="13" t="s">
        <v>31</v>
      </c>
      <c r="I230" s="27" t="s">
        <v>1119</v>
      </c>
      <c r="J230" s="27" t="s">
        <v>33</v>
      </c>
      <c r="K230" s="27" t="s">
        <v>106</v>
      </c>
      <c r="L230" s="27" t="s">
        <v>35</v>
      </c>
      <c r="M230" s="27" t="s">
        <v>36</v>
      </c>
      <c r="N230" s="17">
        <f t="shared" si="15"/>
        <v>44743</v>
      </c>
      <c r="O230" s="13" t="s">
        <v>34</v>
      </c>
      <c r="P230" s="13" t="s">
        <v>125</v>
      </c>
      <c r="Q230" s="13" t="s">
        <v>38</v>
      </c>
      <c r="R230" s="13" t="s">
        <v>1120</v>
      </c>
      <c r="S230" s="13" t="s">
        <v>127</v>
      </c>
      <c r="T230" s="28">
        <v>26.87</v>
      </c>
      <c r="U230" s="13" t="s">
        <v>28</v>
      </c>
      <c r="V230" s="13" t="s">
        <v>89</v>
      </c>
      <c r="W230" s="13" t="s">
        <v>128</v>
      </c>
      <c r="X230" s="17">
        <f t="shared" si="16"/>
        <v>44774</v>
      </c>
      <c r="Y230" s="3"/>
    </row>
    <row r="231" spans="1:25" ht="45" customHeight="1">
      <c r="A231" s="3">
        <v>229</v>
      </c>
      <c r="B231" s="13" t="s">
        <v>1121</v>
      </c>
      <c r="C231" s="13" t="s">
        <v>26</v>
      </c>
      <c r="D231" s="13" t="s">
        <v>1122</v>
      </c>
      <c r="E231" s="13" t="s">
        <v>28</v>
      </c>
      <c r="F231" s="13" t="s">
        <v>475</v>
      </c>
      <c r="G231" s="13" t="s">
        <v>476</v>
      </c>
      <c r="H231" s="13" t="s">
        <v>406</v>
      </c>
      <c r="I231" s="27" t="s">
        <v>1123</v>
      </c>
      <c r="J231" s="27" t="s">
        <v>33</v>
      </c>
      <c r="K231" s="27" t="s">
        <v>34</v>
      </c>
      <c r="L231" s="27" t="s">
        <v>35</v>
      </c>
      <c r="M231" s="27" t="s">
        <v>36</v>
      </c>
      <c r="N231" s="17">
        <f t="shared" si="15"/>
        <v>44743</v>
      </c>
      <c r="O231" s="13" t="s">
        <v>34</v>
      </c>
      <c r="P231" s="13" t="s">
        <v>473</v>
      </c>
      <c r="Q231" s="13" t="s">
        <v>38</v>
      </c>
      <c r="R231" s="13" t="s">
        <v>1124</v>
      </c>
      <c r="S231" s="13" t="s">
        <v>478</v>
      </c>
      <c r="T231" s="28">
        <v>31.42</v>
      </c>
      <c r="U231" s="13" t="s">
        <v>28</v>
      </c>
      <c r="V231" s="13" t="s">
        <v>53</v>
      </c>
      <c r="W231" s="13" t="s">
        <v>476</v>
      </c>
      <c r="X231" s="17">
        <f t="shared" si="16"/>
        <v>44774</v>
      </c>
      <c r="Y231" s="3"/>
    </row>
    <row r="232" spans="1:25" ht="45" customHeight="1">
      <c r="A232" s="3">
        <v>230</v>
      </c>
      <c r="B232" s="13" t="s">
        <v>1125</v>
      </c>
      <c r="C232" s="13" t="s">
        <v>103</v>
      </c>
      <c r="D232" s="13" t="s">
        <v>144</v>
      </c>
      <c r="E232" s="13" t="s">
        <v>1126</v>
      </c>
      <c r="F232" s="13" t="s">
        <v>29</v>
      </c>
      <c r="G232" s="13" t="s">
        <v>123</v>
      </c>
      <c r="H232" s="13" t="s">
        <v>406</v>
      </c>
      <c r="I232" s="27" t="s">
        <v>1127</v>
      </c>
      <c r="J232" s="27" t="s">
        <v>33</v>
      </c>
      <c r="K232" s="27" t="s">
        <v>106</v>
      </c>
      <c r="L232" s="27" t="s">
        <v>208</v>
      </c>
      <c r="M232" s="27" t="s">
        <v>209</v>
      </c>
      <c r="N232" s="17">
        <f>DATE(2022,7,4)</f>
        <v>44746</v>
      </c>
      <c r="O232" s="13" t="s">
        <v>107</v>
      </c>
      <c r="P232" s="13" t="s">
        <v>127</v>
      </c>
      <c r="Q232" s="13" t="s">
        <v>501</v>
      </c>
      <c r="R232" s="13" t="s">
        <v>1128</v>
      </c>
      <c r="S232" s="13" t="s">
        <v>503</v>
      </c>
      <c r="T232" s="28">
        <v>28.91</v>
      </c>
      <c r="U232" s="13" t="s">
        <v>499</v>
      </c>
      <c r="V232" s="13" t="s">
        <v>146</v>
      </c>
      <c r="W232" s="13" t="s">
        <v>128</v>
      </c>
      <c r="X232" s="17">
        <f>DATE(2022,10,4)</f>
        <v>44838</v>
      </c>
      <c r="Y232" s="3"/>
    </row>
    <row r="233" spans="1:25" ht="45" customHeight="1">
      <c r="A233" s="3">
        <v>231</v>
      </c>
      <c r="B233" s="13" t="s">
        <v>1129</v>
      </c>
      <c r="C233" s="13" t="s">
        <v>26</v>
      </c>
      <c r="D233" s="13" t="s">
        <v>1130</v>
      </c>
      <c r="E233" s="13" t="s">
        <v>28</v>
      </c>
      <c r="F233" s="13" t="s">
        <v>29</v>
      </c>
      <c r="G233" s="13" t="s">
        <v>48</v>
      </c>
      <c r="H233" s="13" t="s">
        <v>1031</v>
      </c>
      <c r="I233" s="27" t="s">
        <v>1131</v>
      </c>
      <c r="J233" s="27" t="s">
        <v>33</v>
      </c>
      <c r="K233" s="27" t="s">
        <v>34</v>
      </c>
      <c r="L233" s="27" t="s">
        <v>35</v>
      </c>
      <c r="M233" s="27" t="s">
        <v>36</v>
      </c>
      <c r="N233" s="17">
        <f t="shared" ref="N233:N258" si="17">DATE(2022,7,1)</f>
        <v>44743</v>
      </c>
      <c r="O233" s="13" t="s">
        <v>34</v>
      </c>
      <c r="P233" s="13" t="s">
        <v>52</v>
      </c>
      <c r="Q233" s="13" t="s">
        <v>38</v>
      </c>
      <c r="R233" s="13" t="s">
        <v>1132</v>
      </c>
      <c r="S233" s="13" t="s">
        <v>52</v>
      </c>
      <c r="T233" s="28">
        <v>31.01</v>
      </c>
      <c r="U233" s="13" t="s">
        <v>28</v>
      </c>
      <c r="V233" s="13" t="s">
        <v>146</v>
      </c>
      <c r="W233" s="13" t="s">
        <v>48</v>
      </c>
      <c r="X233" s="17">
        <f t="shared" ref="X233:X258" si="18">DATE(2022,8,1)</f>
        <v>44774</v>
      </c>
      <c r="Y233" s="3"/>
    </row>
    <row r="234" spans="1:25" ht="45" customHeight="1">
      <c r="A234" s="3">
        <v>232</v>
      </c>
      <c r="B234" s="13" t="s">
        <v>1133</v>
      </c>
      <c r="C234" s="13" t="s">
        <v>26</v>
      </c>
      <c r="D234" s="13" t="s">
        <v>1134</v>
      </c>
      <c r="E234" s="13" t="s">
        <v>499</v>
      </c>
      <c r="F234" s="13" t="s">
        <v>29</v>
      </c>
      <c r="G234" s="13" t="s">
        <v>43</v>
      </c>
      <c r="H234" s="13" t="s">
        <v>406</v>
      </c>
      <c r="I234" s="27" t="s">
        <v>1135</v>
      </c>
      <c r="J234" s="27" t="s">
        <v>33</v>
      </c>
      <c r="K234" s="27" t="s">
        <v>34</v>
      </c>
      <c r="L234" s="27" t="s">
        <v>35</v>
      </c>
      <c r="M234" s="27" t="s">
        <v>36</v>
      </c>
      <c r="N234" s="17">
        <f t="shared" si="17"/>
        <v>44743</v>
      </c>
      <c r="O234" s="13" t="s">
        <v>107</v>
      </c>
      <c r="P234" s="13" t="s">
        <v>37</v>
      </c>
      <c r="Q234" s="13" t="s">
        <v>501</v>
      </c>
      <c r="R234" s="13" t="s">
        <v>1136</v>
      </c>
      <c r="S234" s="13" t="s">
        <v>441</v>
      </c>
      <c r="T234" s="28">
        <v>27.4</v>
      </c>
      <c r="U234" s="13" t="s">
        <v>499</v>
      </c>
      <c r="V234" s="13" t="s">
        <v>146</v>
      </c>
      <c r="W234" s="13" t="s">
        <v>43</v>
      </c>
      <c r="X234" s="17">
        <f t="shared" si="18"/>
        <v>44774</v>
      </c>
      <c r="Y234" s="3"/>
    </row>
    <row r="235" spans="1:25" ht="45" customHeight="1">
      <c r="A235" s="3">
        <v>233</v>
      </c>
      <c r="B235" s="13" t="s">
        <v>1137</v>
      </c>
      <c r="C235" s="13" t="s">
        <v>26</v>
      </c>
      <c r="D235" s="13" t="s">
        <v>1138</v>
      </c>
      <c r="E235" s="13" t="s">
        <v>765</v>
      </c>
      <c r="F235" s="13" t="s">
        <v>491</v>
      </c>
      <c r="G235" s="13" t="s">
        <v>830</v>
      </c>
      <c r="H235" s="13" t="s">
        <v>406</v>
      </c>
      <c r="I235" s="27" t="s">
        <v>1139</v>
      </c>
      <c r="J235" s="27" t="s">
        <v>33</v>
      </c>
      <c r="K235" s="27" t="s">
        <v>34</v>
      </c>
      <c r="L235" s="27" t="s">
        <v>35</v>
      </c>
      <c r="M235" s="27" t="s">
        <v>36</v>
      </c>
      <c r="N235" s="17">
        <f t="shared" si="17"/>
        <v>44743</v>
      </c>
      <c r="O235" s="13" t="s">
        <v>107</v>
      </c>
      <c r="P235" s="13" t="s">
        <v>505</v>
      </c>
      <c r="Q235" s="13" t="s">
        <v>670</v>
      </c>
      <c r="R235" s="13" t="s">
        <v>1140</v>
      </c>
      <c r="S235" s="13" t="s">
        <v>496</v>
      </c>
      <c r="T235" s="28">
        <v>27.06</v>
      </c>
      <c r="U235" s="13" t="s">
        <v>765</v>
      </c>
      <c r="V235" s="13" t="s">
        <v>89</v>
      </c>
      <c r="W235" s="13" t="s">
        <v>833</v>
      </c>
      <c r="X235" s="17">
        <f t="shared" si="18"/>
        <v>44774</v>
      </c>
      <c r="Y235" s="3"/>
    </row>
    <row r="236" spans="1:25" ht="45" customHeight="1">
      <c r="A236" s="3">
        <v>234</v>
      </c>
      <c r="B236" s="13" t="s">
        <v>1141</v>
      </c>
      <c r="C236" s="13" t="s">
        <v>26</v>
      </c>
      <c r="D236" s="13" t="s">
        <v>1142</v>
      </c>
      <c r="E236" s="13" t="s">
        <v>1054</v>
      </c>
      <c r="F236" s="13" t="s">
        <v>29</v>
      </c>
      <c r="G236" s="13" t="s">
        <v>72</v>
      </c>
      <c r="H236" s="13" t="s">
        <v>1031</v>
      </c>
      <c r="I236" s="27" t="s">
        <v>1143</v>
      </c>
      <c r="J236" s="27" t="s">
        <v>33</v>
      </c>
      <c r="K236" s="27" t="s">
        <v>34</v>
      </c>
      <c r="L236" s="27" t="s">
        <v>35</v>
      </c>
      <c r="M236" s="27" t="s">
        <v>36</v>
      </c>
      <c r="N236" s="17">
        <f t="shared" si="17"/>
        <v>44743</v>
      </c>
      <c r="O236" s="13" t="s">
        <v>34</v>
      </c>
      <c r="P236" s="13" t="s">
        <v>1144</v>
      </c>
      <c r="Q236" s="13" t="s">
        <v>1054</v>
      </c>
      <c r="R236" s="13" t="s">
        <v>1145</v>
      </c>
      <c r="S236" s="13" t="s">
        <v>74</v>
      </c>
      <c r="T236" s="28">
        <v>26.23</v>
      </c>
      <c r="U236" s="13" t="s">
        <v>1054</v>
      </c>
      <c r="V236" s="13" t="s">
        <v>53</v>
      </c>
      <c r="W236" s="13" t="s">
        <v>72</v>
      </c>
      <c r="X236" s="17">
        <f t="shared" si="18"/>
        <v>44774</v>
      </c>
      <c r="Y236" s="3"/>
    </row>
    <row r="237" spans="1:25" ht="45" customHeight="1">
      <c r="A237" s="3">
        <v>235</v>
      </c>
      <c r="B237" s="13" t="s">
        <v>1146</v>
      </c>
      <c r="C237" s="13" t="s">
        <v>26</v>
      </c>
      <c r="D237" s="13" t="s">
        <v>1147</v>
      </c>
      <c r="E237" s="13" t="s">
        <v>28</v>
      </c>
      <c r="F237" s="13" t="s">
        <v>29</v>
      </c>
      <c r="G237" s="13" t="s">
        <v>72</v>
      </c>
      <c r="H237" s="13" t="s">
        <v>1031</v>
      </c>
      <c r="I237" s="27" t="s">
        <v>1148</v>
      </c>
      <c r="J237" s="27" t="s">
        <v>33</v>
      </c>
      <c r="K237" s="27" t="s">
        <v>34</v>
      </c>
      <c r="L237" s="27" t="s">
        <v>35</v>
      </c>
      <c r="M237" s="27" t="s">
        <v>36</v>
      </c>
      <c r="N237" s="17">
        <f t="shared" si="17"/>
        <v>44743</v>
      </c>
      <c r="O237" s="13" t="s">
        <v>34</v>
      </c>
      <c r="P237" s="13" t="s">
        <v>1149</v>
      </c>
      <c r="Q237" s="13" t="s">
        <v>38</v>
      </c>
      <c r="R237" s="13" t="s">
        <v>1150</v>
      </c>
      <c r="S237" s="13" t="s">
        <v>74</v>
      </c>
      <c r="T237" s="28">
        <v>23.49</v>
      </c>
      <c r="U237" s="13" t="s">
        <v>28</v>
      </c>
      <c r="V237" s="13" t="s">
        <v>146</v>
      </c>
      <c r="W237" s="13" t="s">
        <v>72</v>
      </c>
      <c r="X237" s="17">
        <f t="shared" si="18"/>
        <v>44774</v>
      </c>
      <c r="Y237" s="3"/>
    </row>
    <row r="238" spans="1:25" ht="45" customHeight="1">
      <c r="A238" s="3">
        <v>236</v>
      </c>
      <c r="B238" s="13" t="s">
        <v>1151</v>
      </c>
      <c r="C238" s="13" t="s">
        <v>26</v>
      </c>
      <c r="D238" s="13" t="s">
        <v>1152</v>
      </c>
      <c r="E238" s="13" t="s">
        <v>28</v>
      </c>
      <c r="F238" s="13" t="s">
        <v>29</v>
      </c>
      <c r="G238" s="13" t="s">
        <v>30</v>
      </c>
      <c r="H238" s="13" t="s">
        <v>1031</v>
      </c>
      <c r="I238" s="27" t="s">
        <v>1153</v>
      </c>
      <c r="J238" s="27" t="s">
        <v>33</v>
      </c>
      <c r="K238" s="27" t="s">
        <v>34</v>
      </c>
      <c r="L238" s="27" t="s">
        <v>35</v>
      </c>
      <c r="M238" s="27" t="s">
        <v>36</v>
      </c>
      <c r="N238" s="17">
        <f t="shared" si="17"/>
        <v>44743</v>
      </c>
      <c r="O238" s="13" t="s">
        <v>34</v>
      </c>
      <c r="P238" s="13" t="s">
        <v>1154</v>
      </c>
      <c r="Q238" s="13" t="s">
        <v>38</v>
      </c>
      <c r="R238" s="13" t="s">
        <v>1155</v>
      </c>
      <c r="S238" s="13" t="s">
        <v>37</v>
      </c>
      <c r="T238" s="28">
        <v>26.86</v>
      </c>
      <c r="U238" s="13" t="s">
        <v>28</v>
      </c>
      <c r="V238" s="13" t="s">
        <v>146</v>
      </c>
      <c r="W238" s="13" t="s">
        <v>30</v>
      </c>
      <c r="X238" s="17">
        <f t="shared" si="18"/>
        <v>44774</v>
      </c>
      <c r="Y238" s="3"/>
    </row>
    <row r="239" spans="1:25" ht="45" customHeight="1">
      <c r="A239" s="3">
        <v>237</v>
      </c>
      <c r="B239" s="13" t="s">
        <v>1156</v>
      </c>
      <c r="C239" s="13" t="s">
        <v>26</v>
      </c>
      <c r="D239" s="13" t="s">
        <v>1157</v>
      </c>
      <c r="E239" s="13" t="s">
        <v>28</v>
      </c>
      <c r="F239" s="13" t="s">
        <v>29</v>
      </c>
      <c r="G239" s="13" t="s">
        <v>72</v>
      </c>
      <c r="H239" s="13" t="s">
        <v>1031</v>
      </c>
      <c r="I239" s="27" t="s">
        <v>1158</v>
      </c>
      <c r="J239" s="27" t="s">
        <v>33</v>
      </c>
      <c r="K239" s="27" t="s">
        <v>34</v>
      </c>
      <c r="L239" s="27" t="s">
        <v>35</v>
      </c>
      <c r="M239" s="27" t="s">
        <v>36</v>
      </c>
      <c r="N239" s="17">
        <f t="shared" si="17"/>
        <v>44743</v>
      </c>
      <c r="O239" s="13" t="s">
        <v>34</v>
      </c>
      <c r="P239" s="13" t="s">
        <v>1149</v>
      </c>
      <c r="Q239" s="13" t="s">
        <v>38</v>
      </c>
      <c r="R239" s="13" t="s">
        <v>1159</v>
      </c>
      <c r="S239" s="13" t="s">
        <v>74</v>
      </c>
      <c r="T239" s="28">
        <v>29.06</v>
      </c>
      <c r="U239" s="13" t="s">
        <v>28</v>
      </c>
      <c r="V239" s="13" t="s">
        <v>146</v>
      </c>
      <c r="W239" s="13" t="s">
        <v>72</v>
      </c>
      <c r="X239" s="17">
        <f t="shared" si="18"/>
        <v>44774</v>
      </c>
      <c r="Y239" s="3"/>
    </row>
    <row r="240" spans="1:25" ht="45" customHeight="1">
      <c r="A240" s="3">
        <v>238</v>
      </c>
      <c r="B240" s="13" t="s">
        <v>1160</v>
      </c>
      <c r="C240" s="13" t="s">
        <v>26</v>
      </c>
      <c r="D240" s="13" t="s">
        <v>1161</v>
      </c>
      <c r="E240" s="13" t="s">
        <v>28</v>
      </c>
      <c r="F240" s="13" t="s">
        <v>475</v>
      </c>
      <c r="G240" s="13" t="s">
        <v>476</v>
      </c>
      <c r="H240" s="13" t="s">
        <v>406</v>
      </c>
      <c r="I240" s="27" t="s">
        <v>1162</v>
      </c>
      <c r="J240" s="27" t="s">
        <v>33</v>
      </c>
      <c r="K240" s="27" t="s">
        <v>34</v>
      </c>
      <c r="L240" s="27" t="s">
        <v>35</v>
      </c>
      <c r="M240" s="27" t="s">
        <v>36</v>
      </c>
      <c r="N240" s="17">
        <f t="shared" si="17"/>
        <v>44743</v>
      </c>
      <c r="O240" s="13" t="s">
        <v>34</v>
      </c>
      <c r="P240" s="13" t="s">
        <v>473</v>
      </c>
      <c r="Q240" s="13" t="s">
        <v>38</v>
      </c>
      <c r="R240" s="13" t="s">
        <v>1163</v>
      </c>
      <c r="S240" s="13" t="s">
        <v>478</v>
      </c>
      <c r="T240" s="28">
        <v>25.34</v>
      </c>
      <c r="U240" s="13" t="s">
        <v>28</v>
      </c>
      <c r="V240" s="13" t="s">
        <v>89</v>
      </c>
      <c r="W240" s="13" t="s">
        <v>476</v>
      </c>
      <c r="X240" s="17">
        <f t="shared" si="18"/>
        <v>44774</v>
      </c>
      <c r="Y240" s="3"/>
    </row>
    <row r="241" spans="1:25" ht="45" customHeight="1">
      <c r="A241" s="3">
        <v>239</v>
      </c>
      <c r="B241" s="13" t="s">
        <v>1164</v>
      </c>
      <c r="C241" s="13" t="s">
        <v>26</v>
      </c>
      <c r="D241" s="13" t="s">
        <v>1095</v>
      </c>
      <c r="E241" s="13" t="s">
        <v>499</v>
      </c>
      <c r="F241" s="13" t="s">
        <v>29</v>
      </c>
      <c r="G241" s="13" t="s">
        <v>43</v>
      </c>
      <c r="H241" s="13" t="s">
        <v>406</v>
      </c>
      <c r="I241" s="27" t="s">
        <v>1165</v>
      </c>
      <c r="J241" s="27" t="s">
        <v>33</v>
      </c>
      <c r="K241" s="27" t="s">
        <v>34</v>
      </c>
      <c r="L241" s="27" t="s">
        <v>35</v>
      </c>
      <c r="M241" s="27" t="s">
        <v>36</v>
      </c>
      <c r="N241" s="17">
        <f t="shared" si="17"/>
        <v>44743</v>
      </c>
      <c r="O241" s="13" t="s">
        <v>34</v>
      </c>
      <c r="P241" s="13" t="s">
        <v>37</v>
      </c>
      <c r="Q241" s="13" t="s">
        <v>501</v>
      </c>
      <c r="R241" s="13" t="s">
        <v>1166</v>
      </c>
      <c r="S241" s="13" t="s">
        <v>441</v>
      </c>
      <c r="T241" s="28">
        <v>23.59</v>
      </c>
      <c r="U241" s="13" t="s">
        <v>499</v>
      </c>
      <c r="V241" s="13" t="s">
        <v>53</v>
      </c>
      <c r="W241" s="13" t="s">
        <v>43</v>
      </c>
      <c r="X241" s="17">
        <f t="shared" si="18"/>
        <v>44774</v>
      </c>
      <c r="Y241" s="3"/>
    </row>
    <row r="242" spans="1:25" ht="45" customHeight="1">
      <c r="A242" s="3">
        <v>240</v>
      </c>
      <c r="B242" s="13" t="s">
        <v>1167</v>
      </c>
      <c r="C242" s="13" t="s">
        <v>103</v>
      </c>
      <c r="D242" s="13" t="s">
        <v>1168</v>
      </c>
      <c r="E242" s="13" t="s">
        <v>28</v>
      </c>
      <c r="F242" s="13" t="s">
        <v>475</v>
      </c>
      <c r="G242" s="13" t="s">
        <v>476</v>
      </c>
      <c r="H242" s="13" t="s">
        <v>406</v>
      </c>
      <c r="I242" s="27" t="s">
        <v>1169</v>
      </c>
      <c r="J242" s="27" t="s">
        <v>33</v>
      </c>
      <c r="K242" s="27" t="s">
        <v>106</v>
      </c>
      <c r="L242" s="27" t="s">
        <v>35</v>
      </c>
      <c r="M242" s="27" t="s">
        <v>36</v>
      </c>
      <c r="N242" s="17">
        <f t="shared" si="17"/>
        <v>44743</v>
      </c>
      <c r="O242" s="13" t="s">
        <v>34</v>
      </c>
      <c r="P242" s="13" t="s">
        <v>473</v>
      </c>
      <c r="Q242" s="13" t="s">
        <v>38</v>
      </c>
      <c r="R242" s="13" t="s">
        <v>1170</v>
      </c>
      <c r="S242" s="13" t="s">
        <v>478</v>
      </c>
      <c r="T242" s="28">
        <v>26.94</v>
      </c>
      <c r="U242" s="13" t="s">
        <v>28</v>
      </c>
      <c r="V242" s="13" t="s">
        <v>146</v>
      </c>
      <c r="W242" s="13" t="s">
        <v>476</v>
      </c>
      <c r="X242" s="17">
        <f t="shared" si="18"/>
        <v>44774</v>
      </c>
      <c r="Y242" s="3"/>
    </row>
    <row r="243" spans="1:25" ht="45" customHeight="1">
      <c r="A243" s="3">
        <v>241</v>
      </c>
      <c r="B243" s="13" t="s">
        <v>1171</v>
      </c>
      <c r="C243" s="13" t="s">
        <v>103</v>
      </c>
      <c r="D243" s="13" t="s">
        <v>1172</v>
      </c>
      <c r="E243" s="13" t="s">
        <v>28</v>
      </c>
      <c r="F243" s="13" t="s">
        <v>29</v>
      </c>
      <c r="G243" s="13" t="s">
        <v>72</v>
      </c>
      <c r="H243" s="13" t="s">
        <v>1031</v>
      </c>
      <c r="I243" s="27" t="s">
        <v>1173</v>
      </c>
      <c r="J243" s="27" t="s">
        <v>33</v>
      </c>
      <c r="K243" s="27" t="s">
        <v>106</v>
      </c>
      <c r="L243" s="27" t="s">
        <v>35</v>
      </c>
      <c r="M243" s="27" t="s">
        <v>36</v>
      </c>
      <c r="N243" s="17">
        <f t="shared" si="17"/>
        <v>44743</v>
      </c>
      <c r="O243" s="13" t="s">
        <v>34</v>
      </c>
      <c r="P243" s="13" t="s">
        <v>1149</v>
      </c>
      <c r="Q243" s="13" t="s">
        <v>38</v>
      </c>
      <c r="R243" s="13" t="s">
        <v>1174</v>
      </c>
      <c r="S243" s="13" t="s">
        <v>74</v>
      </c>
      <c r="T243" s="28">
        <v>26.75</v>
      </c>
      <c r="U243" s="13" t="s">
        <v>28</v>
      </c>
      <c r="V243" s="13" t="s">
        <v>146</v>
      </c>
      <c r="W243" s="13" t="s">
        <v>72</v>
      </c>
      <c r="X243" s="17">
        <f t="shared" si="18"/>
        <v>44774</v>
      </c>
      <c r="Y243" s="3"/>
    </row>
    <row r="244" spans="1:25" ht="45" customHeight="1">
      <c r="A244" s="3">
        <v>242</v>
      </c>
      <c r="B244" s="13" t="s">
        <v>1175</v>
      </c>
      <c r="C244" s="13" t="s">
        <v>26</v>
      </c>
      <c r="D244" s="13" t="s">
        <v>1176</v>
      </c>
      <c r="E244" s="13" t="s">
        <v>499</v>
      </c>
      <c r="F244" s="13" t="s">
        <v>475</v>
      </c>
      <c r="G244" s="13" t="s">
        <v>476</v>
      </c>
      <c r="H244" s="13" t="s">
        <v>406</v>
      </c>
      <c r="I244" s="27" t="s">
        <v>1177</v>
      </c>
      <c r="J244" s="27" t="s">
        <v>33</v>
      </c>
      <c r="K244" s="27" t="s">
        <v>34</v>
      </c>
      <c r="L244" s="27" t="s">
        <v>35</v>
      </c>
      <c r="M244" s="27" t="s">
        <v>36</v>
      </c>
      <c r="N244" s="17">
        <f t="shared" si="17"/>
        <v>44743</v>
      </c>
      <c r="O244" s="13" t="s">
        <v>107</v>
      </c>
      <c r="P244" s="13" t="s">
        <v>473</v>
      </c>
      <c r="Q244" s="13" t="s">
        <v>501</v>
      </c>
      <c r="R244" s="13" t="s">
        <v>1178</v>
      </c>
      <c r="S244" s="13" t="s">
        <v>478</v>
      </c>
      <c r="T244" s="28">
        <v>25.9</v>
      </c>
      <c r="U244" s="13" t="s">
        <v>499</v>
      </c>
      <c r="V244" s="13" t="s">
        <v>146</v>
      </c>
      <c r="W244" s="13" t="s">
        <v>476</v>
      </c>
      <c r="X244" s="17">
        <f t="shared" si="18"/>
        <v>44774</v>
      </c>
      <c r="Y244" s="3"/>
    </row>
    <row r="245" spans="1:25" ht="45" customHeight="1">
      <c r="A245" s="3">
        <v>243</v>
      </c>
      <c r="B245" s="13" t="s">
        <v>1179</v>
      </c>
      <c r="C245" s="13" t="s">
        <v>26</v>
      </c>
      <c r="D245" s="13" t="s">
        <v>1180</v>
      </c>
      <c r="E245" s="13" t="s">
        <v>28</v>
      </c>
      <c r="F245" s="13" t="s">
        <v>29</v>
      </c>
      <c r="G245" s="13" t="s">
        <v>56</v>
      </c>
      <c r="H245" s="13" t="s">
        <v>1031</v>
      </c>
      <c r="I245" s="27" t="s">
        <v>1181</v>
      </c>
      <c r="J245" s="27" t="s">
        <v>33</v>
      </c>
      <c r="K245" s="27" t="s">
        <v>34</v>
      </c>
      <c r="L245" s="27" t="s">
        <v>35</v>
      </c>
      <c r="M245" s="27" t="s">
        <v>36</v>
      </c>
      <c r="N245" s="17">
        <f t="shared" si="17"/>
        <v>44743</v>
      </c>
      <c r="O245" s="13" t="s">
        <v>34</v>
      </c>
      <c r="P245" s="13" t="s">
        <v>58</v>
      </c>
      <c r="Q245" s="13" t="s">
        <v>38</v>
      </c>
      <c r="R245" s="13" t="s">
        <v>1182</v>
      </c>
      <c r="S245" s="13" t="s">
        <v>58</v>
      </c>
      <c r="T245" s="28">
        <v>22.49</v>
      </c>
      <c r="U245" s="13" t="s">
        <v>28</v>
      </c>
      <c r="V245" s="13" t="s">
        <v>53</v>
      </c>
      <c r="W245" s="13" t="s">
        <v>56</v>
      </c>
      <c r="X245" s="17">
        <f t="shared" si="18"/>
        <v>44774</v>
      </c>
      <c r="Y245" s="3"/>
    </row>
    <row r="246" spans="1:25" ht="45" customHeight="1">
      <c r="A246" s="3">
        <v>244</v>
      </c>
      <c r="B246" s="13" t="s">
        <v>1183</v>
      </c>
      <c r="C246" s="13" t="s">
        <v>26</v>
      </c>
      <c r="D246" s="13" t="s">
        <v>1184</v>
      </c>
      <c r="E246" s="13" t="s">
        <v>28</v>
      </c>
      <c r="F246" s="13" t="s">
        <v>29</v>
      </c>
      <c r="G246" s="13" t="s">
        <v>72</v>
      </c>
      <c r="H246" s="13" t="s">
        <v>1031</v>
      </c>
      <c r="I246" s="27" t="s">
        <v>1185</v>
      </c>
      <c r="J246" s="27" t="s">
        <v>33</v>
      </c>
      <c r="K246" s="27" t="s">
        <v>34</v>
      </c>
      <c r="L246" s="27" t="s">
        <v>35</v>
      </c>
      <c r="M246" s="27" t="s">
        <v>36</v>
      </c>
      <c r="N246" s="17">
        <f t="shared" si="17"/>
        <v>44743</v>
      </c>
      <c r="O246" s="13" t="s">
        <v>34</v>
      </c>
      <c r="P246" s="13" t="s">
        <v>1149</v>
      </c>
      <c r="Q246" s="13" t="s">
        <v>38</v>
      </c>
      <c r="R246" s="13" t="s">
        <v>1186</v>
      </c>
      <c r="S246" s="13" t="s">
        <v>74</v>
      </c>
      <c r="T246" s="28">
        <v>33.26</v>
      </c>
      <c r="U246" s="13" t="s">
        <v>28</v>
      </c>
      <c r="V246" s="13" t="s">
        <v>146</v>
      </c>
      <c r="W246" s="13" t="s">
        <v>72</v>
      </c>
      <c r="X246" s="17">
        <f t="shared" si="18"/>
        <v>44774</v>
      </c>
      <c r="Y246" s="3"/>
    </row>
    <row r="247" spans="1:25" ht="45" customHeight="1">
      <c r="A247" s="3">
        <v>245</v>
      </c>
      <c r="B247" s="13" t="s">
        <v>1187</v>
      </c>
      <c r="C247" s="13" t="s">
        <v>26</v>
      </c>
      <c r="D247" s="13" t="s">
        <v>1188</v>
      </c>
      <c r="E247" s="13" t="s">
        <v>28</v>
      </c>
      <c r="F247" s="13" t="s">
        <v>29</v>
      </c>
      <c r="G247" s="13" t="s">
        <v>56</v>
      </c>
      <c r="H247" s="13" t="s">
        <v>1031</v>
      </c>
      <c r="I247" s="27" t="s">
        <v>1189</v>
      </c>
      <c r="J247" s="27" t="s">
        <v>33</v>
      </c>
      <c r="K247" s="27" t="s">
        <v>34</v>
      </c>
      <c r="L247" s="27" t="s">
        <v>35</v>
      </c>
      <c r="M247" s="27" t="s">
        <v>36</v>
      </c>
      <c r="N247" s="17">
        <f t="shared" si="17"/>
        <v>44743</v>
      </c>
      <c r="O247" s="13" t="s">
        <v>34</v>
      </c>
      <c r="P247" s="13" t="s">
        <v>1033</v>
      </c>
      <c r="Q247" s="13" t="s">
        <v>38</v>
      </c>
      <c r="R247" s="13" t="s">
        <v>1190</v>
      </c>
      <c r="S247" s="13" t="s">
        <v>58</v>
      </c>
      <c r="T247" s="28">
        <v>28</v>
      </c>
      <c r="U247" s="13" t="s">
        <v>28</v>
      </c>
      <c r="V247" s="13" t="s">
        <v>146</v>
      </c>
      <c r="W247" s="13" t="s">
        <v>56</v>
      </c>
      <c r="X247" s="17">
        <f t="shared" si="18"/>
        <v>44774</v>
      </c>
      <c r="Y247" s="3"/>
    </row>
    <row r="248" spans="1:25" ht="45" customHeight="1">
      <c r="A248" s="3">
        <v>246</v>
      </c>
      <c r="B248" s="13" t="s">
        <v>1191</v>
      </c>
      <c r="C248" s="13" t="s">
        <v>26</v>
      </c>
      <c r="D248" s="13" t="s">
        <v>1192</v>
      </c>
      <c r="E248" s="13" t="s">
        <v>28</v>
      </c>
      <c r="F248" s="13" t="s">
        <v>29</v>
      </c>
      <c r="G248" s="13" t="s">
        <v>43</v>
      </c>
      <c r="H248" s="13" t="s">
        <v>31</v>
      </c>
      <c r="I248" s="27" t="s">
        <v>1193</v>
      </c>
      <c r="J248" s="27" t="s">
        <v>33</v>
      </c>
      <c r="K248" s="27" t="s">
        <v>34</v>
      </c>
      <c r="L248" s="27" t="s">
        <v>35</v>
      </c>
      <c r="M248" s="27" t="s">
        <v>36</v>
      </c>
      <c r="N248" s="17">
        <f t="shared" si="17"/>
        <v>44743</v>
      </c>
      <c r="O248" s="13" t="s">
        <v>34</v>
      </c>
      <c r="P248" s="13" t="s">
        <v>37</v>
      </c>
      <c r="Q248" s="13" t="s">
        <v>38</v>
      </c>
      <c r="R248" s="13" t="s">
        <v>1194</v>
      </c>
      <c r="S248" s="13" t="s">
        <v>37</v>
      </c>
      <c r="T248" s="28">
        <v>40</v>
      </c>
      <c r="U248" s="13" t="s">
        <v>28</v>
      </c>
      <c r="V248" s="13" t="s">
        <v>40</v>
      </c>
      <c r="W248" s="13" t="s">
        <v>43</v>
      </c>
      <c r="X248" s="17">
        <f t="shared" si="18"/>
        <v>44774</v>
      </c>
      <c r="Y248" s="3"/>
    </row>
    <row r="249" spans="1:25" ht="45" customHeight="1">
      <c r="A249" s="3">
        <v>247</v>
      </c>
      <c r="B249" s="13" t="s">
        <v>1195</v>
      </c>
      <c r="C249" s="13" t="s">
        <v>103</v>
      </c>
      <c r="D249" s="13" t="s">
        <v>1196</v>
      </c>
      <c r="E249" s="13" t="s">
        <v>28</v>
      </c>
      <c r="F249" s="13" t="s">
        <v>29</v>
      </c>
      <c r="G249" s="13" t="s">
        <v>123</v>
      </c>
      <c r="H249" s="13" t="s">
        <v>31</v>
      </c>
      <c r="I249" s="27" t="s">
        <v>1197</v>
      </c>
      <c r="J249" s="27" t="s">
        <v>33</v>
      </c>
      <c r="K249" s="27" t="s">
        <v>106</v>
      </c>
      <c r="L249" s="27" t="s">
        <v>35</v>
      </c>
      <c r="M249" s="27" t="s">
        <v>36</v>
      </c>
      <c r="N249" s="17">
        <f t="shared" si="17"/>
        <v>44743</v>
      </c>
      <c r="O249" s="13" t="s">
        <v>1198</v>
      </c>
      <c r="P249" s="13" t="s">
        <v>1199</v>
      </c>
      <c r="Q249" s="13" t="s">
        <v>38</v>
      </c>
      <c r="R249" s="13" t="s">
        <v>1200</v>
      </c>
      <c r="S249" s="13" t="s">
        <v>127</v>
      </c>
      <c r="T249" s="28">
        <v>30.24</v>
      </c>
      <c r="U249" s="13" t="s">
        <v>28</v>
      </c>
      <c r="V249" s="13" t="s">
        <v>53</v>
      </c>
      <c r="W249" s="13" t="s">
        <v>128</v>
      </c>
      <c r="X249" s="17">
        <f t="shared" si="18"/>
        <v>44774</v>
      </c>
      <c r="Y249" s="3"/>
    </row>
    <row r="250" spans="1:25" ht="45" customHeight="1">
      <c r="A250" s="3">
        <v>248</v>
      </c>
      <c r="B250" s="13" t="s">
        <v>1201</v>
      </c>
      <c r="C250" s="13" t="s">
        <v>26</v>
      </c>
      <c r="D250" s="13" t="s">
        <v>1202</v>
      </c>
      <c r="E250" s="13" t="s">
        <v>28</v>
      </c>
      <c r="F250" s="13" t="s">
        <v>29</v>
      </c>
      <c r="G250" s="13" t="s">
        <v>1058</v>
      </c>
      <c r="H250" s="13" t="s">
        <v>1031</v>
      </c>
      <c r="I250" s="27" t="s">
        <v>1203</v>
      </c>
      <c r="J250" s="27" t="s">
        <v>33</v>
      </c>
      <c r="K250" s="27" t="s">
        <v>34</v>
      </c>
      <c r="L250" s="27" t="s">
        <v>35</v>
      </c>
      <c r="M250" s="27" t="s">
        <v>36</v>
      </c>
      <c r="N250" s="17">
        <f t="shared" si="17"/>
        <v>44743</v>
      </c>
      <c r="O250" s="13" t="s">
        <v>34</v>
      </c>
      <c r="P250" s="13" t="s">
        <v>230</v>
      </c>
      <c r="Q250" s="13" t="s">
        <v>38</v>
      </c>
      <c r="R250" s="13" t="s">
        <v>1204</v>
      </c>
      <c r="S250" s="13" t="s">
        <v>87</v>
      </c>
      <c r="T250" s="28">
        <v>21.45</v>
      </c>
      <c r="U250" s="13" t="s">
        <v>28</v>
      </c>
      <c r="V250" s="13" t="s">
        <v>146</v>
      </c>
      <c r="W250" s="13" t="s">
        <v>1058</v>
      </c>
      <c r="X250" s="17">
        <f t="shared" si="18"/>
        <v>44774</v>
      </c>
      <c r="Y250" s="3"/>
    </row>
    <row r="251" spans="1:25" ht="45" customHeight="1">
      <c r="A251" s="3">
        <v>249</v>
      </c>
      <c r="B251" s="13" t="s">
        <v>1205</v>
      </c>
      <c r="C251" s="13" t="s">
        <v>26</v>
      </c>
      <c r="D251" s="13" t="s">
        <v>1206</v>
      </c>
      <c r="E251" s="13" t="s">
        <v>28</v>
      </c>
      <c r="F251" s="13" t="s">
        <v>491</v>
      </c>
      <c r="G251" s="13" t="s">
        <v>830</v>
      </c>
      <c r="H251" s="13" t="s">
        <v>406</v>
      </c>
      <c r="I251" s="27" t="s">
        <v>1207</v>
      </c>
      <c r="J251" s="27" t="s">
        <v>33</v>
      </c>
      <c r="K251" s="27" t="s">
        <v>34</v>
      </c>
      <c r="L251" s="27" t="s">
        <v>35</v>
      </c>
      <c r="M251" s="27" t="s">
        <v>36</v>
      </c>
      <c r="N251" s="17">
        <f t="shared" si="17"/>
        <v>44743</v>
      </c>
      <c r="O251" s="13" t="s">
        <v>34</v>
      </c>
      <c r="P251" s="13" t="s">
        <v>505</v>
      </c>
      <c r="Q251" s="13" t="s">
        <v>38</v>
      </c>
      <c r="R251" s="13" t="s">
        <v>1208</v>
      </c>
      <c r="S251" s="13" t="s">
        <v>496</v>
      </c>
      <c r="T251" s="28">
        <v>21.83</v>
      </c>
      <c r="U251" s="13" t="s">
        <v>28</v>
      </c>
      <c r="V251" s="13" t="s">
        <v>89</v>
      </c>
      <c r="W251" s="13" t="s">
        <v>833</v>
      </c>
      <c r="X251" s="17">
        <f t="shared" si="18"/>
        <v>44774</v>
      </c>
      <c r="Y251" s="3"/>
    </row>
    <row r="252" spans="1:25" ht="45" customHeight="1">
      <c r="A252" s="3">
        <v>250</v>
      </c>
      <c r="B252" s="13" t="s">
        <v>1209</v>
      </c>
      <c r="C252" s="13" t="s">
        <v>103</v>
      </c>
      <c r="D252" s="13" t="s">
        <v>1210</v>
      </c>
      <c r="E252" s="13" t="s">
        <v>1211</v>
      </c>
      <c r="F252" s="13" t="s">
        <v>475</v>
      </c>
      <c r="G252" s="13" t="s">
        <v>559</v>
      </c>
      <c r="H252" s="13" t="s">
        <v>406</v>
      </c>
      <c r="I252" s="27" t="s">
        <v>1212</v>
      </c>
      <c r="J252" s="27" t="s">
        <v>33</v>
      </c>
      <c r="K252" s="27" t="s">
        <v>106</v>
      </c>
      <c r="L252" s="27" t="s">
        <v>35</v>
      </c>
      <c r="M252" s="27" t="s">
        <v>36</v>
      </c>
      <c r="N252" s="17">
        <f t="shared" si="17"/>
        <v>44743</v>
      </c>
      <c r="O252" s="13" t="s">
        <v>107</v>
      </c>
      <c r="P252" s="13" t="s">
        <v>557</v>
      </c>
      <c r="Q252" s="13" t="s">
        <v>465</v>
      </c>
      <c r="R252" s="13" t="s">
        <v>1213</v>
      </c>
      <c r="S252" s="13" t="s">
        <v>478</v>
      </c>
      <c r="T252" s="28">
        <v>26.83</v>
      </c>
      <c r="U252" s="13" t="s">
        <v>490</v>
      </c>
      <c r="V252" s="13" t="s">
        <v>752</v>
      </c>
      <c r="W252" s="13" t="s">
        <v>559</v>
      </c>
      <c r="X252" s="17">
        <f t="shared" si="18"/>
        <v>44774</v>
      </c>
      <c r="Y252" s="3"/>
    </row>
    <row r="253" spans="1:25" ht="45" customHeight="1">
      <c r="A253" s="3">
        <v>251</v>
      </c>
      <c r="B253" s="13" t="s">
        <v>1214</v>
      </c>
      <c r="C253" s="13" t="s">
        <v>26</v>
      </c>
      <c r="D253" s="13" t="s">
        <v>1215</v>
      </c>
      <c r="E253" s="13" t="s">
        <v>439</v>
      </c>
      <c r="F253" s="13" t="s">
        <v>29</v>
      </c>
      <c r="G253" s="13" t="s">
        <v>1216</v>
      </c>
      <c r="H253" s="13" t="s">
        <v>406</v>
      </c>
      <c r="I253" s="27" t="s">
        <v>1217</v>
      </c>
      <c r="J253" s="27" t="s">
        <v>33</v>
      </c>
      <c r="K253" s="27" t="s">
        <v>34</v>
      </c>
      <c r="L253" s="27" t="s">
        <v>208</v>
      </c>
      <c r="M253" s="27" t="s">
        <v>209</v>
      </c>
      <c r="N253" s="17">
        <f t="shared" si="17"/>
        <v>44743</v>
      </c>
      <c r="O253" s="13" t="s">
        <v>107</v>
      </c>
      <c r="P253" s="13" t="s">
        <v>503</v>
      </c>
      <c r="Q253" s="13" t="s">
        <v>439</v>
      </c>
      <c r="R253" s="13" t="s">
        <v>1218</v>
      </c>
      <c r="S253" s="13" t="s">
        <v>403</v>
      </c>
      <c r="T253" s="28">
        <v>31.85</v>
      </c>
      <c r="U253" s="13" t="s">
        <v>439</v>
      </c>
      <c r="V253" s="13" t="s">
        <v>413</v>
      </c>
      <c r="W253" s="13" t="s">
        <v>1219</v>
      </c>
      <c r="X253" s="17">
        <f t="shared" si="18"/>
        <v>44774</v>
      </c>
      <c r="Y253" s="3"/>
    </row>
    <row r="254" spans="1:25" ht="45" customHeight="1">
      <c r="A254" s="3">
        <v>252</v>
      </c>
      <c r="B254" s="13" t="s">
        <v>1220</v>
      </c>
      <c r="C254" s="13" t="s">
        <v>103</v>
      </c>
      <c r="D254" s="13" t="s">
        <v>1221</v>
      </c>
      <c r="E254" s="13" t="s">
        <v>499</v>
      </c>
      <c r="F254" s="13" t="s">
        <v>29</v>
      </c>
      <c r="G254" s="13" t="s">
        <v>1216</v>
      </c>
      <c r="H254" s="13" t="s">
        <v>406</v>
      </c>
      <c r="I254" s="27" t="s">
        <v>1222</v>
      </c>
      <c r="J254" s="27" t="s">
        <v>33</v>
      </c>
      <c r="K254" s="27" t="s">
        <v>106</v>
      </c>
      <c r="L254" s="27" t="s">
        <v>35</v>
      </c>
      <c r="M254" s="27" t="s">
        <v>36</v>
      </c>
      <c r="N254" s="17">
        <f t="shared" si="17"/>
        <v>44743</v>
      </c>
      <c r="O254" s="13" t="s">
        <v>107</v>
      </c>
      <c r="P254" s="13" t="s">
        <v>1215</v>
      </c>
      <c r="Q254" s="13" t="s">
        <v>501</v>
      </c>
      <c r="R254" s="13" t="s">
        <v>1223</v>
      </c>
      <c r="S254" s="13" t="s">
        <v>503</v>
      </c>
      <c r="T254" s="28">
        <v>24.4</v>
      </c>
      <c r="U254" s="13" t="s">
        <v>499</v>
      </c>
      <c r="V254" s="13" t="s">
        <v>53</v>
      </c>
      <c r="W254" s="13" t="s">
        <v>1219</v>
      </c>
      <c r="X254" s="17">
        <f t="shared" si="18"/>
        <v>44774</v>
      </c>
      <c r="Y254" s="3"/>
    </row>
    <row r="255" spans="1:25" ht="45" customHeight="1">
      <c r="A255" s="3">
        <v>253</v>
      </c>
      <c r="B255" s="13" t="s">
        <v>1224</v>
      </c>
      <c r="C255" s="13" t="s">
        <v>26</v>
      </c>
      <c r="D255" s="13" t="s">
        <v>1225</v>
      </c>
      <c r="E255" s="13" t="s">
        <v>28</v>
      </c>
      <c r="F255" s="13" t="s">
        <v>29</v>
      </c>
      <c r="G255" s="13" t="s">
        <v>79</v>
      </c>
      <c r="H255" s="13" t="s">
        <v>1031</v>
      </c>
      <c r="I255" s="27" t="s">
        <v>1226</v>
      </c>
      <c r="J255" s="27" t="s">
        <v>33</v>
      </c>
      <c r="K255" s="27" t="s">
        <v>34</v>
      </c>
      <c r="L255" s="27" t="s">
        <v>35</v>
      </c>
      <c r="M255" s="27" t="s">
        <v>36</v>
      </c>
      <c r="N255" s="17">
        <f t="shared" si="17"/>
        <v>44743</v>
      </c>
      <c r="O255" s="13" t="s">
        <v>34</v>
      </c>
      <c r="P255" s="13" t="s">
        <v>263</v>
      </c>
      <c r="Q255" s="13" t="s">
        <v>38</v>
      </c>
      <c r="R255" s="13" t="s">
        <v>1227</v>
      </c>
      <c r="S255" s="13" t="s">
        <v>81</v>
      </c>
      <c r="T255" s="28">
        <v>25.38</v>
      </c>
      <c r="U255" s="13" t="s">
        <v>28</v>
      </c>
      <c r="V255" s="13" t="s">
        <v>53</v>
      </c>
      <c r="W255" s="13" t="s">
        <v>79</v>
      </c>
      <c r="X255" s="17">
        <f t="shared" si="18"/>
        <v>44774</v>
      </c>
      <c r="Y255" s="3"/>
    </row>
    <row r="256" spans="1:25" ht="45" customHeight="1">
      <c r="A256" s="3">
        <v>254</v>
      </c>
      <c r="B256" s="13" t="s">
        <v>1228</v>
      </c>
      <c r="C256" s="13" t="s">
        <v>26</v>
      </c>
      <c r="D256" s="13" t="s">
        <v>1229</v>
      </c>
      <c r="E256" s="13" t="s">
        <v>28</v>
      </c>
      <c r="F256" s="13" t="s">
        <v>29</v>
      </c>
      <c r="G256" s="13" t="s">
        <v>1216</v>
      </c>
      <c r="H256" s="13" t="s">
        <v>1031</v>
      </c>
      <c r="I256" s="27" t="s">
        <v>1230</v>
      </c>
      <c r="J256" s="27" t="s">
        <v>33</v>
      </c>
      <c r="K256" s="27" t="s">
        <v>34</v>
      </c>
      <c r="L256" s="27" t="s">
        <v>35</v>
      </c>
      <c r="M256" s="27" t="s">
        <v>36</v>
      </c>
      <c r="N256" s="17">
        <f t="shared" si="17"/>
        <v>44743</v>
      </c>
      <c r="O256" s="13" t="s">
        <v>34</v>
      </c>
      <c r="P256" s="13" t="s">
        <v>1231</v>
      </c>
      <c r="Q256" s="13" t="s">
        <v>38</v>
      </c>
      <c r="R256" s="13" t="s">
        <v>365</v>
      </c>
      <c r="S256" s="13" t="s">
        <v>1215</v>
      </c>
      <c r="T256" s="28">
        <v>27.82</v>
      </c>
      <c r="U256" s="13" t="s">
        <v>28</v>
      </c>
      <c r="V256" s="13" t="s">
        <v>89</v>
      </c>
      <c r="W256" s="13" t="s">
        <v>1219</v>
      </c>
      <c r="X256" s="17">
        <f t="shared" si="18"/>
        <v>44774</v>
      </c>
      <c r="Y256" s="3"/>
    </row>
    <row r="257" spans="1:25" ht="45" customHeight="1">
      <c r="A257" s="3">
        <v>255</v>
      </c>
      <c r="B257" s="13" t="s">
        <v>1232</v>
      </c>
      <c r="C257" s="13" t="s">
        <v>26</v>
      </c>
      <c r="D257" s="13" t="s">
        <v>1233</v>
      </c>
      <c r="E257" s="13" t="s">
        <v>28</v>
      </c>
      <c r="F257" s="13" t="s">
        <v>491</v>
      </c>
      <c r="G257" s="13" t="s">
        <v>1042</v>
      </c>
      <c r="H257" s="13" t="s">
        <v>406</v>
      </c>
      <c r="I257" s="27" t="s">
        <v>1234</v>
      </c>
      <c r="J257" s="27" t="s">
        <v>33</v>
      </c>
      <c r="K257" s="27" t="s">
        <v>34</v>
      </c>
      <c r="L257" s="27" t="s">
        <v>35</v>
      </c>
      <c r="M257" s="27" t="s">
        <v>36</v>
      </c>
      <c r="N257" s="17">
        <f t="shared" si="17"/>
        <v>44743</v>
      </c>
      <c r="O257" s="13" t="s">
        <v>34</v>
      </c>
      <c r="P257" s="13" t="s">
        <v>717</v>
      </c>
      <c r="Q257" s="13" t="s">
        <v>38</v>
      </c>
      <c r="R257" s="13" t="s">
        <v>365</v>
      </c>
      <c r="S257" s="13" t="s">
        <v>496</v>
      </c>
      <c r="T257" s="28">
        <v>27.07</v>
      </c>
      <c r="U257" s="13" t="s">
        <v>28</v>
      </c>
      <c r="V257" s="13" t="s">
        <v>146</v>
      </c>
      <c r="W257" s="13" t="s">
        <v>1042</v>
      </c>
      <c r="X257" s="17">
        <f t="shared" si="18"/>
        <v>44774</v>
      </c>
      <c r="Y257" s="3"/>
    </row>
    <row r="258" spans="1:25" ht="45" customHeight="1">
      <c r="A258" s="3">
        <v>256</v>
      </c>
      <c r="B258" s="13" t="s">
        <v>1235</v>
      </c>
      <c r="C258" s="13" t="s">
        <v>103</v>
      </c>
      <c r="D258" s="13" t="s">
        <v>1236</v>
      </c>
      <c r="E258" s="13" t="s">
        <v>28</v>
      </c>
      <c r="F258" s="13" t="s">
        <v>491</v>
      </c>
      <c r="G258" s="13" t="s">
        <v>1042</v>
      </c>
      <c r="H258" s="13" t="s">
        <v>406</v>
      </c>
      <c r="I258" s="27" t="s">
        <v>1237</v>
      </c>
      <c r="J258" s="27" t="s">
        <v>33</v>
      </c>
      <c r="K258" s="27" t="s">
        <v>106</v>
      </c>
      <c r="L258" s="27" t="s">
        <v>35</v>
      </c>
      <c r="M258" s="27" t="s">
        <v>36</v>
      </c>
      <c r="N258" s="17">
        <f t="shared" si="17"/>
        <v>44743</v>
      </c>
      <c r="O258" s="13" t="s">
        <v>34</v>
      </c>
      <c r="P258" s="13" t="s">
        <v>717</v>
      </c>
      <c r="Q258" s="13" t="s">
        <v>38</v>
      </c>
      <c r="R258" s="13" t="s">
        <v>1238</v>
      </c>
      <c r="S258" s="13" t="s">
        <v>496</v>
      </c>
      <c r="T258" s="28">
        <v>26.63</v>
      </c>
      <c r="U258" s="13" t="s">
        <v>28</v>
      </c>
      <c r="V258" s="13" t="s">
        <v>146</v>
      </c>
      <c r="W258" s="13" t="s">
        <v>1042</v>
      </c>
      <c r="X258" s="17">
        <f t="shared" si="18"/>
        <v>44774</v>
      </c>
      <c r="Y258" s="3"/>
    </row>
    <row r="259" spans="1:25" ht="45" customHeight="1">
      <c r="A259" s="3">
        <v>257</v>
      </c>
      <c r="B259" s="13" t="s">
        <v>1239</v>
      </c>
      <c r="C259" s="13" t="s">
        <v>26</v>
      </c>
      <c r="D259" s="13" t="s">
        <v>1240</v>
      </c>
      <c r="E259" s="13" t="s">
        <v>762</v>
      </c>
      <c r="F259" s="13" t="s">
        <v>446</v>
      </c>
      <c r="G259" s="13" t="s">
        <v>615</v>
      </c>
      <c r="H259" s="13" t="s">
        <v>406</v>
      </c>
      <c r="I259" s="27" t="s">
        <v>1241</v>
      </c>
      <c r="J259" s="27" t="s">
        <v>33</v>
      </c>
      <c r="K259" s="27" t="s">
        <v>34</v>
      </c>
      <c r="L259" s="27" t="s">
        <v>35</v>
      </c>
      <c r="M259" s="27" t="s">
        <v>36</v>
      </c>
      <c r="N259" s="17">
        <f>DATE(2022,7,13)</f>
        <v>44755</v>
      </c>
      <c r="O259" s="13" t="s">
        <v>107</v>
      </c>
      <c r="P259" s="13" t="s">
        <v>966</v>
      </c>
      <c r="Q259" s="13" t="s">
        <v>670</v>
      </c>
      <c r="R259" s="13" t="s">
        <v>1242</v>
      </c>
      <c r="S259" s="13" t="s">
        <v>449</v>
      </c>
      <c r="T259" s="28">
        <v>40.65</v>
      </c>
      <c r="U259" s="13" t="s">
        <v>765</v>
      </c>
      <c r="V259" s="13" t="s">
        <v>53</v>
      </c>
      <c r="W259" s="13" t="s">
        <v>615</v>
      </c>
      <c r="X259" s="17">
        <f>DATE(2022,10,13)</f>
        <v>44847</v>
      </c>
      <c r="Y259" s="3"/>
    </row>
    <row r="260" spans="1:25" ht="45" customHeight="1">
      <c r="A260" s="3">
        <v>258</v>
      </c>
      <c r="B260" s="13" t="s">
        <v>1243</v>
      </c>
      <c r="C260" s="13" t="s">
        <v>26</v>
      </c>
      <c r="D260" s="13" t="s">
        <v>1244</v>
      </c>
      <c r="E260" s="13" t="s">
        <v>592</v>
      </c>
      <c r="F260" s="13" t="s">
        <v>706</v>
      </c>
      <c r="G260" s="13" t="s">
        <v>996</v>
      </c>
      <c r="H260" s="13" t="s">
        <v>706</v>
      </c>
      <c r="I260" s="27" t="s">
        <v>1245</v>
      </c>
      <c r="J260" s="27" t="s">
        <v>33</v>
      </c>
      <c r="K260" s="27" t="s">
        <v>34</v>
      </c>
      <c r="L260" s="27" t="s">
        <v>35</v>
      </c>
      <c r="M260" s="27" t="s">
        <v>36</v>
      </c>
      <c r="N260" s="17">
        <f>DATE(2022,7,1)</f>
        <v>44743</v>
      </c>
      <c r="O260" s="13" t="s">
        <v>107</v>
      </c>
      <c r="P260" s="13" t="s">
        <v>709</v>
      </c>
      <c r="Q260" s="13" t="s">
        <v>431</v>
      </c>
      <c r="R260" s="13" t="s">
        <v>1246</v>
      </c>
      <c r="S260" s="13" t="s">
        <v>458</v>
      </c>
      <c r="T260" s="28">
        <v>32.840000000000003</v>
      </c>
      <c r="U260" s="13" t="s">
        <v>427</v>
      </c>
      <c r="V260" s="13" t="s">
        <v>413</v>
      </c>
      <c r="W260" s="13" t="s">
        <v>999</v>
      </c>
      <c r="X260" s="17">
        <f>DATE(2022,10,1)</f>
        <v>44835</v>
      </c>
      <c r="Y260" s="3"/>
    </row>
    <row r="261" spans="1:25" ht="45" customHeight="1">
      <c r="A261" s="3">
        <v>259</v>
      </c>
      <c r="B261" s="13" t="s">
        <v>1247</v>
      </c>
      <c r="C261" s="13" t="s">
        <v>103</v>
      </c>
      <c r="D261" s="13" t="s">
        <v>1248</v>
      </c>
      <c r="E261" s="13" t="s">
        <v>499</v>
      </c>
      <c r="F261" s="13" t="s">
        <v>491</v>
      </c>
      <c r="G261" s="13" t="s">
        <v>830</v>
      </c>
      <c r="H261" s="13" t="s">
        <v>406</v>
      </c>
      <c r="I261" s="27" t="s">
        <v>1249</v>
      </c>
      <c r="J261" s="27" t="s">
        <v>33</v>
      </c>
      <c r="K261" s="27" t="s">
        <v>106</v>
      </c>
      <c r="L261" s="27" t="s">
        <v>35</v>
      </c>
      <c r="M261" s="27" t="s">
        <v>36</v>
      </c>
      <c r="N261" s="17">
        <f>DATE(2022,7,25)</f>
        <v>44767</v>
      </c>
      <c r="O261" s="13" t="s">
        <v>107</v>
      </c>
      <c r="P261" s="13" t="s">
        <v>505</v>
      </c>
      <c r="Q261" s="13" t="s">
        <v>501</v>
      </c>
      <c r="R261" s="13" t="s">
        <v>1250</v>
      </c>
      <c r="S261" s="13" t="s">
        <v>496</v>
      </c>
      <c r="T261" s="28">
        <v>28.87</v>
      </c>
      <c r="U261" s="13" t="s">
        <v>499</v>
      </c>
      <c r="V261" s="13" t="s">
        <v>89</v>
      </c>
      <c r="W261" s="13" t="s">
        <v>833</v>
      </c>
      <c r="X261" s="17">
        <f>DATE(2022,10,25)</f>
        <v>44859</v>
      </c>
      <c r="Y261" s="3"/>
    </row>
    <row r="262" spans="1:25" ht="45" customHeight="1">
      <c r="A262" s="3">
        <v>260</v>
      </c>
      <c r="B262" s="13" t="s">
        <v>1251</v>
      </c>
      <c r="C262" s="13" t="s">
        <v>103</v>
      </c>
      <c r="D262" s="13" t="s">
        <v>1252</v>
      </c>
      <c r="E262" s="13" t="s">
        <v>474</v>
      </c>
      <c r="F262" s="13" t="s">
        <v>491</v>
      </c>
      <c r="G262" s="13" t="s">
        <v>1022</v>
      </c>
      <c r="H262" s="13" t="s">
        <v>406</v>
      </c>
      <c r="I262" s="27" t="s">
        <v>1253</v>
      </c>
      <c r="J262" s="27" t="s">
        <v>33</v>
      </c>
      <c r="K262" s="27" t="s">
        <v>106</v>
      </c>
      <c r="L262" s="27" t="s">
        <v>35</v>
      </c>
      <c r="M262" s="27" t="s">
        <v>36</v>
      </c>
      <c r="N262" s="17">
        <f>DATE(2022,7,25)</f>
        <v>44767</v>
      </c>
      <c r="O262" s="13" t="s">
        <v>107</v>
      </c>
      <c r="P262" s="13" t="s">
        <v>1021</v>
      </c>
      <c r="Q262" s="13" t="s">
        <v>431</v>
      </c>
      <c r="R262" s="13" t="s">
        <v>1254</v>
      </c>
      <c r="S262" s="13" t="s">
        <v>496</v>
      </c>
      <c r="T262" s="28">
        <v>30.43</v>
      </c>
      <c r="U262" s="13" t="s">
        <v>474</v>
      </c>
      <c r="V262" s="13" t="s">
        <v>413</v>
      </c>
      <c r="W262" s="13" t="s">
        <v>1022</v>
      </c>
      <c r="X262" s="17">
        <f>DATE(2022,10,25)</f>
        <v>44859</v>
      </c>
      <c r="Y262" s="3"/>
    </row>
    <row r="263" spans="1:25" ht="45" customHeight="1">
      <c r="A263" s="3">
        <v>261</v>
      </c>
      <c r="B263" s="13" t="s">
        <v>1255</v>
      </c>
      <c r="C263" s="13" t="s">
        <v>26</v>
      </c>
      <c r="D263" s="13" t="s">
        <v>1256</v>
      </c>
      <c r="E263" s="13" t="s">
        <v>762</v>
      </c>
      <c r="F263" s="13" t="s">
        <v>446</v>
      </c>
      <c r="G263" s="13" t="s">
        <v>615</v>
      </c>
      <c r="H263" s="13" t="s">
        <v>406</v>
      </c>
      <c r="I263" s="27" t="s">
        <v>1257</v>
      </c>
      <c r="J263" s="27" t="s">
        <v>33</v>
      </c>
      <c r="K263" s="27" t="s">
        <v>34</v>
      </c>
      <c r="L263" s="27" t="s">
        <v>35</v>
      </c>
      <c r="M263" s="27" t="s">
        <v>36</v>
      </c>
      <c r="N263" s="17">
        <f>DATE(2022,7,28)</f>
        <v>44770</v>
      </c>
      <c r="O263" s="13" t="s">
        <v>107</v>
      </c>
      <c r="P263" s="13" t="s">
        <v>862</v>
      </c>
      <c r="Q263" s="13" t="s">
        <v>670</v>
      </c>
      <c r="R263" s="13" t="s">
        <v>1258</v>
      </c>
      <c r="S263" s="13" t="s">
        <v>449</v>
      </c>
      <c r="T263" s="28">
        <v>36.81</v>
      </c>
      <c r="U263" s="13" t="s">
        <v>765</v>
      </c>
      <c r="V263" s="13" t="s">
        <v>89</v>
      </c>
      <c r="W263" s="13" t="s">
        <v>615</v>
      </c>
      <c r="X263" s="17">
        <f>DATE(2022,10,28)</f>
        <v>44862</v>
      </c>
      <c r="Y263" s="3"/>
    </row>
    <row r="264" spans="1:25" ht="45" customHeight="1">
      <c r="A264" s="3">
        <v>262</v>
      </c>
      <c r="B264" s="13" t="s">
        <v>1259</v>
      </c>
      <c r="C264" s="13" t="s">
        <v>103</v>
      </c>
      <c r="D264" s="13" t="s">
        <v>1260</v>
      </c>
      <c r="E264" s="13" t="s">
        <v>668</v>
      </c>
      <c r="F264" s="13" t="s">
        <v>446</v>
      </c>
      <c r="G264" s="13" t="s">
        <v>447</v>
      </c>
      <c r="H264" s="13" t="s">
        <v>406</v>
      </c>
      <c r="I264" s="27" t="s">
        <v>1261</v>
      </c>
      <c r="J264" s="27" t="s">
        <v>33</v>
      </c>
      <c r="K264" s="27" t="s">
        <v>106</v>
      </c>
      <c r="L264" s="27" t="s">
        <v>35</v>
      </c>
      <c r="M264" s="27" t="s">
        <v>36</v>
      </c>
      <c r="N264" s="17">
        <f>DATE(2022,8,1)</f>
        <v>44774</v>
      </c>
      <c r="O264" s="13" t="s">
        <v>107</v>
      </c>
      <c r="P264" s="13" t="s">
        <v>449</v>
      </c>
      <c r="Q264" s="13" t="s">
        <v>670</v>
      </c>
      <c r="R264" s="13" t="s">
        <v>1262</v>
      </c>
      <c r="S264" s="13" t="s">
        <v>403</v>
      </c>
      <c r="T264" s="28">
        <v>26.14</v>
      </c>
      <c r="U264" s="13" t="s">
        <v>668</v>
      </c>
      <c r="V264" s="13" t="s">
        <v>799</v>
      </c>
      <c r="W264" s="13" t="s">
        <v>447</v>
      </c>
      <c r="X264" s="17">
        <f>DATE(2022,11,1)</f>
        <v>44866</v>
      </c>
      <c r="Y264" s="3"/>
    </row>
    <row r="265" spans="1:25" ht="45" customHeight="1">
      <c r="A265" s="3">
        <v>263</v>
      </c>
      <c r="B265" s="13" t="s">
        <v>1263</v>
      </c>
      <c r="C265" s="13" t="s">
        <v>103</v>
      </c>
      <c r="D265" s="13" t="s">
        <v>1100</v>
      </c>
      <c r="E265" s="13" t="s">
        <v>1126</v>
      </c>
      <c r="F265" s="13" t="s">
        <v>29</v>
      </c>
      <c r="G265" s="13" t="s">
        <v>72</v>
      </c>
      <c r="H265" s="13" t="s">
        <v>406</v>
      </c>
      <c r="I265" s="27" t="s">
        <v>1264</v>
      </c>
      <c r="J265" s="27" t="s">
        <v>33</v>
      </c>
      <c r="K265" s="27" t="s">
        <v>106</v>
      </c>
      <c r="L265" s="27" t="s">
        <v>35</v>
      </c>
      <c r="M265" s="27" t="s">
        <v>36</v>
      </c>
      <c r="N265" s="17">
        <f>DATE(2022,8,8)</f>
        <v>44781</v>
      </c>
      <c r="O265" s="13" t="s">
        <v>107</v>
      </c>
      <c r="P265" s="13" t="s">
        <v>74</v>
      </c>
      <c r="Q265" s="13" t="s">
        <v>501</v>
      </c>
      <c r="R265" s="13" t="s">
        <v>1265</v>
      </c>
      <c r="S265" s="13" t="s">
        <v>503</v>
      </c>
      <c r="T265" s="28">
        <v>26.06</v>
      </c>
      <c r="U265" s="13" t="s">
        <v>499</v>
      </c>
      <c r="V265" s="13" t="s">
        <v>89</v>
      </c>
      <c r="W265" s="13" t="s">
        <v>72</v>
      </c>
      <c r="X265" s="17">
        <f>DATE(2022,11,8)</f>
        <v>44873</v>
      </c>
      <c r="Y265" s="3"/>
    </row>
    <row r="266" spans="1:25" ht="45" customHeight="1">
      <c r="A266" s="3">
        <v>264</v>
      </c>
      <c r="B266" s="13" t="s">
        <v>1266</v>
      </c>
      <c r="C266" s="13" t="s">
        <v>103</v>
      </c>
      <c r="D266" s="13" t="s">
        <v>1267</v>
      </c>
      <c r="E266" s="13" t="s">
        <v>461</v>
      </c>
      <c r="F266" s="13" t="s">
        <v>568</v>
      </c>
      <c r="G266" s="13" t="s">
        <v>568</v>
      </c>
      <c r="H266" s="13" t="s">
        <v>568</v>
      </c>
      <c r="I266" s="27" t="s">
        <v>1268</v>
      </c>
      <c r="J266" s="27" t="s">
        <v>33</v>
      </c>
      <c r="K266" s="27" t="s">
        <v>106</v>
      </c>
      <c r="L266" s="27" t="s">
        <v>35</v>
      </c>
      <c r="M266" s="27" t="s">
        <v>36</v>
      </c>
      <c r="N266" s="17">
        <f>DATE(2022,8,8)</f>
        <v>44781</v>
      </c>
      <c r="O266" s="13" t="s">
        <v>107</v>
      </c>
      <c r="P266" s="13" t="s">
        <v>567</v>
      </c>
      <c r="Q266" s="13" t="s">
        <v>465</v>
      </c>
      <c r="R266" s="13" t="s">
        <v>1269</v>
      </c>
      <c r="S266" s="13" t="s">
        <v>570</v>
      </c>
      <c r="T266" s="28">
        <v>27.44</v>
      </c>
      <c r="U266" s="13" t="s">
        <v>461</v>
      </c>
      <c r="V266" s="13" t="s">
        <v>413</v>
      </c>
      <c r="W266" s="13" t="s">
        <v>572</v>
      </c>
      <c r="X266" s="17">
        <f>DATE(2022,11,8)</f>
        <v>44873</v>
      </c>
      <c r="Y266" s="3"/>
    </row>
    <row r="267" spans="1:25" ht="45" customHeight="1">
      <c r="A267" s="3">
        <v>265</v>
      </c>
      <c r="B267" s="13" t="s">
        <v>1270</v>
      </c>
      <c r="C267" s="13" t="s">
        <v>103</v>
      </c>
      <c r="D267" s="13" t="s">
        <v>1271</v>
      </c>
      <c r="E267" s="13" t="s">
        <v>461</v>
      </c>
      <c r="F267" s="13" t="s">
        <v>417</v>
      </c>
      <c r="G267" s="13" t="s">
        <v>1272</v>
      </c>
      <c r="H267" s="13" t="s">
        <v>419</v>
      </c>
      <c r="I267" s="27" t="s">
        <v>1273</v>
      </c>
      <c r="J267" s="27" t="s">
        <v>33</v>
      </c>
      <c r="K267" s="27" t="s">
        <v>106</v>
      </c>
      <c r="L267" s="27" t="s">
        <v>208</v>
      </c>
      <c r="M267" s="27" t="s">
        <v>209</v>
      </c>
      <c r="N267" s="17">
        <f>DATE(2022,8,8)</f>
        <v>44781</v>
      </c>
      <c r="O267" s="13" t="s">
        <v>107</v>
      </c>
      <c r="P267" s="13" t="s">
        <v>421</v>
      </c>
      <c r="Q267" s="13" t="s">
        <v>465</v>
      </c>
      <c r="R267" s="13" t="s">
        <v>1274</v>
      </c>
      <c r="S267" s="13" t="s">
        <v>423</v>
      </c>
      <c r="T267" s="28">
        <v>42.73</v>
      </c>
      <c r="U267" s="13" t="s">
        <v>461</v>
      </c>
      <c r="V267" s="13" t="s">
        <v>413</v>
      </c>
      <c r="W267" s="13" t="s">
        <v>1275</v>
      </c>
      <c r="X267" s="17">
        <f>DATE(2022,11,8)</f>
        <v>44873</v>
      </c>
      <c r="Y267" s="3"/>
    </row>
    <row r="268" spans="1:25" ht="45" customHeight="1">
      <c r="A268" s="3">
        <v>266</v>
      </c>
      <c r="B268" s="13" t="s">
        <v>1276</v>
      </c>
      <c r="C268" s="13" t="s">
        <v>103</v>
      </c>
      <c r="D268" s="13" t="s">
        <v>1277</v>
      </c>
      <c r="E268" s="13" t="s">
        <v>28</v>
      </c>
      <c r="F268" s="13" t="s">
        <v>29</v>
      </c>
      <c r="G268" s="13" t="s">
        <v>1216</v>
      </c>
      <c r="H268" s="13" t="s">
        <v>31</v>
      </c>
      <c r="I268" s="27" t="s">
        <v>1278</v>
      </c>
      <c r="J268" s="27" t="s">
        <v>33</v>
      </c>
      <c r="K268" s="27" t="s">
        <v>106</v>
      </c>
      <c r="L268" s="27" t="s">
        <v>35</v>
      </c>
      <c r="M268" s="27" t="s">
        <v>36</v>
      </c>
      <c r="N268" s="17">
        <f t="shared" ref="N268:N300" si="19">DATE(2022,8,1)</f>
        <v>44774</v>
      </c>
      <c r="O268" s="13" t="s">
        <v>34</v>
      </c>
      <c r="P268" s="13" t="s">
        <v>1231</v>
      </c>
      <c r="Q268" s="13" t="s">
        <v>38</v>
      </c>
      <c r="R268" s="13" t="s">
        <v>1279</v>
      </c>
      <c r="S268" s="13" t="s">
        <v>1215</v>
      </c>
      <c r="T268" s="28">
        <v>36.979999999999997</v>
      </c>
      <c r="U268" s="13" t="s">
        <v>28</v>
      </c>
      <c r="V268" s="13" t="s">
        <v>89</v>
      </c>
      <c r="W268" s="13" t="s">
        <v>1219</v>
      </c>
      <c r="X268" s="17">
        <f t="shared" ref="X268:X300" si="20">DATE(2022,9,1)</f>
        <v>44805</v>
      </c>
      <c r="Y268" s="3"/>
    </row>
    <row r="269" spans="1:25" ht="45" customHeight="1">
      <c r="A269" s="3">
        <v>267</v>
      </c>
      <c r="B269" s="13" t="s">
        <v>1280</v>
      </c>
      <c r="C269" s="13" t="s">
        <v>103</v>
      </c>
      <c r="D269" s="13" t="s">
        <v>1281</v>
      </c>
      <c r="E269" s="13" t="s">
        <v>28</v>
      </c>
      <c r="F269" s="13" t="s">
        <v>29</v>
      </c>
      <c r="G269" s="13" t="s">
        <v>1216</v>
      </c>
      <c r="H269" s="13" t="s">
        <v>1031</v>
      </c>
      <c r="I269" s="27" t="s">
        <v>1282</v>
      </c>
      <c r="J269" s="27" t="s">
        <v>33</v>
      </c>
      <c r="K269" s="27" t="s">
        <v>106</v>
      </c>
      <c r="L269" s="27" t="s">
        <v>35</v>
      </c>
      <c r="M269" s="27" t="s">
        <v>36</v>
      </c>
      <c r="N269" s="17">
        <f t="shared" si="19"/>
        <v>44774</v>
      </c>
      <c r="O269" s="13" t="s">
        <v>34</v>
      </c>
      <c r="P269" s="13" t="s">
        <v>1215</v>
      </c>
      <c r="Q269" s="13" t="s">
        <v>38</v>
      </c>
      <c r="R269" s="13" t="s">
        <v>1283</v>
      </c>
      <c r="S269" s="13" t="s">
        <v>1215</v>
      </c>
      <c r="T269" s="28">
        <v>26.48</v>
      </c>
      <c r="U269" s="13" t="s">
        <v>28</v>
      </c>
      <c r="V269" s="13" t="s">
        <v>146</v>
      </c>
      <c r="W269" s="13" t="s">
        <v>1219</v>
      </c>
      <c r="X269" s="17">
        <f t="shared" si="20"/>
        <v>44805</v>
      </c>
      <c r="Y269" s="3"/>
    </row>
    <row r="270" spans="1:25" ht="45" customHeight="1">
      <c r="A270" s="3">
        <v>268</v>
      </c>
      <c r="B270" s="13" t="s">
        <v>1284</v>
      </c>
      <c r="C270" s="13" t="s">
        <v>26</v>
      </c>
      <c r="D270" s="13" t="s">
        <v>1285</v>
      </c>
      <c r="E270" s="13" t="s">
        <v>28</v>
      </c>
      <c r="F270" s="13" t="s">
        <v>29</v>
      </c>
      <c r="G270" s="13" t="s">
        <v>1216</v>
      </c>
      <c r="H270" s="13" t="s">
        <v>1031</v>
      </c>
      <c r="I270" s="27" t="s">
        <v>1286</v>
      </c>
      <c r="J270" s="27" t="s">
        <v>33</v>
      </c>
      <c r="K270" s="27" t="s">
        <v>34</v>
      </c>
      <c r="L270" s="27" t="s">
        <v>35</v>
      </c>
      <c r="M270" s="27" t="s">
        <v>36</v>
      </c>
      <c r="N270" s="17">
        <f t="shared" si="19"/>
        <v>44774</v>
      </c>
      <c r="O270" s="13" t="s">
        <v>34</v>
      </c>
      <c r="P270" s="13" t="s">
        <v>1215</v>
      </c>
      <c r="Q270" s="13" t="s">
        <v>38</v>
      </c>
      <c r="R270" s="13" t="s">
        <v>1287</v>
      </c>
      <c r="S270" s="13" t="s">
        <v>1215</v>
      </c>
      <c r="T270" s="28">
        <v>21.48</v>
      </c>
      <c r="U270" s="13" t="s">
        <v>28</v>
      </c>
      <c r="V270" s="13" t="s">
        <v>146</v>
      </c>
      <c r="W270" s="13" t="s">
        <v>1219</v>
      </c>
      <c r="X270" s="17">
        <f t="shared" si="20"/>
        <v>44805</v>
      </c>
      <c r="Y270" s="3"/>
    </row>
    <row r="271" spans="1:25" ht="45" customHeight="1">
      <c r="A271" s="3">
        <v>269</v>
      </c>
      <c r="B271" s="13" t="s">
        <v>1288</v>
      </c>
      <c r="C271" s="13" t="s">
        <v>103</v>
      </c>
      <c r="D271" s="13" t="s">
        <v>1289</v>
      </c>
      <c r="E271" s="13" t="s">
        <v>1054</v>
      </c>
      <c r="F271" s="13" t="s">
        <v>29</v>
      </c>
      <c r="G271" s="13" t="s">
        <v>43</v>
      </c>
      <c r="H271" s="13" t="s">
        <v>1031</v>
      </c>
      <c r="I271" s="27" t="s">
        <v>1290</v>
      </c>
      <c r="J271" s="27" t="s">
        <v>33</v>
      </c>
      <c r="K271" s="27" t="s">
        <v>106</v>
      </c>
      <c r="L271" s="27" t="s">
        <v>1291</v>
      </c>
      <c r="M271" s="27" t="s">
        <v>36</v>
      </c>
      <c r="N271" s="17">
        <f t="shared" si="19"/>
        <v>44774</v>
      </c>
      <c r="O271" s="13" t="s">
        <v>1198</v>
      </c>
      <c r="P271" s="13" t="s">
        <v>37</v>
      </c>
      <c r="Q271" s="13" t="s">
        <v>1054</v>
      </c>
      <c r="R271" s="13" t="s">
        <v>1292</v>
      </c>
      <c r="S271" s="13" t="s">
        <v>37</v>
      </c>
      <c r="T271" s="28">
        <v>36.33</v>
      </c>
      <c r="U271" s="13" t="s">
        <v>1054</v>
      </c>
      <c r="V271" s="13" t="s">
        <v>89</v>
      </c>
      <c r="W271" s="13" t="s">
        <v>43</v>
      </c>
      <c r="X271" s="17">
        <f t="shared" si="20"/>
        <v>44805</v>
      </c>
      <c r="Y271" s="3"/>
    </row>
    <row r="272" spans="1:25" ht="45" customHeight="1">
      <c r="A272" s="3">
        <v>270</v>
      </c>
      <c r="B272" s="13" t="s">
        <v>1293</v>
      </c>
      <c r="C272" s="13" t="s">
        <v>103</v>
      </c>
      <c r="D272" s="13" t="s">
        <v>1294</v>
      </c>
      <c r="E272" s="13" t="s">
        <v>445</v>
      </c>
      <c r="F272" s="13" t="s">
        <v>475</v>
      </c>
      <c r="G272" s="13" t="s">
        <v>559</v>
      </c>
      <c r="H272" s="13" t="s">
        <v>406</v>
      </c>
      <c r="I272" s="27" t="s">
        <v>1295</v>
      </c>
      <c r="J272" s="27" t="s">
        <v>33</v>
      </c>
      <c r="K272" s="27" t="s">
        <v>106</v>
      </c>
      <c r="L272" s="27" t="s">
        <v>35</v>
      </c>
      <c r="M272" s="27" t="s">
        <v>36</v>
      </c>
      <c r="N272" s="17">
        <f t="shared" si="19"/>
        <v>44774</v>
      </c>
      <c r="O272" s="13" t="s">
        <v>107</v>
      </c>
      <c r="P272" s="13" t="s">
        <v>557</v>
      </c>
      <c r="Q272" s="13" t="s">
        <v>431</v>
      </c>
      <c r="R272" s="13" t="s">
        <v>1296</v>
      </c>
      <c r="S272" s="13" t="s">
        <v>478</v>
      </c>
      <c r="T272" s="28">
        <v>27.56</v>
      </c>
      <c r="U272" s="13" t="s">
        <v>445</v>
      </c>
      <c r="V272" s="13" t="s">
        <v>413</v>
      </c>
      <c r="W272" s="13" t="s">
        <v>559</v>
      </c>
      <c r="X272" s="17">
        <f t="shared" si="20"/>
        <v>44805</v>
      </c>
      <c r="Y272" s="3"/>
    </row>
    <row r="273" spans="1:25" ht="45" customHeight="1">
      <c r="A273" s="3">
        <v>271</v>
      </c>
      <c r="B273" s="13" t="s">
        <v>1297</v>
      </c>
      <c r="C273" s="13" t="s">
        <v>26</v>
      </c>
      <c r="D273" s="13" t="s">
        <v>1298</v>
      </c>
      <c r="E273" s="13" t="s">
        <v>28</v>
      </c>
      <c r="F273" s="13" t="s">
        <v>29</v>
      </c>
      <c r="G273" s="13" t="s">
        <v>537</v>
      </c>
      <c r="H273" s="13" t="s">
        <v>1031</v>
      </c>
      <c r="I273" s="27" t="s">
        <v>1299</v>
      </c>
      <c r="J273" s="27" t="s">
        <v>33</v>
      </c>
      <c r="K273" s="27" t="s">
        <v>34</v>
      </c>
      <c r="L273" s="27" t="s">
        <v>35</v>
      </c>
      <c r="M273" s="27" t="s">
        <v>36</v>
      </c>
      <c r="N273" s="17">
        <f t="shared" si="19"/>
        <v>44774</v>
      </c>
      <c r="O273" s="13" t="s">
        <v>34</v>
      </c>
      <c r="P273" s="13" t="s">
        <v>64</v>
      </c>
      <c r="Q273" s="13" t="s">
        <v>38</v>
      </c>
      <c r="R273" s="13" t="s">
        <v>1300</v>
      </c>
      <c r="S273" s="13" t="s">
        <v>64</v>
      </c>
      <c r="T273" s="28">
        <v>27.61</v>
      </c>
      <c r="U273" s="13" t="s">
        <v>28</v>
      </c>
      <c r="V273" s="13" t="s">
        <v>89</v>
      </c>
      <c r="W273" s="13" t="s">
        <v>537</v>
      </c>
      <c r="X273" s="17">
        <f t="shared" si="20"/>
        <v>44805</v>
      </c>
      <c r="Y273" s="3"/>
    </row>
    <row r="274" spans="1:25" ht="45" customHeight="1">
      <c r="A274" s="3">
        <v>272</v>
      </c>
      <c r="B274" s="13" t="s">
        <v>1301</v>
      </c>
      <c r="C274" s="13" t="s">
        <v>26</v>
      </c>
      <c r="D274" s="13" t="s">
        <v>1302</v>
      </c>
      <c r="E274" s="13" t="s">
        <v>28</v>
      </c>
      <c r="F274" s="13" t="s">
        <v>29</v>
      </c>
      <c r="G274" s="13" t="s">
        <v>1216</v>
      </c>
      <c r="H274" s="13" t="s">
        <v>1031</v>
      </c>
      <c r="I274" s="27" t="s">
        <v>1303</v>
      </c>
      <c r="J274" s="27" t="s">
        <v>33</v>
      </c>
      <c r="K274" s="27" t="s">
        <v>34</v>
      </c>
      <c r="L274" s="27" t="s">
        <v>35</v>
      </c>
      <c r="M274" s="27" t="s">
        <v>36</v>
      </c>
      <c r="N274" s="17">
        <f t="shared" si="19"/>
        <v>44774</v>
      </c>
      <c r="O274" s="13" t="s">
        <v>34</v>
      </c>
      <c r="P274" s="13" t="s">
        <v>1221</v>
      </c>
      <c r="Q274" s="13" t="s">
        <v>38</v>
      </c>
      <c r="R274" s="13" t="s">
        <v>1304</v>
      </c>
      <c r="S274" s="13" t="s">
        <v>1215</v>
      </c>
      <c r="T274" s="28">
        <v>29.48</v>
      </c>
      <c r="U274" s="13" t="s">
        <v>28</v>
      </c>
      <c r="V274" s="13" t="s">
        <v>53</v>
      </c>
      <c r="W274" s="13" t="s">
        <v>1219</v>
      </c>
      <c r="X274" s="17">
        <f t="shared" si="20"/>
        <v>44805</v>
      </c>
      <c r="Y274" s="3"/>
    </row>
    <row r="275" spans="1:25" ht="45" customHeight="1">
      <c r="A275" s="3">
        <v>273</v>
      </c>
      <c r="B275" s="13" t="s">
        <v>1305</v>
      </c>
      <c r="C275" s="13" t="s">
        <v>26</v>
      </c>
      <c r="D275" s="13" t="s">
        <v>1306</v>
      </c>
      <c r="E275" s="13" t="s">
        <v>28</v>
      </c>
      <c r="F275" s="13" t="s">
        <v>29</v>
      </c>
      <c r="G275" s="13" t="s">
        <v>537</v>
      </c>
      <c r="H275" s="13" t="s">
        <v>1031</v>
      </c>
      <c r="I275" s="27" t="s">
        <v>1307</v>
      </c>
      <c r="J275" s="27" t="s">
        <v>33</v>
      </c>
      <c r="K275" s="27" t="s">
        <v>34</v>
      </c>
      <c r="L275" s="27" t="s">
        <v>35</v>
      </c>
      <c r="M275" s="27" t="s">
        <v>36</v>
      </c>
      <c r="N275" s="17">
        <f t="shared" si="19"/>
        <v>44774</v>
      </c>
      <c r="O275" s="13" t="s">
        <v>34</v>
      </c>
      <c r="P275" s="13" t="s">
        <v>549</v>
      </c>
      <c r="Q275" s="13" t="s">
        <v>38</v>
      </c>
      <c r="R275" s="13" t="s">
        <v>1308</v>
      </c>
      <c r="S275" s="13" t="s">
        <v>64</v>
      </c>
      <c r="T275" s="28">
        <v>27.17</v>
      </c>
      <c r="U275" s="13" t="s">
        <v>28</v>
      </c>
      <c r="V275" s="13" t="s">
        <v>53</v>
      </c>
      <c r="W275" s="13" t="s">
        <v>537</v>
      </c>
      <c r="X275" s="17">
        <f t="shared" si="20"/>
        <v>44805</v>
      </c>
      <c r="Y275" s="3"/>
    </row>
    <row r="276" spans="1:25" ht="45" customHeight="1">
      <c r="A276" s="3">
        <v>274</v>
      </c>
      <c r="B276" s="13" t="s">
        <v>1309</v>
      </c>
      <c r="C276" s="13" t="s">
        <v>26</v>
      </c>
      <c r="D276" s="13" t="s">
        <v>1310</v>
      </c>
      <c r="E276" s="13" t="s">
        <v>28</v>
      </c>
      <c r="F276" s="13" t="s">
        <v>29</v>
      </c>
      <c r="G276" s="13" t="s">
        <v>123</v>
      </c>
      <c r="H276" s="13" t="s">
        <v>1031</v>
      </c>
      <c r="I276" s="27" t="s">
        <v>1311</v>
      </c>
      <c r="J276" s="27" t="s">
        <v>33</v>
      </c>
      <c r="K276" s="27" t="s">
        <v>34</v>
      </c>
      <c r="L276" s="27" t="s">
        <v>35</v>
      </c>
      <c r="M276" s="27" t="s">
        <v>36</v>
      </c>
      <c r="N276" s="17">
        <f t="shared" si="19"/>
        <v>44774</v>
      </c>
      <c r="O276" s="13" t="s">
        <v>34</v>
      </c>
      <c r="P276" s="13" t="s">
        <v>1199</v>
      </c>
      <c r="Q276" s="13" t="s">
        <v>38</v>
      </c>
      <c r="R276" s="13" t="s">
        <v>1312</v>
      </c>
      <c r="S276" s="13" t="s">
        <v>127</v>
      </c>
      <c r="T276" s="28">
        <v>29.82</v>
      </c>
      <c r="U276" s="13" t="s">
        <v>28</v>
      </c>
      <c r="V276" s="13" t="s">
        <v>53</v>
      </c>
      <c r="W276" s="13" t="s">
        <v>128</v>
      </c>
      <c r="X276" s="17">
        <f t="shared" si="20"/>
        <v>44805</v>
      </c>
      <c r="Y276" s="3"/>
    </row>
    <row r="277" spans="1:25" ht="45" customHeight="1">
      <c r="A277" s="3">
        <v>275</v>
      </c>
      <c r="B277" s="13" t="s">
        <v>1313</v>
      </c>
      <c r="C277" s="13" t="s">
        <v>103</v>
      </c>
      <c r="D277" s="13" t="s">
        <v>1314</v>
      </c>
      <c r="E277" s="13" t="s">
        <v>28</v>
      </c>
      <c r="F277" s="13" t="s">
        <v>29</v>
      </c>
      <c r="G277" s="13" t="s">
        <v>1216</v>
      </c>
      <c r="H277" s="13" t="s">
        <v>31</v>
      </c>
      <c r="I277" s="27" t="s">
        <v>1315</v>
      </c>
      <c r="J277" s="27" t="s">
        <v>33</v>
      </c>
      <c r="K277" s="27" t="s">
        <v>106</v>
      </c>
      <c r="L277" s="27" t="s">
        <v>35</v>
      </c>
      <c r="M277" s="27" t="s">
        <v>36</v>
      </c>
      <c r="N277" s="17">
        <f t="shared" si="19"/>
        <v>44774</v>
      </c>
      <c r="O277" s="13" t="s">
        <v>34</v>
      </c>
      <c r="P277" s="13" t="s">
        <v>1231</v>
      </c>
      <c r="Q277" s="13" t="s">
        <v>38</v>
      </c>
      <c r="R277" s="13" t="s">
        <v>1316</v>
      </c>
      <c r="S277" s="13" t="s">
        <v>1215</v>
      </c>
      <c r="T277" s="28">
        <v>22.15</v>
      </c>
      <c r="U277" s="13" t="s">
        <v>28</v>
      </c>
      <c r="V277" s="13" t="s">
        <v>89</v>
      </c>
      <c r="W277" s="13" t="s">
        <v>1219</v>
      </c>
      <c r="X277" s="17">
        <f t="shared" si="20"/>
        <v>44805</v>
      </c>
      <c r="Y277" s="3"/>
    </row>
    <row r="278" spans="1:25" ht="45" customHeight="1">
      <c r="A278" s="3">
        <v>276</v>
      </c>
      <c r="B278" s="13" t="s">
        <v>1317</v>
      </c>
      <c r="C278" s="13" t="s">
        <v>26</v>
      </c>
      <c r="D278" s="13" t="s">
        <v>1318</v>
      </c>
      <c r="E278" s="13" t="s">
        <v>28</v>
      </c>
      <c r="F278" s="13" t="s">
        <v>29</v>
      </c>
      <c r="G278" s="13" t="s">
        <v>48</v>
      </c>
      <c r="H278" s="13" t="s">
        <v>1031</v>
      </c>
      <c r="I278" s="27" t="s">
        <v>1319</v>
      </c>
      <c r="J278" s="27" t="s">
        <v>33</v>
      </c>
      <c r="K278" s="27" t="s">
        <v>34</v>
      </c>
      <c r="L278" s="27" t="s">
        <v>35</v>
      </c>
      <c r="M278" s="27" t="s">
        <v>36</v>
      </c>
      <c r="N278" s="17">
        <f t="shared" si="19"/>
        <v>44774</v>
      </c>
      <c r="O278" s="13" t="s">
        <v>34</v>
      </c>
      <c r="P278" s="13" t="s">
        <v>50</v>
      </c>
      <c r="Q278" s="13" t="s">
        <v>38</v>
      </c>
      <c r="R278" s="13" t="s">
        <v>1320</v>
      </c>
      <c r="S278" s="13" t="s">
        <v>52</v>
      </c>
      <c r="T278" s="28">
        <v>23.84</v>
      </c>
      <c r="U278" s="13" t="s">
        <v>28</v>
      </c>
      <c r="V278" s="13" t="s">
        <v>53</v>
      </c>
      <c r="W278" s="13" t="s">
        <v>48</v>
      </c>
      <c r="X278" s="17">
        <f t="shared" si="20"/>
        <v>44805</v>
      </c>
      <c r="Y278" s="3"/>
    </row>
    <row r="279" spans="1:25" ht="45" customHeight="1">
      <c r="A279" s="3">
        <v>277</v>
      </c>
      <c r="B279" s="13" t="s">
        <v>1321</v>
      </c>
      <c r="C279" s="13" t="s">
        <v>103</v>
      </c>
      <c r="D279" s="13" t="s">
        <v>1322</v>
      </c>
      <c r="E279" s="13" t="s">
        <v>28</v>
      </c>
      <c r="F279" s="13" t="s">
        <v>29</v>
      </c>
      <c r="G279" s="13" t="s">
        <v>1216</v>
      </c>
      <c r="H279" s="13" t="s">
        <v>1031</v>
      </c>
      <c r="I279" s="27" t="s">
        <v>1323</v>
      </c>
      <c r="J279" s="27" t="s">
        <v>33</v>
      </c>
      <c r="K279" s="27" t="s">
        <v>106</v>
      </c>
      <c r="L279" s="27" t="s">
        <v>35</v>
      </c>
      <c r="M279" s="27" t="s">
        <v>36</v>
      </c>
      <c r="N279" s="17">
        <f t="shared" si="19"/>
        <v>44774</v>
      </c>
      <c r="O279" s="13" t="s">
        <v>34</v>
      </c>
      <c r="P279" s="13" t="s">
        <v>1221</v>
      </c>
      <c r="Q279" s="13" t="s">
        <v>38</v>
      </c>
      <c r="R279" s="13" t="s">
        <v>1324</v>
      </c>
      <c r="S279" s="13" t="s">
        <v>1215</v>
      </c>
      <c r="T279" s="28">
        <v>28.96</v>
      </c>
      <c r="U279" s="13" t="s">
        <v>28</v>
      </c>
      <c r="V279" s="13" t="s">
        <v>53</v>
      </c>
      <c r="W279" s="13" t="s">
        <v>1219</v>
      </c>
      <c r="X279" s="17">
        <f t="shared" si="20"/>
        <v>44805</v>
      </c>
      <c r="Y279" s="3"/>
    </row>
    <row r="280" spans="1:25" ht="45" customHeight="1">
      <c r="A280" s="3">
        <v>278</v>
      </c>
      <c r="B280" s="13" t="s">
        <v>1325</v>
      </c>
      <c r="C280" s="13" t="s">
        <v>103</v>
      </c>
      <c r="D280" s="13" t="s">
        <v>1326</v>
      </c>
      <c r="E280" s="13" t="s">
        <v>28</v>
      </c>
      <c r="F280" s="13" t="s">
        <v>687</v>
      </c>
      <c r="G280" s="13" t="s">
        <v>687</v>
      </c>
      <c r="H280" s="13" t="s">
        <v>406</v>
      </c>
      <c r="I280" s="27" t="s">
        <v>1327</v>
      </c>
      <c r="J280" s="27" t="s">
        <v>33</v>
      </c>
      <c r="K280" s="27" t="s">
        <v>106</v>
      </c>
      <c r="L280" s="27" t="s">
        <v>35</v>
      </c>
      <c r="M280" s="27" t="s">
        <v>36</v>
      </c>
      <c r="N280" s="17">
        <f t="shared" si="19"/>
        <v>44774</v>
      </c>
      <c r="O280" s="13" t="s">
        <v>34</v>
      </c>
      <c r="P280" s="13" t="s">
        <v>689</v>
      </c>
      <c r="Q280" s="13" t="s">
        <v>38</v>
      </c>
      <c r="R280" s="13" t="s">
        <v>1328</v>
      </c>
      <c r="S280" s="13" t="s">
        <v>403</v>
      </c>
      <c r="T280" s="28">
        <v>35.1</v>
      </c>
      <c r="U280" s="13" t="s">
        <v>28</v>
      </c>
      <c r="V280" s="13" t="s">
        <v>53</v>
      </c>
      <c r="W280" s="13" t="s">
        <v>691</v>
      </c>
      <c r="X280" s="17">
        <f t="shared" si="20"/>
        <v>44805</v>
      </c>
      <c r="Y280" s="3"/>
    </row>
    <row r="281" spans="1:25" ht="45" customHeight="1">
      <c r="A281" s="3">
        <v>279</v>
      </c>
      <c r="B281" s="13" t="s">
        <v>1329</v>
      </c>
      <c r="C281" s="13" t="s">
        <v>103</v>
      </c>
      <c r="D281" s="13" t="s">
        <v>1330</v>
      </c>
      <c r="E281" s="13" t="s">
        <v>1211</v>
      </c>
      <c r="F281" s="13" t="s">
        <v>475</v>
      </c>
      <c r="G281" s="13" t="s">
        <v>559</v>
      </c>
      <c r="H281" s="13" t="s">
        <v>406</v>
      </c>
      <c r="I281" s="27" t="s">
        <v>1331</v>
      </c>
      <c r="J281" s="27" t="s">
        <v>33</v>
      </c>
      <c r="K281" s="27" t="s">
        <v>106</v>
      </c>
      <c r="L281" s="27" t="s">
        <v>35</v>
      </c>
      <c r="M281" s="27" t="s">
        <v>36</v>
      </c>
      <c r="N281" s="17">
        <f t="shared" si="19"/>
        <v>44774</v>
      </c>
      <c r="O281" s="13" t="s">
        <v>107</v>
      </c>
      <c r="P281" s="13" t="s">
        <v>557</v>
      </c>
      <c r="Q281" s="13" t="s">
        <v>465</v>
      </c>
      <c r="R281" s="13" t="s">
        <v>1332</v>
      </c>
      <c r="S281" s="13" t="s">
        <v>478</v>
      </c>
      <c r="T281" s="28">
        <v>26.45</v>
      </c>
      <c r="U281" s="13" t="s">
        <v>490</v>
      </c>
      <c r="V281" s="13" t="s">
        <v>752</v>
      </c>
      <c r="W281" s="13" t="s">
        <v>559</v>
      </c>
      <c r="X281" s="17">
        <f t="shared" si="20"/>
        <v>44805</v>
      </c>
      <c r="Y281" s="3"/>
    </row>
    <row r="282" spans="1:25" ht="45" customHeight="1">
      <c r="A282" s="3">
        <v>280</v>
      </c>
      <c r="B282" s="13" t="s">
        <v>1333</v>
      </c>
      <c r="C282" s="13" t="s">
        <v>103</v>
      </c>
      <c r="D282" s="13" t="s">
        <v>1334</v>
      </c>
      <c r="E282" s="13" t="s">
        <v>28</v>
      </c>
      <c r="F282" s="13" t="s">
        <v>29</v>
      </c>
      <c r="G282" s="13" t="s">
        <v>680</v>
      </c>
      <c r="H282" s="13" t="s">
        <v>1031</v>
      </c>
      <c r="I282" s="27" t="s">
        <v>1335</v>
      </c>
      <c r="J282" s="27" t="s">
        <v>33</v>
      </c>
      <c r="K282" s="27" t="s">
        <v>106</v>
      </c>
      <c r="L282" s="27" t="s">
        <v>35</v>
      </c>
      <c r="M282" s="27" t="s">
        <v>36</v>
      </c>
      <c r="N282" s="17">
        <f t="shared" si="19"/>
        <v>44774</v>
      </c>
      <c r="O282" s="13" t="s">
        <v>34</v>
      </c>
      <c r="P282" s="13" t="s">
        <v>52</v>
      </c>
      <c r="Q282" s="13" t="s">
        <v>38</v>
      </c>
      <c r="R282" s="13" t="s">
        <v>1336</v>
      </c>
      <c r="S282" s="13" t="s">
        <v>52</v>
      </c>
      <c r="T282" s="28">
        <v>25.84</v>
      </c>
      <c r="U282" s="13" t="s">
        <v>28</v>
      </c>
      <c r="V282" s="13" t="s">
        <v>146</v>
      </c>
      <c r="W282" s="13" t="s">
        <v>683</v>
      </c>
      <c r="X282" s="17">
        <f t="shared" si="20"/>
        <v>44805</v>
      </c>
      <c r="Y282" s="3"/>
    </row>
    <row r="283" spans="1:25" ht="45" customHeight="1">
      <c r="A283" s="3">
        <v>281</v>
      </c>
      <c r="B283" s="13" t="s">
        <v>1337</v>
      </c>
      <c r="C283" s="13" t="s">
        <v>26</v>
      </c>
      <c r="D283" s="13" t="s">
        <v>1338</v>
      </c>
      <c r="E283" s="13" t="s">
        <v>28</v>
      </c>
      <c r="F283" s="13" t="s">
        <v>29</v>
      </c>
      <c r="G283" s="13" t="s">
        <v>48</v>
      </c>
      <c r="H283" s="13" t="s">
        <v>1031</v>
      </c>
      <c r="I283" s="27" t="s">
        <v>1339</v>
      </c>
      <c r="J283" s="27" t="s">
        <v>33</v>
      </c>
      <c r="K283" s="27" t="s">
        <v>34</v>
      </c>
      <c r="L283" s="27" t="s">
        <v>35</v>
      </c>
      <c r="M283" s="27" t="s">
        <v>36</v>
      </c>
      <c r="N283" s="17">
        <f t="shared" si="19"/>
        <v>44774</v>
      </c>
      <c r="O283" s="13" t="s">
        <v>34</v>
      </c>
      <c r="P283" s="13" t="s">
        <v>182</v>
      </c>
      <c r="Q283" s="13" t="s">
        <v>38</v>
      </c>
      <c r="R283" s="13" t="s">
        <v>1340</v>
      </c>
      <c r="S283" s="13" t="s">
        <v>52</v>
      </c>
      <c r="T283" s="28">
        <v>22.85</v>
      </c>
      <c r="U283" s="13" t="s">
        <v>28</v>
      </c>
      <c r="V283" s="13" t="s">
        <v>89</v>
      </c>
      <c r="W283" s="13" t="s">
        <v>48</v>
      </c>
      <c r="X283" s="17">
        <f t="shared" si="20"/>
        <v>44805</v>
      </c>
      <c r="Y283" s="3"/>
    </row>
    <row r="284" spans="1:25" ht="45" customHeight="1">
      <c r="A284" s="3">
        <v>282</v>
      </c>
      <c r="B284" s="13" t="s">
        <v>1341</v>
      </c>
      <c r="C284" s="13" t="s">
        <v>26</v>
      </c>
      <c r="D284" s="13" t="s">
        <v>1342</v>
      </c>
      <c r="E284" s="13" t="s">
        <v>28</v>
      </c>
      <c r="F284" s="13" t="s">
        <v>29</v>
      </c>
      <c r="G284" s="13" t="s">
        <v>1216</v>
      </c>
      <c r="H284" s="13" t="s">
        <v>1031</v>
      </c>
      <c r="I284" s="27" t="s">
        <v>1343</v>
      </c>
      <c r="J284" s="27" t="s">
        <v>33</v>
      </c>
      <c r="K284" s="27" t="s">
        <v>34</v>
      </c>
      <c r="L284" s="27" t="s">
        <v>35</v>
      </c>
      <c r="M284" s="27" t="s">
        <v>36</v>
      </c>
      <c r="N284" s="17">
        <f t="shared" si="19"/>
        <v>44774</v>
      </c>
      <c r="O284" s="13" t="s">
        <v>34</v>
      </c>
      <c r="P284" s="13" t="s">
        <v>1215</v>
      </c>
      <c r="Q284" s="13" t="s">
        <v>38</v>
      </c>
      <c r="R284" s="13" t="s">
        <v>1344</v>
      </c>
      <c r="S284" s="13" t="s">
        <v>1215</v>
      </c>
      <c r="T284" s="28">
        <v>29.95</v>
      </c>
      <c r="U284" s="13" t="s">
        <v>28</v>
      </c>
      <c r="V284" s="13" t="s">
        <v>146</v>
      </c>
      <c r="W284" s="13" t="s">
        <v>1219</v>
      </c>
      <c r="X284" s="17">
        <f t="shared" si="20"/>
        <v>44805</v>
      </c>
      <c r="Y284" s="3"/>
    </row>
    <row r="285" spans="1:25" ht="45" customHeight="1">
      <c r="A285" s="3">
        <v>283</v>
      </c>
      <c r="B285" s="13" t="s">
        <v>1345</v>
      </c>
      <c r="C285" s="13" t="s">
        <v>26</v>
      </c>
      <c r="D285" s="13" t="s">
        <v>1346</v>
      </c>
      <c r="E285" s="13" t="s">
        <v>28</v>
      </c>
      <c r="F285" s="13" t="s">
        <v>29</v>
      </c>
      <c r="G285" s="13" t="s">
        <v>48</v>
      </c>
      <c r="H285" s="13" t="s">
        <v>1031</v>
      </c>
      <c r="I285" s="27" t="s">
        <v>1347</v>
      </c>
      <c r="J285" s="27" t="s">
        <v>33</v>
      </c>
      <c r="K285" s="27" t="s">
        <v>34</v>
      </c>
      <c r="L285" s="27" t="s">
        <v>35</v>
      </c>
      <c r="M285" s="27" t="s">
        <v>36</v>
      </c>
      <c r="N285" s="17">
        <f t="shared" si="19"/>
        <v>44774</v>
      </c>
      <c r="O285" s="13" t="s">
        <v>34</v>
      </c>
      <c r="P285" s="13" t="s">
        <v>50</v>
      </c>
      <c r="Q285" s="13" t="s">
        <v>38</v>
      </c>
      <c r="R285" s="13" t="s">
        <v>1348</v>
      </c>
      <c r="S285" s="13" t="s">
        <v>52</v>
      </c>
      <c r="T285" s="28">
        <v>24.76</v>
      </c>
      <c r="U285" s="13" t="s">
        <v>28</v>
      </c>
      <c r="V285" s="13" t="s">
        <v>53</v>
      </c>
      <c r="W285" s="13" t="s">
        <v>48</v>
      </c>
      <c r="X285" s="17">
        <f t="shared" si="20"/>
        <v>44805</v>
      </c>
      <c r="Y285" s="3"/>
    </row>
    <row r="286" spans="1:25" ht="45" customHeight="1">
      <c r="A286" s="3">
        <v>284</v>
      </c>
      <c r="B286" s="13" t="s">
        <v>1349</v>
      </c>
      <c r="C286" s="13" t="s">
        <v>26</v>
      </c>
      <c r="D286" s="13" t="s">
        <v>1350</v>
      </c>
      <c r="E286" s="13" t="s">
        <v>28</v>
      </c>
      <c r="F286" s="13" t="s">
        <v>29</v>
      </c>
      <c r="G286" s="13" t="s">
        <v>1216</v>
      </c>
      <c r="H286" s="13" t="s">
        <v>1031</v>
      </c>
      <c r="I286" s="27" t="s">
        <v>1351</v>
      </c>
      <c r="J286" s="27" t="s">
        <v>33</v>
      </c>
      <c r="K286" s="27" t="s">
        <v>34</v>
      </c>
      <c r="L286" s="27" t="s">
        <v>35</v>
      </c>
      <c r="M286" s="27" t="s">
        <v>36</v>
      </c>
      <c r="N286" s="17">
        <f t="shared" si="19"/>
        <v>44774</v>
      </c>
      <c r="O286" s="13" t="s">
        <v>34</v>
      </c>
      <c r="P286" s="13" t="s">
        <v>1231</v>
      </c>
      <c r="Q286" s="13" t="s">
        <v>38</v>
      </c>
      <c r="R286" s="13" t="s">
        <v>1352</v>
      </c>
      <c r="S286" s="13" t="s">
        <v>1215</v>
      </c>
      <c r="T286" s="28">
        <v>29.71</v>
      </c>
      <c r="U286" s="13" t="s">
        <v>28</v>
      </c>
      <c r="V286" s="13" t="s">
        <v>89</v>
      </c>
      <c r="W286" s="13" t="s">
        <v>1219</v>
      </c>
      <c r="X286" s="17">
        <f t="shared" si="20"/>
        <v>44805</v>
      </c>
      <c r="Y286" s="3"/>
    </row>
    <row r="287" spans="1:25" ht="45" customHeight="1">
      <c r="A287" s="3">
        <v>285</v>
      </c>
      <c r="B287" s="13" t="s">
        <v>1353</v>
      </c>
      <c r="C287" s="13" t="s">
        <v>26</v>
      </c>
      <c r="D287" s="13" t="s">
        <v>1354</v>
      </c>
      <c r="E287" s="13" t="s">
        <v>28</v>
      </c>
      <c r="F287" s="13" t="s">
        <v>29</v>
      </c>
      <c r="G287" s="13" t="s">
        <v>1216</v>
      </c>
      <c r="H287" s="13" t="s">
        <v>1031</v>
      </c>
      <c r="I287" s="27" t="s">
        <v>1355</v>
      </c>
      <c r="J287" s="27" t="s">
        <v>33</v>
      </c>
      <c r="K287" s="27" t="s">
        <v>34</v>
      </c>
      <c r="L287" s="27" t="s">
        <v>35</v>
      </c>
      <c r="M287" s="27" t="s">
        <v>36</v>
      </c>
      <c r="N287" s="17">
        <f t="shared" si="19"/>
        <v>44774</v>
      </c>
      <c r="O287" s="13" t="s">
        <v>34</v>
      </c>
      <c r="P287" s="13" t="s">
        <v>1231</v>
      </c>
      <c r="Q287" s="13" t="s">
        <v>38</v>
      </c>
      <c r="R287" s="13" t="s">
        <v>1356</v>
      </c>
      <c r="S287" s="13" t="s">
        <v>1215</v>
      </c>
      <c r="T287" s="28">
        <v>25.44</v>
      </c>
      <c r="U287" s="13" t="s">
        <v>28</v>
      </c>
      <c r="V287" s="13" t="s">
        <v>89</v>
      </c>
      <c r="W287" s="13" t="s">
        <v>1219</v>
      </c>
      <c r="X287" s="17">
        <f t="shared" si="20"/>
        <v>44805</v>
      </c>
      <c r="Y287" s="3"/>
    </row>
    <row r="288" spans="1:25" ht="45" customHeight="1">
      <c r="A288" s="3">
        <v>286</v>
      </c>
      <c r="B288" s="13" t="s">
        <v>1357</v>
      </c>
      <c r="C288" s="13" t="s">
        <v>26</v>
      </c>
      <c r="D288" s="13" t="s">
        <v>263</v>
      </c>
      <c r="E288" s="13" t="s">
        <v>499</v>
      </c>
      <c r="F288" s="13" t="s">
        <v>29</v>
      </c>
      <c r="G288" s="13" t="s">
        <v>79</v>
      </c>
      <c r="H288" s="13" t="s">
        <v>406</v>
      </c>
      <c r="I288" s="27" t="s">
        <v>1358</v>
      </c>
      <c r="J288" s="27" t="s">
        <v>33</v>
      </c>
      <c r="K288" s="27" t="s">
        <v>34</v>
      </c>
      <c r="L288" s="27" t="s">
        <v>35</v>
      </c>
      <c r="M288" s="27" t="s">
        <v>36</v>
      </c>
      <c r="N288" s="17">
        <f t="shared" si="19"/>
        <v>44774</v>
      </c>
      <c r="O288" s="13" t="s">
        <v>107</v>
      </c>
      <c r="P288" s="13" t="s">
        <v>81</v>
      </c>
      <c r="Q288" s="13" t="s">
        <v>501</v>
      </c>
      <c r="R288" s="13" t="s">
        <v>1359</v>
      </c>
      <c r="S288" s="13" t="s">
        <v>503</v>
      </c>
      <c r="T288" s="28">
        <v>29.98</v>
      </c>
      <c r="U288" s="13" t="s">
        <v>499</v>
      </c>
      <c r="V288" s="13" t="s">
        <v>53</v>
      </c>
      <c r="W288" s="13" t="s">
        <v>79</v>
      </c>
      <c r="X288" s="17">
        <f t="shared" si="20"/>
        <v>44805</v>
      </c>
      <c r="Y288" s="3"/>
    </row>
    <row r="289" spans="1:25" ht="45" customHeight="1">
      <c r="A289" s="3">
        <v>287</v>
      </c>
      <c r="B289" s="13" t="s">
        <v>1360</v>
      </c>
      <c r="C289" s="13" t="s">
        <v>103</v>
      </c>
      <c r="D289" s="13" t="s">
        <v>1361</v>
      </c>
      <c r="E289" s="13" t="s">
        <v>28</v>
      </c>
      <c r="F289" s="13" t="s">
        <v>491</v>
      </c>
      <c r="G289" s="13" t="s">
        <v>1042</v>
      </c>
      <c r="H289" s="13" t="s">
        <v>406</v>
      </c>
      <c r="I289" s="27" t="s">
        <v>1362</v>
      </c>
      <c r="J289" s="27" t="s">
        <v>33</v>
      </c>
      <c r="K289" s="27" t="s">
        <v>106</v>
      </c>
      <c r="L289" s="27" t="s">
        <v>35</v>
      </c>
      <c r="M289" s="27" t="s">
        <v>36</v>
      </c>
      <c r="N289" s="17">
        <f t="shared" si="19"/>
        <v>44774</v>
      </c>
      <c r="O289" s="13" t="s">
        <v>34</v>
      </c>
      <c r="P289" s="13" t="s">
        <v>717</v>
      </c>
      <c r="Q289" s="13" t="s">
        <v>38</v>
      </c>
      <c r="R289" s="13" t="s">
        <v>1363</v>
      </c>
      <c r="S289" s="13" t="s">
        <v>496</v>
      </c>
      <c r="T289" s="28">
        <v>28.76</v>
      </c>
      <c r="U289" s="13" t="s">
        <v>28</v>
      </c>
      <c r="V289" s="13" t="s">
        <v>53</v>
      </c>
      <c r="W289" s="13" t="s">
        <v>1042</v>
      </c>
      <c r="X289" s="17">
        <f t="shared" si="20"/>
        <v>44805</v>
      </c>
      <c r="Y289" s="3"/>
    </row>
    <row r="290" spans="1:25" ht="45" customHeight="1">
      <c r="A290" s="3">
        <v>288</v>
      </c>
      <c r="B290" s="13" t="s">
        <v>1364</v>
      </c>
      <c r="C290" s="13" t="s">
        <v>103</v>
      </c>
      <c r="D290" s="13" t="s">
        <v>1365</v>
      </c>
      <c r="E290" s="13" t="s">
        <v>28</v>
      </c>
      <c r="F290" s="13" t="s">
        <v>29</v>
      </c>
      <c r="G290" s="13" t="s">
        <v>1216</v>
      </c>
      <c r="H290" s="13" t="s">
        <v>1031</v>
      </c>
      <c r="I290" s="27" t="s">
        <v>1366</v>
      </c>
      <c r="J290" s="27" t="s">
        <v>33</v>
      </c>
      <c r="K290" s="27" t="s">
        <v>106</v>
      </c>
      <c r="L290" s="27" t="s">
        <v>35</v>
      </c>
      <c r="M290" s="27" t="s">
        <v>36</v>
      </c>
      <c r="N290" s="17">
        <f t="shared" si="19"/>
        <v>44774</v>
      </c>
      <c r="O290" s="13" t="s">
        <v>34</v>
      </c>
      <c r="P290" s="13" t="s">
        <v>1215</v>
      </c>
      <c r="Q290" s="13" t="s">
        <v>38</v>
      </c>
      <c r="R290" s="13" t="s">
        <v>1367</v>
      </c>
      <c r="S290" s="13" t="s">
        <v>1215</v>
      </c>
      <c r="T290" s="28">
        <v>31.87</v>
      </c>
      <c r="U290" s="13" t="s">
        <v>28</v>
      </c>
      <c r="V290" s="13" t="s">
        <v>146</v>
      </c>
      <c r="W290" s="13" t="s">
        <v>1219</v>
      </c>
      <c r="X290" s="17">
        <f t="shared" si="20"/>
        <v>44805</v>
      </c>
      <c r="Y290" s="3"/>
    </row>
    <row r="291" spans="1:25" ht="45" customHeight="1">
      <c r="A291" s="3">
        <v>289</v>
      </c>
      <c r="B291" s="13" t="s">
        <v>1368</v>
      </c>
      <c r="C291" s="13" t="s">
        <v>103</v>
      </c>
      <c r="D291" s="13" t="s">
        <v>1369</v>
      </c>
      <c r="E291" s="13" t="s">
        <v>28</v>
      </c>
      <c r="F291" s="13" t="s">
        <v>29</v>
      </c>
      <c r="G291" s="13" t="s">
        <v>1216</v>
      </c>
      <c r="H291" s="13" t="s">
        <v>1031</v>
      </c>
      <c r="I291" s="27" t="s">
        <v>1370</v>
      </c>
      <c r="J291" s="27" t="s">
        <v>33</v>
      </c>
      <c r="K291" s="27" t="s">
        <v>106</v>
      </c>
      <c r="L291" s="27" t="s">
        <v>35</v>
      </c>
      <c r="M291" s="27" t="s">
        <v>36</v>
      </c>
      <c r="N291" s="17">
        <f t="shared" si="19"/>
        <v>44774</v>
      </c>
      <c r="O291" s="13" t="s">
        <v>34</v>
      </c>
      <c r="P291" s="13" t="s">
        <v>1215</v>
      </c>
      <c r="Q291" s="13" t="s">
        <v>38</v>
      </c>
      <c r="R291" s="13" t="s">
        <v>1371</v>
      </c>
      <c r="S291" s="13" t="s">
        <v>1215</v>
      </c>
      <c r="T291" s="28">
        <v>27.42</v>
      </c>
      <c r="U291" s="13" t="s">
        <v>28</v>
      </c>
      <c r="V291" s="13" t="s">
        <v>146</v>
      </c>
      <c r="W291" s="13" t="s">
        <v>1219</v>
      </c>
      <c r="X291" s="17">
        <f t="shared" si="20"/>
        <v>44805</v>
      </c>
      <c r="Y291" s="3"/>
    </row>
    <row r="292" spans="1:25" ht="45" customHeight="1">
      <c r="A292" s="3">
        <v>290</v>
      </c>
      <c r="B292" s="13" t="s">
        <v>1372</v>
      </c>
      <c r="C292" s="13" t="s">
        <v>26</v>
      </c>
      <c r="D292" s="13" t="s">
        <v>1373</v>
      </c>
      <c r="E292" s="13" t="s">
        <v>28</v>
      </c>
      <c r="F292" s="13" t="s">
        <v>29</v>
      </c>
      <c r="G292" s="13" t="s">
        <v>48</v>
      </c>
      <c r="H292" s="13" t="s">
        <v>31</v>
      </c>
      <c r="I292" s="27" t="s">
        <v>1374</v>
      </c>
      <c r="J292" s="27" t="s">
        <v>33</v>
      </c>
      <c r="K292" s="27" t="s">
        <v>34</v>
      </c>
      <c r="L292" s="27" t="s">
        <v>35</v>
      </c>
      <c r="M292" s="27" t="s">
        <v>36</v>
      </c>
      <c r="N292" s="17">
        <f t="shared" si="19"/>
        <v>44774</v>
      </c>
      <c r="O292" s="13" t="s">
        <v>34</v>
      </c>
      <c r="P292" s="13" t="s">
        <v>50</v>
      </c>
      <c r="Q292" s="13" t="s">
        <v>38</v>
      </c>
      <c r="R292" s="13" t="s">
        <v>1375</v>
      </c>
      <c r="S292" s="13" t="s">
        <v>52</v>
      </c>
      <c r="T292" s="28">
        <v>22.86</v>
      </c>
      <c r="U292" s="13" t="s">
        <v>28</v>
      </c>
      <c r="V292" s="13" t="s">
        <v>53</v>
      </c>
      <c r="W292" s="13" t="s">
        <v>48</v>
      </c>
      <c r="X292" s="17">
        <f t="shared" si="20"/>
        <v>44805</v>
      </c>
      <c r="Y292" s="3"/>
    </row>
    <row r="293" spans="1:25" ht="45" customHeight="1">
      <c r="A293" s="3">
        <v>291</v>
      </c>
      <c r="B293" s="13" t="s">
        <v>1376</v>
      </c>
      <c r="C293" s="13" t="s">
        <v>26</v>
      </c>
      <c r="D293" s="13" t="s">
        <v>1377</v>
      </c>
      <c r="E293" s="13" t="s">
        <v>28</v>
      </c>
      <c r="F293" s="13" t="s">
        <v>29</v>
      </c>
      <c r="G293" s="13" t="s">
        <v>48</v>
      </c>
      <c r="H293" s="13" t="s">
        <v>31</v>
      </c>
      <c r="I293" s="27" t="s">
        <v>1378</v>
      </c>
      <c r="J293" s="27" t="s">
        <v>33</v>
      </c>
      <c r="K293" s="27" t="s">
        <v>34</v>
      </c>
      <c r="L293" s="27" t="s">
        <v>35</v>
      </c>
      <c r="M293" s="27" t="s">
        <v>36</v>
      </c>
      <c r="N293" s="17">
        <f t="shared" si="19"/>
        <v>44774</v>
      </c>
      <c r="O293" s="13" t="s">
        <v>34</v>
      </c>
      <c r="P293" s="13" t="s">
        <v>52</v>
      </c>
      <c r="Q293" s="13" t="s">
        <v>38</v>
      </c>
      <c r="R293" s="13" t="s">
        <v>1379</v>
      </c>
      <c r="S293" s="13" t="s">
        <v>52</v>
      </c>
      <c r="T293" s="28">
        <v>26.24</v>
      </c>
      <c r="U293" s="13" t="s">
        <v>28</v>
      </c>
      <c r="V293" s="13" t="s">
        <v>146</v>
      </c>
      <c r="W293" s="13" t="s">
        <v>48</v>
      </c>
      <c r="X293" s="17">
        <f t="shared" si="20"/>
        <v>44805</v>
      </c>
      <c r="Y293" s="3"/>
    </row>
    <row r="294" spans="1:25" ht="45" customHeight="1">
      <c r="A294" s="3">
        <v>292</v>
      </c>
      <c r="B294" s="13" t="s">
        <v>1380</v>
      </c>
      <c r="C294" s="13" t="s">
        <v>26</v>
      </c>
      <c r="D294" s="13" t="s">
        <v>1381</v>
      </c>
      <c r="E294" s="13" t="s">
        <v>28</v>
      </c>
      <c r="F294" s="13" t="s">
        <v>29</v>
      </c>
      <c r="G294" s="13" t="s">
        <v>1216</v>
      </c>
      <c r="H294" s="13" t="s">
        <v>1031</v>
      </c>
      <c r="I294" s="27" t="s">
        <v>1382</v>
      </c>
      <c r="J294" s="27" t="s">
        <v>33</v>
      </c>
      <c r="K294" s="27" t="s">
        <v>34</v>
      </c>
      <c r="L294" s="27" t="s">
        <v>35</v>
      </c>
      <c r="M294" s="27" t="s">
        <v>36</v>
      </c>
      <c r="N294" s="17">
        <f t="shared" si="19"/>
        <v>44774</v>
      </c>
      <c r="O294" s="13" t="s">
        <v>34</v>
      </c>
      <c r="P294" s="13" t="s">
        <v>1221</v>
      </c>
      <c r="Q294" s="13" t="s">
        <v>38</v>
      </c>
      <c r="R294" s="13" t="s">
        <v>1383</v>
      </c>
      <c r="S294" s="13" t="s">
        <v>1215</v>
      </c>
      <c r="T294" s="28">
        <v>26.95</v>
      </c>
      <c r="U294" s="13" t="s">
        <v>28</v>
      </c>
      <c r="V294" s="13" t="s">
        <v>53</v>
      </c>
      <c r="W294" s="13" t="s">
        <v>1219</v>
      </c>
      <c r="X294" s="17">
        <f t="shared" si="20"/>
        <v>44805</v>
      </c>
      <c r="Y294" s="3"/>
    </row>
    <row r="295" spans="1:25" ht="45" customHeight="1">
      <c r="A295" s="3">
        <v>293</v>
      </c>
      <c r="B295" s="13" t="s">
        <v>1384</v>
      </c>
      <c r="C295" s="13" t="s">
        <v>26</v>
      </c>
      <c r="D295" s="13" t="s">
        <v>1385</v>
      </c>
      <c r="E295" s="13" t="s">
        <v>28</v>
      </c>
      <c r="F295" s="13" t="s">
        <v>29</v>
      </c>
      <c r="G295" s="13" t="s">
        <v>79</v>
      </c>
      <c r="H295" s="13" t="s">
        <v>1031</v>
      </c>
      <c r="I295" s="27" t="s">
        <v>1386</v>
      </c>
      <c r="J295" s="27" t="s">
        <v>33</v>
      </c>
      <c r="K295" s="27" t="s">
        <v>34</v>
      </c>
      <c r="L295" s="27" t="s">
        <v>35</v>
      </c>
      <c r="M295" s="27" t="s">
        <v>36</v>
      </c>
      <c r="N295" s="17">
        <f t="shared" si="19"/>
        <v>44774</v>
      </c>
      <c r="O295" s="13" t="s">
        <v>34</v>
      </c>
      <c r="P295" s="13" t="s">
        <v>1387</v>
      </c>
      <c r="Q295" s="13" t="s">
        <v>38</v>
      </c>
      <c r="R295" s="13" t="s">
        <v>1388</v>
      </c>
      <c r="S295" s="13" t="s">
        <v>81</v>
      </c>
      <c r="T295" s="28">
        <v>29.53</v>
      </c>
      <c r="U295" s="13" t="s">
        <v>28</v>
      </c>
      <c r="V295" s="13" t="s">
        <v>89</v>
      </c>
      <c r="W295" s="13" t="s">
        <v>79</v>
      </c>
      <c r="X295" s="17">
        <f t="shared" si="20"/>
        <v>44805</v>
      </c>
      <c r="Y295" s="3"/>
    </row>
    <row r="296" spans="1:25" ht="45" customHeight="1">
      <c r="A296" s="3">
        <v>294</v>
      </c>
      <c r="B296" s="13" t="s">
        <v>1389</v>
      </c>
      <c r="C296" s="13" t="s">
        <v>26</v>
      </c>
      <c r="D296" s="13" t="s">
        <v>1390</v>
      </c>
      <c r="E296" s="13" t="s">
        <v>28</v>
      </c>
      <c r="F296" s="13" t="s">
        <v>29</v>
      </c>
      <c r="G296" s="13" t="s">
        <v>79</v>
      </c>
      <c r="H296" s="13" t="s">
        <v>31</v>
      </c>
      <c r="I296" s="27" t="s">
        <v>1391</v>
      </c>
      <c r="J296" s="27" t="s">
        <v>33</v>
      </c>
      <c r="K296" s="27" t="s">
        <v>34</v>
      </c>
      <c r="L296" s="27" t="s">
        <v>35</v>
      </c>
      <c r="M296" s="27" t="s">
        <v>36</v>
      </c>
      <c r="N296" s="17">
        <f t="shared" si="19"/>
        <v>44774</v>
      </c>
      <c r="O296" s="13" t="s">
        <v>34</v>
      </c>
      <c r="P296" s="13" t="s">
        <v>81</v>
      </c>
      <c r="Q296" s="13" t="s">
        <v>38</v>
      </c>
      <c r="R296" s="13" t="s">
        <v>1392</v>
      </c>
      <c r="S296" s="13" t="s">
        <v>81</v>
      </c>
      <c r="T296" s="28">
        <v>30.45</v>
      </c>
      <c r="U296" s="13" t="s">
        <v>28</v>
      </c>
      <c r="V296" s="13" t="s">
        <v>40</v>
      </c>
      <c r="W296" s="13" t="s">
        <v>79</v>
      </c>
      <c r="X296" s="17">
        <f t="shared" si="20"/>
        <v>44805</v>
      </c>
      <c r="Y296" s="3"/>
    </row>
    <row r="297" spans="1:25" ht="45" customHeight="1">
      <c r="A297" s="3">
        <v>295</v>
      </c>
      <c r="B297" s="13" t="s">
        <v>1393</v>
      </c>
      <c r="C297" s="13" t="s">
        <v>26</v>
      </c>
      <c r="D297" s="13" t="s">
        <v>1394</v>
      </c>
      <c r="E297" s="13" t="s">
        <v>1054</v>
      </c>
      <c r="F297" s="13" t="s">
        <v>29</v>
      </c>
      <c r="G297" s="13" t="s">
        <v>1395</v>
      </c>
      <c r="H297" s="13" t="s">
        <v>406</v>
      </c>
      <c r="I297" s="27" t="s">
        <v>1396</v>
      </c>
      <c r="J297" s="27" t="s">
        <v>33</v>
      </c>
      <c r="K297" s="27" t="s">
        <v>34</v>
      </c>
      <c r="L297" s="27" t="s">
        <v>35</v>
      </c>
      <c r="M297" s="27" t="s">
        <v>36</v>
      </c>
      <c r="N297" s="17">
        <f t="shared" si="19"/>
        <v>44774</v>
      </c>
      <c r="O297" s="13" t="s">
        <v>107</v>
      </c>
      <c r="P297" s="13" t="s">
        <v>52</v>
      </c>
      <c r="Q297" s="13" t="s">
        <v>1054</v>
      </c>
      <c r="R297" s="13" t="s">
        <v>1397</v>
      </c>
      <c r="S297" s="13" t="s">
        <v>403</v>
      </c>
      <c r="T297" s="28">
        <v>27.27</v>
      </c>
      <c r="U297" s="13" t="s">
        <v>1054</v>
      </c>
      <c r="V297" s="13" t="s">
        <v>752</v>
      </c>
      <c r="W297" s="13" t="s">
        <v>1398</v>
      </c>
      <c r="X297" s="17">
        <f t="shared" si="20"/>
        <v>44805</v>
      </c>
      <c r="Y297" s="3"/>
    </row>
    <row r="298" spans="1:25" ht="45" customHeight="1">
      <c r="A298" s="3">
        <v>296</v>
      </c>
      <c r="B298" s="13" t="s">
        <v>1399</v>
      </c>
      <c r="C298" s="13" t="s">
        <v>103</v>
      </c>
      <c r="D298" s="13" t="s">
        <v>1400</v>
      </c>
      <c r="E298" s="13" t="s">
        <v>28</v>
      </c>
      <c r="F298" s="13" t="s">
        <v>29</v>
      </c>
      <c r="G298" s="13" t="s">
        <v>56</v>
      </c>
      <c r="H298" s="13" t="s">
        <v>1031</v>
      </c>
      <c r="I298" s="27" t="s">
        <v>1401</v>
      </c>
      <c r="J298" s="27" t="s">
        <v>33</v>
      </c>
      <c r="K298" s="27" t="s">
        <v>106</v>
      </c>
      <c r="L298" s="27" t="s">
        <v>35</v>
      </c>
      <c r="M298" s="27" t="s">
        <v>36</v>
      </c>
      <c r="N298" s="17">
        <f t="shared" si="19"/>
        <v>44774</v>
      </c>
      <c r="O298" s="13" t="s">
        <v>34</v>
      </c>
      <c r="P298" s="13" t="s">
        <v>58</v>
      </c>
      <c r="Q298" s="13" t="s">
        <v>38</v>
      </c>
      <c r="R298" s="13" t="s">
        <v>1402</v>
      </c>
      <c r="S298" s="13" t="s">
        <v>58</v>
      </c>
      <c r="T298" s="28">
        <v>27.18</v>
      </c>
      <c r="U298" s="13" t="s">
        <v>28</v>
      </c>
      <c r="V298" s="13" t="s">
        <v>53</v>
      </c>
      <c r="W298" s="13" t="s">
        <v>56</v>
      </c>
      <c r="X298" s="17">
        <f t="shared" si="20"/>
        <v>44805</v>
      </c>
      <c r="Y298" s="3"/>
    </row>
    <row r="299" spans="1:25" ht="45" customHeight="1">
      <c r="A299" s="3">
        <v>297</v>
      </c>
      <c r="B299" s="13" t="s">
        <v>1403</v>
      </c>
      <c r="C299" s="13" t="s">
        <v>26</v>
      </c>
      <c r="D299" s="13" t="s">
        <v>1404</v>
      </c>
      <c r="E299" s="13" t="s">
        <v>28</v>
      </c>
      <c r="F299" s="13" t="s">
        <v>29</v>
      </c>
      <c r="G299" s="13" t="s">
        <v>72</v>
      </c>
      <c r="H299" s="13" t="s">
        <v>31</v>
      </c>
      <c r="I299" s="27" t="s">
        <v>1405</v>
      </c>
      <c r="J299" s="27" t="s">
        <v>33</v>
      </c>
      <c r="K299" s="27" t="s">
        <v>34</v>
      </c>
      <c r="L299" s="27" t="s">
        <v>35</v>
      </c>
      <c r="M299" s="27" t="s">
        <v>36</v>
      </c>
      <c r="N299" s="17">
        <f t="shared" si="19"/>
        <v>44774</v>
      </c>
      <c r="O299" s="13" t="s">
        <v>34</v>
      </c>
      <c r="P299" s="13" t="s">
        <v>74</v>
      </c>
      <c r="Q299" s="13" t="s">
        <v>38</v>
      </c>
      <c r="R299" s="13" t="s">
        <v>1406</v>
      </c>
      <c r="S299" s="13" t="s">
        <v>74</v>
      </c>
      <c r="T299" s="28">
        <v>30.79</v>
      </c>
      <c r="U299" s="13" t="s">
        <v>28</v>
      </c>
      <c r="V299" s="13" t="s">
        <v>76</v>
      </c>
      <c r="W299" s="13" t="s">
        <v>72</v>
      </c>
      <c r="X299" s="17">
        <f t="shared" si="20"/>
        <v>44805</v>
      </c>
      <c r="Y299" s="3"/>
    </row>
    <row r="300" spans="1:25" ht="45" customHeight="1">
      <c r="A300" s="3">
        <v>298</v>
      </c>
      <c r="B300" s="13" t="s">
        <v>1407</v>
      </c>
      <c r="C300" s="13" t="s">
        <v>26</v>
      </c>
      <c r="D300" s="13" t="s">
        <v>1408</v>
      </c>
      <c r="E300" s="13" t="s">
        <v>28</v>
      </c>
      <c r="F300" s="13" t="s">
        <v>29</v>
      </c>
      <c r="G300" s="13" t="s">
        <v>1058</v>
      </c>
      <c r="H300" s="13" t="s">
        <v>1031</v>
      </c>
      <c r="I300" s="27" t="s">
        <v>1409</v>
      </c>
      <c r="J300" s="27" t="s">
        <v>33</v>
      </c>
      <c r="K300" s="27" t="s">
        <v>34</v>
      </c>
      <c r="L300" s="27" t="s">
        <v>35</v>
      </c>
      <c r="M300" s="27" t="s">
        <v>36</v>
      </c>
      <c r="N300" s="17">
        <f t="shared" si="19"/>
        <v>44774</v>
      </c>
      <c r="O300" s="13" t="s">
        <v>1198</v>
      </c>
      <c r="P300" s="13" t="s">
        <v>1060</v>
      </c>
      <c r="Q300" s="13" t="s">
        <v>38</v>
      </c>
      <c r="R300" s="13" t="s">
        <v>1410</v>
      </c>
      <c r="S300" s="13" t="s">
        <v>87</v>
      </c>
      <c r="T300" s="28">
        <v>28.18</v>
      </c>
      <c r="U300" s="13" t="s">
        <v>28</v>
      </c>
      <c r="V300" s="13" t="s">
        <v>53</v>
      </c>
      <c r="W300" s="13" t="s">
        <v>1058</v>
      </c>
      <c r="X300" s="17">
        <f t="shared" si="20"/>
        <v>44805</v>
      </c>
      <c r="Y300" s="3"/>
    </row>
    <row r="301" spans="1:25" ht="45" customHeight="1">
      <c r="A301" s="3">
        <v>299</v>
      </c>
      <c r="B301" s="13" t="s">
        <v>1411</v>
      </c>
      <c r="C301" s="13" t="s">
        <v>26</v>
      </c>
      <c r="D301" s="13" t="s">
        <v>966</v>
      </c>
      <c r="E301" s="13" t="s">
        <v>445</v>
      </c>
      <c r="F301" s="13" t="s">
        <v>446</v>
      </c>
      <c r="G301" s="13" t="s">
        <v>860</v>
      </c>
      <c r="H301" s="13" t="s">
        <v>406</v>
      </c>
      <c r="I301" s="27" t="s">
        <v>1412</v>
      </c>
      <c r="J301" s="27" t="s">
        <v>33</v>
      </c>
      <c r="K301" s="27" t="s">
        <v>34</v>
      </c>
      <c r="L301" s="27" t="s">
        <v>208</v>
      </c>
      <c r="M301" s="27" t="s">
        <v>209</v>
      </c>
      <c r="N301" s="17">
        <f>DATE(2022,8,15)</f>
        <v>44788</v>
      </c>
      <c r="O301" s="13" t="s">
        <v>107</v>
      </c>
      <c r="P301" s="13" t="s">
        <v>449</v>
      </c>
      <c r="Q301" s="13" t="s">
        <v>431</v>
      </c>
      <c r="R301" s="13" t="s">
        <v>1413</v>
      </c>
      <c r="S301" s="13" t="s">
        <v>403</v>
      </c>
      <c r="T301" s="28">
        <v>31.49</v>
      </c>
      <c r="U301" s="13" t="s">
        <v>445</v>
      </c>
      <c r="V301" s="13" t="s">
        <v>53</v>
      </c>
      <c r="W301" s="13" t="s">
        <v>860</v>
      </c>
      <c r="X301" s="17">
        <f>DATE(2022,11,15)</f>
        <v>44880</v>
      </c>
      <c r="Y301" s="3"/>
    </row>
    <row r="302" spans="1:25" ht="45" customHeight="1">
      <c r="A302" s="3">
        <v>300</v>
      </c>
      <c r="B302" s="13" t="s">
        <v>1414</v>
      </c>
      <c r="C302" s="13" t="s">
        <v>103</v>
      </c>
      <c r="D302" s="13" t="s">
        <v>1415</v>
      </c>
      <c r="E302" s="13" t="s">
        <v>445</v>
      </c>
      <c r="F302" s="13" t="s">
        <v>491</v>
      </c>
      <c r="G302" s="13" t="s">
        <v>899</v>
      </c>
      <c r="H302" s="13" t="s">
        <v>406</v>
      </c>
      <c r="I302" s="27" t="s">
        <v>1416</v>
      </c>
      <c r="J302" s="27" t="s">
        <v>33</v>
      </c>
      <c r="K302" s="27" t="s">
        <v>106</v>
      </c>
      <c r="L302" s="27" t="s">
        <v>35</v>
      </c>
      <c r="M302" s="27" t="s">
        <v>36</v>
      </c>
      <c r="N302" s="17">
        <f>DATE(2022,8,15)</f>
        <v>44788</v>
      </c>
      <c r="O302" s="13" t="s">
        <v>107</v>
      </c>
      <c r="P302" s="13" t="s">
        <v>898</v>
      </c>
      <c r="Q302" s="13" t="s">
        <v>431</v>
      </c>
      <c r="R302" s="13" t="s">
        <v>1417</v>
      </c>
      <c r="S302" s="13" t="s">
        <v>496</v>
      </c>
      <c r="T302" s="28">
        <v>30.39</v>
      </c>
      <c r="U302" s="13" t="s">
        <v>445</v>
      </c>
      <c r="V302" s="13" t="s">
        <v>413</v>
      </c>
      <c r="W302" s="13" t="s">
        <v>899</v>
      </c>
      <c r="X302" s="17">
        <f>DATE(2022,11,15)</f>
        <v>44880</v>
      </c>
      <c r="Y302" s="3"/>
    </row>
    <row r="303" spans="1:25" ht="45" customHeight="1">
      <c r="A303" s="3">
        <v>301</v>
      </c>
      <c r="B303" s="13" t="s">
        <v>1418</v>
      </c>
      <c r="C303" s="13" t="s">
        <v>26</v>
      </c>
      <c r="D303" s="13" t="s">
        <v>1419</v>
      </c>
      <c r="E303" s="13" t="s">
        <v>762</v>
      </c>
      <c r="F303" s="13" t="s">
        <v>446</v>
      </c>
      <c r="G303" s="13" t="s">
        <v>516</v>
      </c>
      <c r="H303" s="13" t="s">
        <v>406</v>
      </c>
      <c r="I303" s="27" t="s">
        <v>1420</v>
      </c>
      <c r="J303" s="27" t="s">
        <v>33</v>
      </c>
      <c r="K303" s="27" t="s">
        <v>34</v>
      </c>
      <c r="L303" s="27" t="s">
        <v>35</v>
      </c>
      <c r="M303" s="27" t="s">
        <v>36</v>
      </c>
      <c r="N303" s="17">
        <f>DATE(2022,8,15)</f>
        <v>44788</v>
      </c>
      <c r="O303" s="13" t="s">
        <v>107</v>
      </c>
      <c r="P303" s="13" t="s">
        <v>449</v>
      </c>
      <c r="Q303" s="13" t="s">
        <v>670</v>
      </c>
      <c r="R303" s="13" t="s">
        <v>1421</v>
      </c>
      <c r="S303" s="13" t="s">
        <v>449</v>
      </c>
      <c r="T303" s="28">
        <v>30.5</v>
      </c>
      <c r="U303" s="13" t="s">
        <v>765</v>
      </c>
      <c r="V303" s="13" t="s">
        <v>146</v>
      </c>
      <c r="W303" s="13" t="s">
        <v>516</v>
      </c>
      <c r="X303" s="17">
        <f>DATE(2022,11,15)</f>
        <v>44880</v>
      </c>
      <c r="Y303" s="3"/>
    </row>
    <row r="304" spans="1:25" ht="45" customHeight="1">
      <c r="A304" s="3">
        <v>302</v>
      </c>
      <c r="B304" s="13" t="s">
        <v>1422</v>
      </c>
      <c r="C304" s="13" t="s">
        <v>26</v>
      </c>
      <c r="D304" s="13" t="s">
        <v>1423</v>
      </c>
      <c r="E304" s="13" t="s">
        <v>28</v>
      </c>
      <c r="F304" s="13" t="s">
        <v>29</v>
      </c>
      <c r="G304" s="13" t="s">
        <v>85</v>
      </c>
      <c r="H304" s="13" t="s">
        <v>1031</v>
      </c>
      <c r="I304" s="27" t="s">
        <v>1424</v>
      </c>
      <c r="J304" s="27" t="s">
        <v>33</v>
      </c>
      <c r="K304" s="27" t="s">
        <v>34</v>
      </c>
      <c r="L304" s="27" t="s">
        <v>35</v>
      </c>
      <c r="M304" s="27" t="s">
        <v>36</v>
      </c>
      <c r="N304" s="17">
        <f>DATE(2022,8,1)</f>
        <v>44774</v>
      </c>
      <c r="O304" s="13" t="s">
        <v>34</v>
      </c>
      <c r="P304" s="13" t="s">
        <v>230</v>
      </c>
      <c r="Q304" s="13" t="s">
        <v>38</v>
      </c>
      <c r="R304" s="13" t="s">
        <v>1425</v>
      </c>
      <c r="S304" s="13" t="s">
        <v>87</v>
      </c>
      <c r="T304" s="28">
        <v>23.14</v>
      </c>
      <c r="U304" s="13" t="s">
        <v>28</v>
      </c>
      <c r="V304" s="13" t="s">
        <v>146</v>
      </c>
      <c r="W304" s="13" t="s">
        <v>85</v>
      </c>
      <c r="X304" s="17">
        <f>DATE(2022,9,1)</f>
        <v>44805</v>
      </c>
      <c r="Y304" s="3"/>
    </row>
    <row r="305" spans="1:25" ht="45" customHeight="1">
      <c r="A305" s="3">
        <v>303</v>
      </c>
      <c r="B305" s="13" t="s">
        <v>1426</v>
      </c>
      <c r="C305" s="13" t="s">
        <v>26</v>
      </c>
      <c r="D305" s="13" t="s">
        <v>1427</v>
      </c>
      <c r="E305" s="13" t="s">
        <v>28</v>
      </c>
      <c r="F305" s="13" t="s">
        <v>29</v>
      </c>
      <c r="G305" s="13" t="s">
        <v>79</v>
      </c>
      <c r="H305" s="13" t="s">
        <v>31</v>
      </c>
      <c r="I305" s="27" t="s">
        <v>1428</v>
      </c>
      <c r="J305" s="27" t="s">
        <v>33</v>
      </c>
      <c r="K305" s="27" t="s">
        <v>34</v>
      </c>
      <c r="L305" s="27" t="s">
        <v>35</v>
      </c>
      <c r="M305" s="27" t="s">
        <v>36</v>
      </c>
      <c r="N305" s="17">
        <f>DATE(2022,8,1)</f>
        <v>44774</v>
      </c>
      <c r="O305" s="13" t="s">
        <v>34</v>
      </c>
      <c r="P305" s="13" t="s">
        <v>81</v>
      </c>
      <c r="Q305" s="13" t="s">
        <v>38</v>
      </c>
      <c r="R305" s="13" t="s">
        <v>1429</v>
      </c>
      <c r="S305" s="13" t="s">
        <v>81</v>
      </c>
      <c r="T305" s="28">
        <v>41.23</v>
      </c>
      <c r="U305" s="13" t="s">
        <v>28</v>
      </c>
      <c r="V305" s="13" t="s">
        <v>76</v>
      </c>
      <c r="W305" s="13" t="s">
        <v>79</v>
      </c>
      <c r="X305" s="17">
        <f>DATE(2022,9,1)</f>
        <v>44805</v>
      </c>
      <c r="Y305" s="3"/>
    </row>
    <row r="306" spans="1:25" ht="45" customHeight="1">
      <c r="A306" s="3">
        <v>304</v>
      </c>
      <c r="B306" s="13" t="s">
        <v>1430</v>
      </c>
      <c r="C306" s="13" t="s">
        <v>26</v>
      </c>
      <c r="D306" s="13" t="s">
        <v>1431</v>
      </c>
      <c r="E306" s="13" t="s">
        <v>1064</v>
      </c>
      <c r="F306" s="13" t="s">
        <v>29</v>
      </c>
      <c r="G306" s="13" t="s">
        <v>537</v>
      </c>
      <c r="H306" s="13" t="s">
        <v>1031</v>
      </c>
      <c r="I306" s="27" t="s">
        <v>1432</v>
      </c>
      <c r="J306" s="27" t="s">
        <v>33</v>
      </c>
      <c r="K306" s="27" t="s">
        <v>34</v>
      </c>
      <c r="L306" s="27" t="s">
        <v>35</v>
      </c>
      <c r="M306" s="27" t="s">
        <v>36</v>
      </c>
      <c r="N306" s="17">
        <f>DATE(2022,8,1)</f>
        <v>44774</v>
      </c>
      <c r="O306" s="13" t="s">
        <v>34</v>
      </c>
      <c r="P306" s="13" t="s">
        <v>64</v>
      </c>
      <c r="Q306" s="13" t="s">
        <v>38</v>
      </c>
      <c r="R306" s="13" t="s">
        <v>1433</v>
      </c>
      <c r="S306" s="13" t="s">
        <v>64</v>
      </c>
      <c r="T306" s="28">
        <v>25.13</v>
      </c>
      <c r="U306" s="13" t="s">
        <v>28</v>
      </c>
      <c r="V306" s="13" t="s">
        <v>89</v>
      </c>
      <c r="W306" s="13" t="s">
        <v>537</v>
      </c>
      <c r="X306" s="17">
        <f>DATE(2022,9,1)</f>
        <v>44805</v>
      </c>
      <c r="Y306" s="3"/>
    </row>
    <row r="307" spans="1:25" ht="45" customHeight="1">
      <c r="A307" s="3">
        <v>305</v>
      </c>
      <c r="B307" s="13" t="s">
        <v>1434</v>
      </c>
      <c r="C307" s="13" t="s">
        <v>26</v>
      </c>
      <c r="D307" s="13" t="s">
        <v>1435</v>
      </c>
      <c r="E307" s="13" t="s">
        <v>755</v>
      </c>
      <c r="F307" s="13" t="s">
        <v>417</v>
      </c>
      <c r="G307" s="13" t="s">
        <v>756</v>
      </c>
      <c r="H307" s="13" t="s">
        <v>419</v>
      </c>
      <c r="I307" s="27" t="s">
        <v>1436</v>
      </c>
      <c r="J307" s="27" t="s">
        <v>33</v>
      </c>
      <c r="K307" s="27" t="s">
        <v>34</v>
      </c>
      <c r="L307" s="27" t="s">
        <v>35</v>
      </c>
      <c r="M307" s="27" t="s">
        <v>36</v>
      </c>
      <c r="N307" s="17">
        <f>DATE(2022,8,22)</f>
        <v>44795</v>
      </c>
      <c r="O307" s="13" t="s">
        <v>34</v>
      </c>
      <c r="P307" s="13" t="s">
        <v>693</v>
      </c>
      <c r="Q307" s="13" t="s">
        <v>38</v>
      </c>
      <c r="R307" s="13" t="s">
        <v>1437</v>
      </c>
      <c r="S307" s="13" t="s">
        <v>423</v>
      </c>
      <c r="T307" s="28">
        <v>29.08</v>
      </c>
      <c r="U307" s="13" t="s">
        <v>755</v>
      </c>
      <c r="V307" s="13" t="s">
        <v>799</v>
      </c>
      <c r="W307" s="13" t="s">
        <v>759</v>
      </c>
      <c r="X307" s="17">
        <f>DATE(2022,11,22)</f>
        <v>44887</v>
      </c>
      <c r="Y307" s="3"/>
    </row>
    <row r="308" spans="1:25" ht="45" customHeight="1">
      <c r="A308" s="3">
        <v>306</v>
      </c>
      <c r="B308" s="13" t="s">
        <v>1438</v>
      </c>
      <c r="C308" s="13" t="s">
        <v>26</v>
      </c>
      <c r="D308" s="13" t="s">
        <v>709</v>
      </c>
      <c r="E308" s="13" t="s">
        <v>810</v>
      </c>
      <c r="F308" s="13" t="s">
        <v>706</v>
      </c>
      <c r="G308" s="13" t="s">
        <v>870</v>
      </c>
      <c r="H308" s="13" t="s">
        <v>706</v>
      </c>
      <c r="I308" s="27" t="s">
        <v>1439</v>
      </c>
      <c r="J308" s="27" t="s">
        <v>33</v>
      </c>
      <c r="K308" s="27" t="s">
        <v>34</v>
      </c>
      <c r="L308" s="27" t="s">
        <v>208</v>
      </c>
      <c r="M308" s="27" t="s">
        <v>209</v>
      </c>
      <c r="N308" s="17">
        <f>DATE(2022,8,22)</f>
        <v>44795</v>
      </c>
      <c r="O308" s="13" t="s">
        <v>107</v>
      </c>
      <c r="P308" s="13" t="s">
        <v>709</v>
      </c>
      <c r="Q308" s="13" t="s">
        <v>411</v>
      </c>
      <c r="R308" s="13" t="s">
        <v>1440</v>
      </c>
      <c r="S308" s="13" t="s">
        <v>458</v>
      </c>
      <c r="T308" s="28">
        <v>53.01</v>
      </c>
      <c r="U308" s="13" t="s">
        <v>810</v>
      </c>
      <c r="V308" s="13" t="s">
        <v>413</v>
      </c>
      <c r="W308" s="13" t="s">
        <v>873</v>
      </c>
      <c r="X308" s="17">
        <f>DATE(2022,11,22)</f>
        <v>44887</v>
      </c>
      <c r="Y308" s="3"/>
    </row>
    <row r="309" spans="1:25" ht="45" customHeight="1">
      <c r="A309" s="3">
        <v>307</v>
      </c>
      <c r="B309" s="13" t="s">
        <v>1441</v>
      </c>
      <c r="C309" s="13" t="s">
        <v>26</v>
      </c>
      <c r="D309" s="13" t="s">
        <v>1442</v>
      </c>
      <c r="E309" s="13" t="s">
        <v>1443</v>
      </c>
      <c r="F309" s="13" t="s">
        <v>417</v>
      </c>
      <c r="G309" s="13" t="s">
        <v>695</v>
      </c>
      <c r="H309" s="13" t="s">
        <v>419</v>
      </c>
      <c r="I309" s="27" t="s">
        <v>1444</v>
      </c>
      <c r="J309" s="27" t="s">
        <v>33</v>
      </c>
      <c r="K309" s="27" t="s">
        <v>34</v>
      </c>
      <c r="L309" s="27" t="s">
        <v>35</v>
      </c>
      <c r="M309" s="27" t="s">
        <v>36</v>
      </c>
      <c r="N309" s="17">
        <f>DATE(2022,8,22)</f>
        <v>44795</v>
      </c>
      <c r="O309" s="13" t="s">
        <v>34</v>
      </c>
      <c r="P309" s="13" t="s">
        <v>693</v>
      </c>
      <c r="Q309" s="13" t="s">
        <v>38</v>
      </c>
      <c r="R309" s="13" t="s">
        <v>1445</v>
      </c>
      <c r="S309" s="13" t="s">
        <v>423</v>
      </c>
      <c r="T309" s="28">
        <v>27.75</v>
      </c>
      <c r="U309" s="13" t="s">
        <v>880</v>
      </c>
      <c r="V309" s="13" t="s">
        <v>146</v>
      </c>
      <c r="W309" s="13" t="s">
        <v>699</v>
      </c>
      <c r="X309" s="17">
        <f>DATE(2022,11,22)</f>
        <v>44887</v>
      </c>
      <c r="Y309" s="3"/>
    </row>
    <row r="310" spans="1:25" ht="45" customHeight="1">
      <c r="A310" s="3">
        <v>308</v>
      </c>
      <c r="B310" s="13" t="s">
        <v>1446</v>
      </c>
      <c r="C310" s="13" t="s">
        <v>103</v>
      </c>
      <c r="D310" s="13" t="s">
        <v>1447</v>
      </c>
      <c r="E310" s="13" t="s">
        <v>660</v>
      </c>
      <c r="F310" s="13" t="s">
        <v>744</v>
      </c>
      <c r="G310" s="13" t="s">
        <v>38</v>
      </c>
      <c r="H310" s="13" t="s">
        <v>744</v>
      </c>
      <c r="I310" s="27" t="s">
        <v>1448</v>
      </c>
      <c r="J310" s="27" t="s">
        <v>33</v>
      </c>
      <c r="K310" s="27" t="s">
        <v>106</v>
      </c>
      <c r="L310" s="27" t="s">
        <v>35</v>
      </c>
      <c r="M310" s="27" t="s">
        <v>36</v>
      </c>
      <c r="N310" s="17">
        <f>DATE(2022,8,22)</f>
        <v>44795</v>
      </c>
      <c r="O310" s="13" t="s">
        <v>107</v>
      </c>
      <c r="P310" s="13" t="s">
        <v>456</v>
      </c>
      <c r="Q310" s="13" t="s">
        <v>431</v>
      </c>
      <c r="R310" s="13" t="s">
        <v>1449</v>
      </c>
      <c r="S310" s="13" t="s">
        <v>458</v>
      </c>
      <c r="T310" s="28">
        <v>35.43</v>
      </c>
      <c r="U310" s="13" t="s">
        <v>445</v>
      </c>
      <c r="V310" s="13" t="s">
        <v>413</v>
      </c>
      <c r="W310" s="13" t="s">
        <v>778</v>
      </c>
      <c r="X310" s="17">
        <f>DATE(2022,11,22)</f>
        <v>44887</v>
      </c>
      <c r="Y310" s="3"/>
    </row>
    <row r="311" spans="1:25" ht="45" customHeight="1">
      <c r="A311" s="3">
        <v>309</v>
      </c>
      <c r="B311" s="13" t="s">
        <v>1450</v>
      </c>
      <c r="C311" s="13" t="s">
        <v>103</v>
      </c>
      <c r="D311" s="13" t="s">
        <v>1451</v>
      </c>
      <c r="E311" s="13" t="s">
        <v>499</v>
      </c>
      <c r="F311" s="13" t="s">
        <v>491</v>
      </c>
      <c r="G311" s="13" t="s">
        <v>830</v>
      </c>
      <c r="H311" s="13" t="s">
        <v>406</v>
      </c>
      <c r="I311" s="27" t="s">
        <v>1452</v>
      </c>
      <c r="J311" s="27" t="s">
        <v>33</v>
      </c>
      <c r="K311" s="27" t="s">
        <v>106</v>
      </c>
      <c r="L311" s="27" t="s">
        <v>35</v>
      </c>
      <c r="M311" s="27" t="s">
        <v>36</v>
      </c>
      <c r="N311" s="17">
        <f>DATE(2022,8,29)</f>
        <v>44802</v>
      </c>
      <c r="O311" s="13" t="s">
        <v>107</v>
      </c>
      <c r="P311" s="13" t="s">
        <v>505</v>
      </c>
      <c r="Q311" s="13" t="s">
        <v>501</v>
      </c>
      <c r="R311" s="13" t="s">
        <v>1453</v>
      </c>
      <c r="S311" s="13" t="s">
        <v>496</v>
      </c>
      <c r="T311" s="28">
        <v>24.1</v>
      </c>
      <c r="U311" s="13" t="s">
        <v>499</v>
      </c>
      <c r="V311" s="13" t="s">
        <v>53</v>
      </c>
      <c r="W311" s="13" t="s">
        <v>833</v>
      </c>
      <c r="X311" s="17">
        <f>DATE(2022,11,29)</f>
        <v>44894</v>
      </c>
      <c r="Y311" s="3"/>
    </row>
    <row r="312" spans="1:25" ht="45" customHeight="1">
      <c r="A312" s="3">
        <v>310</v>
      </c>
      <c r="B312" s="13" t="s">
        <v>1454</v>
      </c>
      <c r="C312" s="13" t="s">
        <v>103</v>
      </c>
      <c r="D312" s="13" t="s">
        <v>1455</v>
      </c>
      <c r="E312" s="13" t="s">
        <v>1041</v>
      </c>
      <c r="F312" s="13" t="s">
        <v>491</v>
      </c>
      <c r="G312" s="13" t="s">
        <v>950</v>
      </c>
      <c r="H312" s="13" t="s">
        <v>406</v>
      </c>
      <c r="I312" s="27" t="s">
        <v>1456</v>
      </c>
      <c r="J312" s="27" t="s">
        <v>33</v>
      </c>
      <c r="K312" s="27" t="s">
        <v>106</v>
      </c>
      <c r="L312" s="27" t="s">
        <v>35</v>
      </c>
      <c r="M312" s="27" t="s">
        <v>36</v>
      </c>
      <c r="N312" s="17">
        <f>DATE(2022,9,1)</f>
        <v>44805</v>
      </c>
      <c r="O312" s="13" t="s">
        <v>107</v>
      </c>
      <c r="P312" s="13" t="s">
        <v>952</v>
      </c>
      <c r="Q312" s="13" t="s">
        <v>501</v>
      </c>
      <c r="R312" s="13" t="s">
        <v>1457</v>
      </c>
      <c r="S312" s="13" t="s">
        <v>496</v>
      </c>
      <c r="T312" s="28">
        <v>33.28</v>
      </c>
      <c r="U312" s="13" t="s">
        <v>1041</v>
      </c>
      <c r="V312" s="13" t="s">
        <v>146</v>
      </c>
      <c r="W312" s="13" t="s">
        <v>954</v>
      </c>
      <c r="X312" s="17">
        <f>DATE(2022,12,1)</f>
        <v>44896</v>
      </c>
      <c r="Y312" s="3"/>
    </row>
    <row r="313" spans="1:25" ht="45" customHeight="1">
      <c r="A313" s="3">
        <v>311</v>
      </c>
      <c r="B313" s="13" t="s">
        <v>1458</v>
      </c>
      <c r="C313" s="13" t="s">
        <v>103</v>
      </c>
      <c r="D313" s="13" t="s">
        <v>1459</v>
      </c>
      <c r="E313" s="13" t="s">
        <v>490</v>
      </c>
      <c r="F313" s="13" t="s">
        <v>417</v>
      </c>
      <c r="G313" s="13" t="s">
        <v>674</v>
      </c>
      <c r="H313" s="13" t="s">
        <v>419</v>
      </c>
      <c r="I313" s="27" t="s">
        <v>1460</v>
      </c>
      <c r="J313" s="27" t="s">
        <v>33</v>
      </c>
      <c r="K313" s="27" t="s">
        <v>106</v>
      </c>
      <c r="L313" s="27" t="s">
        <v>35</v>
      </c>
      <c r="M313" s="27" t="s">
        <v>36</v>
      </c>
      <c r="N313" s="17">
        <f>DATE(2022,9,1)</f>
        <v>44805</v>
      </c>
      <c r="O313" s="13" t="s">
        <v>107</v>
      </c>
      <c r="P313" s="13" t="s">
        <v>676</v>
      </c>
      <c r="Q313" s="13" t="s">
        <v>465</v>
      </c>
      <c r="R313" s="13" t="s">
        <v>1461</v>
      </c>
      <c r="S313" s="13" t="s">
        <v>423</v>
      </c>
      <c r="T313" s="28">
        <v>23.41</v>
      </c>
      <c r="U313" s="13" t="s">
        <v>490</v>
      </c>
      <c r="V313" s="13" t="s">
        <v>413</v>
      </c>
      <c r="W313" s="13" t="s">
        <v>678</v>
      </c>
      <c r="X313" s="17">
        <f>DATE(2022,12,1)</f>
        <v>44896</v>
      </c>
      <c r="Y313" s="3"/>
    </row>
    <row r="314" spans="1:25" ht="45" customHeight="1">
      <c r="A314" s="3">
        <v>312</v>
      </c>
      <c r="B314" s="13" t="s">
        <v>1462</v>
      </c>
      <c r="C314" s="13" t="s">
        <v>26</v>
      </c>
      <c r="D314" s="13" t="s">
        <v>1463</v>
      </c>
      <c r="E314" s="13" t="s">
        <v>765</v>
      </c>
      <c r="F314" s="13" t="s">
        <v>491</v>
      </c>
      <c r="G314" s="13" t="s">
        <v>978</v>
      </c>
      <c r="H314" s="13" t="s">
        <v>406</v>
      </c>
      <c r="I314" s="27" t="s">
        <v>1464</v>
      </c>
      <c r="J314" s="27" t="s">
        <v>33</v>
      </c>
      <c r="K314" s="27" t="s">
        <v>34</v>
      </c>
      <c r="L314" s="27" t="s">
        <v>35</v>
      </c>
      <c r="M314" s="27" t="s">
        <v>36</v>
      </c>
      <c r="N314" s="17">
        <f>DATE(2022,9,5)</f>
        <v>44809</v>
      </c>
      <c r="O314" s="13" t="s">
        <v>107</v>
      </c>
      <c r="P314" s="13" t="s">
        <v>596</v>
      </c>
      <c r="Q314" s="13" t="s">
        <v>670</v>
      </c>
      <c r="R314" s="13" t="s">
        <v>1465</v>
      </c>
      <c r="S314" s="13" t="s">
        <v>496</v>
      </c>
      <c r="T314" s="28">
        <v>28.67</v>
      </c>
      <c r="U314" s="13" t="s">
        <v>765</v>
      </c>
      <c r="V314" s="13" t="s">
        <v>89</v>
      </c>
      <c r="W314" s="13" t="s">
        <v>981</v>
      </c>
      <c r="X314" s="17">
        <f>DATE(2022,12,5)</f>
        <v>44900</v>
      </c>
      <c r="Y314" s="3"/>
    </row>
    <row r="315" spans="1:25" ht="45" customHeight="1">
      <c r="A315" s="3">
        <v>313</v>
      </c>
      <c r="B315" s="13" t="s">
        <v>1466</v>
      </c>
      <c r="C315" s="13" t="s">
        <v>103</v>
      </c>
      <c r="D315" s="13" t="s">
        <v>1467</v>
      </c>
      <c r="E315" s="13" t="s">
        <v>427</v>
      </c>
      <c r="F315" s="13" t="s">
        <v>491</v>
      </c>
      <c r="G315" s="13" t="s">
        <v>899</v>
      </c>
      <c r="H315" s="13" t="s">
        <v>406</v>
      </c>
      <c r="I315" s="27" t="s">
        <v>1468</v>
      </c>
      <c r="J315" s="27" t="s">
        <v>33</v>
      </c>
      <c r="K315" s="27" t="s">
        <v>106</v>
      </c>
      <c r="L315" s="27" t="s">
        <v>208</v>
      </c>
      <c r="M315" s="27" t="s">
        <v>209</v>
      </c>
      <c r="N315" s="17">
        <f>DATE(2022,9,12)</f>
        <v>44816</v>
      </c>
      <c r="O315" s="13" t="s">
        <v>107</v>
      </c>
      <c r="P315" s="13" t="s">
        <v>898</v>
      </c>
      <c r="Q315" s="13" t="s">
        <v>431</v>
      </c>
      <c r="R315" s="13" t="s">
        <v>1469</v>
      </c>
      <c r="S315" s="13" t="s">
        <v>496</v>
      </c>
      <c r="T315" s="28">
        <v>29.95</v>
      </c>
      <c r="U315" s="13" t="s">
        <v>427</v>
      </c>
      <c r="V315" s="13" t="s">
        <v>413</v>
      </c>
      <c r="W315" s="13" t="s">
        <v>899</v>
      </c>
      <c r="X315" s="17">
        <f>DATE(2022,12,12)</f>
        <v>44907</v>
      </c>
      <c r="Y315" s="3"/>
    </row>
    <row r="316" spans="1:25" ht="45" customHeight="1">
      <c r="A316" s="3">
        <v>314</v>
      </c>
      <c r="B316" s="13" t="s">
        <v>1470</v>
      </c>
      <c r="C316" s="13" t="s">
        <v>103</v>
      </c>
      <c r="D316" s="13" t="s">
        <v>1471</v>
      </c>
      <c r="E316" s="13" t="s">
        <v>28</v>
      </c>
      <c r="F316" s="13" t="s">
        <v>491</v>
      </c>
      <c r="G316" s="13" t="s">
        <v>1472</v>
      </c>
      <c r="H316" s="13" t="s">
        <v>406</v>
      </c>
      <c r="I316" s="27" t="s">
        <v>1473</v>
      </c>
      <c r="J316" s="27" t="s">
        <v>33</v>
      </c>
      <c r="K316" s="27" t="s">
        <v>106</v>
      </c>
      <c r="L316" s="27" t="s">
        <v>35</v>
      </c>
      <c r="M316" s="27" t="s">
        <v>36</v>
      </c>
      <c r="N316" s="17">
        <f t="shared" ref="N316:N327" si="21">DATE(2022,9,1)</f>
        <v>44805</v>
      </c>
      <c r="O316" s="13" t="s">
        <v>34</v>
      </c>
      <c r="P316" s="13" t="s">
        <v>728</v>
      </c>
      <c r="Q316" s="13" t="s">
        <v>38</v>
      </c>
      <c r="R316" s="13" t="s">
        <v>1474</v>
      </c>
      <c r="S316" s="13" t="s">
        <v>496</v>
      </c>
      <c r="T316" s="28">
        <v>29.31</v>
      </c>
      <c r="U316" s="13" t="s">
        <v>28</v>
      </c>
      <c r="V316" s="13" t="s">
        <v>752</v>
      </c>
      <c r="W316" s="13" t="s">
        <v>1472</v>
      </c>
      <c r="X316" s="17">
        <f t="shared" ref="X316:X327" si="22">DATE(2022,10,1)</f>
        <v>44835</v>
      </c>
      <c r="Y316" s="3"/>
    </row>
    <row r="317" spans="1:25" ht="45" customHeight="1">
      <c r="A317" s="3">
        <v>315</v>
      </c>
      <c r="B317" s="13" t="s">
        <v>1475</v>
      </c>
      <c r="C317" s="13" t="s">
        <v>26</v>
      </c>
      <c r="D317" s="13" t="s">
        <v>1476</v>
      </c>
      <c r="E317" s="13" t="s">
        <v>1064</v>
      </c>
      <c r="F317" s="13" t="s">
        <v>475</v>
      </c>
      <c r="G317" s="13" t="s">
        <v>476</v>
      </c>
      <c r="H317" s="13" t="s">
        <v>406</v>
      </c>
      <c r="I317" s="27" t="s">
        <v>1477</v>
      </c>
      <c r="J317" s="27" t="s">
        <v>33</v>
      </c>
      <c r="K317" s="27" t="s">
        <v>34</v>
      </c>
      <c r="L317" s="27" t="s">
        <v>35</v>
      </c>
      <c r="M317" s="27" t="s">
        <v>36</v>
      </c>
      <c r="N317" s="17">
        <f t="shared" si="21"/>
        <v>44805</v>
      </c>
      <c r="O317" s="13" t="s">
        <v>34</v>
      </c>
      <c r="P317" s="13" t="s">
        <v>473</v>
      </c>
      <c r="Q317" s="13" t="s">
        <v>38</v>
      </c>
      <c r="R317" s="13" t="s">
        <v>1478</v>
      </c>
      <c r="S317" s="13" t="s">
        <v>478</v>
      </c>
      <c r="T317" s="28">
        <v>32.130000000000003</v>
      </c>
      <c r="U317" s="13" t="s">
        <v>28</v>
      </c>
      <c r="V317" s="13" t="s">
        <v>53</v>
      </c>
      <c r="W317" s="13" t="s">
        <v>476</v>
      </c>
      <c r="X317" s="17">
        <f t="shared" si="22"/>
        <v>44835</v>
      </c>
      <c r="Y317" s="3"/>
    </row>
    <row r="318" spans="1:25" ht="45" customHeight="1">
      <c r="A318" s="3">
        <v>316</v>
      </c>
      <c r="B318" s="13" t="s">
        <v>1479</v>
      </c>
      <c r="C318" s="13" t="s">
        <v>26</v>
      </c>
      <c r="D318" s="13" t="s">
        <v>1480</v>
      </c>
      <c r="E318" s="13" t="s">
        <v>28</v>
      </c>
      <c r="F318" s="13" t="s">
        <v>29</v>
      </c>
      <c r="G318" s="13" t="s">
        <v>48</v>
      </c>
      <c r="H318" s="13" t="s">
        <v>31</v>
      </c>
      <c r="I318" s="27" t="s">
        <v>1481</v>
      </c>
      <c r="J318" s="27" t="s">
        <v>33</v>
      </c>
      <c r="K318" s="27" t="s">
        <v>34</v>
      </c>
      <c r="L318" s="27" t="s">
        <v>35</v>
      </c>
      <c r="M318" s="27" t="s">
        <v>36</v>
      </c>
      <c r="N318" s="17">
        <f t="shared" si="21"/>
        <v>44805</v>
      </c>
      <c r="O318" s="13" t="s">
        <v>34</v>
      </c>
      <c r="P318" s="13" t="s">
        <v>52</v>
      </c>
      <c r="Q318" s="13" t="s">
        <v>38</v>
      </c>
      <c r="R318" s="13" t="s">
        <v>1482</v>
      </c>
      <c r="S318" s="13" t="s">
        <v>52</v>
      </c>
      <c r="T318" s="28">
        <v>25.03</v>
      </c>
      <c r="U318" s="13" t="s">
        <v>28</v>
      </c>
      <c r="V318" s="13" t="s">
        <v>146</v>
      </c>
      <c r="W318" s="13" t="s">
        <v>48</v>
      </c>
      <c r="X318" s="17">
        <f t="shared" si="22"/>
        <v>44835</v>
      </c>
      <c r="Y318" s="3"/>
    </row>
    <row r="319" spans="1:25" ht="45" customHeight="1">
      <c r="A319" s="3">
        <v>317</v>
      </c>
      <c r="B319" s="13" t="s">
        <v>1483</v>
      </c>
      <c r="C319" s="13" t="s">
        <v>26</v>
      </c>
      <c r="D319" s="13" t="s">
        <v>1060</v>
      </c>
      <c r="E319" s="13" t="s">
        <v>499</v>
      </c>
      <c r="F319" s="13" t="s">
        <v>29</v>
      </c>
      <c r="G319" s="13" t="s">
        <v>85</v>
      </c>
      <c r="H319" s="13" t="s">
        <v>406</v>
      </c>
      <c r="I319" s="27" t="s">
        <v>1484</v>
      </c>
      <c r="J319" s="27" t="s">
        <v>33</v>
      </c>
      <c r="K319" s="27" t="s">
        <v>34</v>
      </c>
      <c r="L319" s="27" t="s">
        <v>35</v>
      </c>
      <c r="M319" s="27" t="s">
        <v>36</v>
      </c>
      <c r="N319" s="17">
        <f t="shared" si="21"/>
        <v>44805</v>
      </c>
      <c r="O319" s="13" t="s">
        <v>107</v>
      </c>
      <c r="P319" s="13" t="s">
        <v>87</v>
      </c>
      <c r="Q319" s="13" t="s">
        <v>501</v>
      </c>
      <c r="R319" s="13" t="s">
        <v>1485</v>
      </c>
      <c r="S319" s="13" t="s">
        <v>503</v>
      </c>
      <c r="T319" s="28">
        <v>27.58</v>
      </c>
      <c r="U319" s="13" t="s">
        <v>499</v>
      </c>
      <c r="V319" s="13" t="s">
        <v>53</v>
      </c>
      <c r="W319" s="13" t="s">
        <v>85</v>
      </c>
      <c r="X319" s="17">
        <f t="shared" si="22"/>
        <v>44835</v>
      </c>
      <c r="Y319" s="3"/>
    </row>
    <row r="320" spans="1:25" ht="45" customHeight="1">
      <c r="A320" s="3">
        <v>318</v>
      </c>
      <c r="B320" s="13" t="s">
        <v>1486</v>
      </c>
      <c r="C320" s="13" t="s">
        <v>26</v>
      </c>
      <c r="D320" s="13" t="s">
        <v>1487</v>
      </c>
      <c r="E320" s="13" t="s">
        <v>28</v>
      </c>
      <c r="F320" s="13" t="s">
        <v>29</v>
      </c>
      <c r="G320" s="13" t="s">
        <v>43</v>
      </c>
      <c r="H320" s="13" t="s">
        <v>31</v>
      </c>
      <c r="I320" s="27" t="s">
        <v>1488</v>
      </c>
      <c r="J320" s="27" t="s">
        <v>33</v>
      </c>
      <c r="K320" s="27" t="s">
        <v>34</v>
      </c>
      <c r="L320" s="27" t="s">
        <v>35</v>
      </c>
      <c r="M320" s="27" t="s">
        <v>36</v>
      </c>
      <c r="N320" s="17">
        <f t="shared" si="21"/>
        <v>44805</v>
      </c>
      <c r="O320" s="13" t="s">
        <v>34</v>
      </c>
      <c r="P320" s="13" t="s">
        <v>37</v>
      </c>
      <c r="Q320" s="13" t="s">
        <v>38</v>
      </c>
      <c r="R320" s="13" t="s">
        <v>1489</v>
      </c>
      <c r="S320" s="13" t="s">
        <v>37</v>
      </c>
      <c r="T320" s="28">
        <v>23.89</v>
      </c>
      <c r="U320" s="13" t="s">
        <v>28</v>
      </c>
      <c r="V320" s="13" t="s">
        <v>76</v>
      </c>
      <c r="W320" s="13" t="s">
        <v>43</v>
      </c>
      <c r="X320" s="17">
        <f t="shared" si="22"/>
        <v>44835</v>
      </c>
      <c r="Y320" s="3"/>
    </row>
    <row r="321" spans="1:25" ht="45" customHeight="1">
      <c r="A321" s="3">
        <v>319</v>
      </c>
      <c r="B321" s="13" t="s">
        <v>1490</v>
      </c>
      <c r="C321" s="13" t="s">
        <v>26</v>
      </c>
      <c r="D321" s="13" t="s">
        <v>1491</v>
      </c>
      <c r="E321" s="13" t="s">
        <v>28</v>
      </c>
      <c r="F321" s="13" t="s">
        <v>29</v>
      </c>
      <c r="G321" s="13" t="s">
        <v>48</v>
      </c>
      <c r="H321" s="13" t="s">
        <v>1031</v>
      </c>
      <c r="I321" s="27" t="s">
        <v>1492</v>
      </c>
      <c r="J321" s="27" t="s">
        <v>33</v>
      </c>
      <c r="K321" s="27" t="s">
        <v>34</v>
      </c>
      <c r="L321" s="27" t="s">
        <v>35</v>
      </c>
      <c r="M321" s="27" t="s">
        <v>36</v>
      </c>
      <c r="N321" s="17">
        <f t="shared" si="21"/>
        <v>44805</v>
      </c>
      <c r="O321" s="13" t="s">
        <v>34</v>
      </c>
      <c r="P321" s="13" t="s">
        <v>50</v>
      </c>
      <c r="Q321" s="13" t="s">
        <v>38</v>
      </c>
      <c r="R321" s="13" t="s">
        <v>1493</v>
      </c>
      <c r="S321" s="13" t="s">
        <v>52</v>
      </c>
      <c r="T321" s="28">
        <v>23.45</v>
      </c>
      <c r="U321" s="13" t="s">
        <v>28</v>
      </c>
      <c r="V321" s="13" t="s">
        <v>53</v>
      </c>
      <c r="W321" s="13" t="s">
        <v>48</v>
      </c>
      <c r="X321" s="17">
        <f t="shared" si="22"/>
        <v>44835</v>
      </c>
      <c r="Y321" s="3"/>
    </row>
    <row r="322" spans="1:25" ht="45" customHeight="1">
      <c r="A322" s="3">
        <v>320</v>
      </c>
      <c r="B322" s="13" t="s">
        <v>1494</v>
      </c>
      <c r="C322" s="13" t="s">
        <v>26</v>
      </c>
      <c r="D322" s="13" t="s">
        <v>1495</v>
      </c>
      <c r="E322" s="13" t="s">
        <v>28</v>
      </c>
      <c r="F322" s="13" t="s">
        <v>417</v>
      </c>
      <c r="G322" s="13" t="s">
        <v>674</v>
      </c>
      <c r="H322" s="13" t="s">
        <v>419</v>
      </c>
      <c r="I322" s="27" t="s">
        <v>1496</v>
      </c>
      <c r="J322" s="27" t="s">
        <v>33</v>
      </c>
      <c r="K322" s="27" t="s">
        <v>34</v>
      </c>
      <c r="L322" s="27" t="s">
        <v>35</v>
      </c>
      <c r="M322" s="27" t="s">
        <v>36</v>
      </c>
      <c r="N322" s="17">
        <f t="shared" si="21"/>
        <v>44805</v>
      </c>
      <c r="O322" s="13" t="s">
        <v>34</v>
      </c>
      <c r="P322" s="13" t="s">
        <v>676</v>
      </c>
      <c r="Q322" s="13" t="s">
        <v>38</v>
      </c>
      <c r="R322" s="13" t="s">
        <v>1497</v>
      </c>
      <c r="S322" s="13" t="s">
        <v>423</v>
      </c>
      <c r="T322" s="28">
        <v>24.32</v>
      </c>
      <c r="U322" s="13" t="s">
        <v>28</v>
      </c>
      <c r="V322" s="13" t="s">
        <v>146</v>
      </c>
      <c r="W322" s="13" t="s">
        <v>678</v>
      </c>
      <c r="X322" s="17">
        <f t="shared" si="22"/>
        <v>44835</v>
      </c>
      <c r="Y322" s="3"/>
    </row>
    <row r="323" spans="1:25" ht="45" customHeight="1">
      <c r="A323" s="3">
        <v>321</v>
      </c>
      <c r="B323" s="13" t="s">
        <v>1498</v>
      </c>
      <c r="C323" s="13" t="s">
        <v>26</v>
      </c>
      <c r="D323" s="13" t="s">
        <v>1499</v>
      </c>
      <c r="E323" s="13" t="s">
        <v>1064</v>
      </c>
      <c r="F323" s="13" t="s">
        <v>29</v>
      </c>
      <c r="G323" s="13" t="s">
        <v>123</v>
      </c>
      <c r="H323" s="13" t="s">
        <v>1031</v>
      </c>
      <c r="I323" s="27" t="s">
        <v>1500</v>
      </c>
      <c r="J323" s="27" t="s">
        <v>33</v>
      </c>
      <c r="K323" s="27" t="s">
        <v>34</v>
      </c>
      <c r="L323" s="27" t="s">
        <v>35</v>
      </c>
      <c r="M323" s="27" t="s">
        <v>36</v>
      </c>
      <c r="N323" s="17">
        <f t="shared" si="21"/>
        <v>44805</v>
      </c>
      <c r="O323" s="13" t="s">
        <v>34</v>
      </c>
      <c r="P323" s="13" t="s">
        <v>144</v>
      </c>
      <c r="Q323" s="13" t="s">
        <v>38</v>
      </c>
      <c r="R323" s="13" t="s">
        <v>1501</v>
      </c>
      <c r="S323" s="13" t="s">
        <v>127</v>
      </c>
      <c r="T323" s="28">
        <v>25.37</v>
      </c>
      <c r="U323" s="13" t="s">
        <v>28</v>
      </c>
      <c r="V323" s="13" t="s">
        <v>146</v>
      </c>
      <c r="W323" s="13" t="s">
        <v>128</v>
      </c>
      <c r="X323" s="17">
        <f t="shared" si="22"/>
        <v>44835</v>
      </c>
      <c r="Y323" s="3"/>
    </row>
    <row r="324" spans="1:25" ht="45" customHeight="1">
      <c r="A324" s="3">
        <v>322</v>
      </c>
      <c r="B324" s="13" t="s">
        <v>1502</v>
      </c>
      <c r="C324" s="13" t="s">
        <v>26</v>
      </c>
      <c r="D324" s="13" t="s">
        <v>1503</v>
      </c>
      <c r="E324" s="13" t="s">
        <v>28</v>
      </c>
      <c r="F324" s="13" t="s">
        <v>29</v>
      </c>
      <c r="G324" s="13" t="s">
        <v>43</v>
      </c>
      <c r="H324" s="13" t="s">
        <v>31</v>
      </c>
      <c r="I324" s="27" t="s">
        <v>1504</v>
      </c>
      <c r="J324" s="27" t="s">
        <v>33</v>
      </c>
      <c r="K324" s="27" t="s">
        <v>34</v>
      </c>
      <c r="L324" s="27" t="s">
        <v>35</v>
      </c>
      <c r="M324" s="27" t="s">
        <v>36</v>
      </c>
      <c r="N324" s="17">
        <f t="shared" si="21"/>
        <v>44805</v>
      </c>
      <c r="O324" s="13" t="s">
        <v>34</v>
      </c>
      <c r="P324" s="13" t="s">
        <v>37</v>
      </c>
      <c r="Q324" s="13" t="s">
        <v>38</v>
      </c>
      <c r="R324" s="13" t="s">
        <v>1505</v>
      </c>
      <c r="S324" s="13" t="s">
        <v>37</v>
      </c>
      <c r="T324" s="28">
        <v>30.59</v>
      </c>
      <c r="U324" s="13" t="s">
        <v>28</v>
      </c>
      <c r="V324" s="13" t="s">
        <v>40</v>
      </c>
      <c r="W324" s="13" t="s">
        <v>43</v>
      </c>
      <c r="X324" s="17">
        <f t="shared" si="22"/>
        <v>44835</v>
      </c>
      <c r="Y324" s="3"/>
    </row>
    <row r="325" spans="1:25" ht="45" customHeight="1">
      <c r="A325" s="3">
        <v>323</v>
      </c>
      <c r="B325" s="13" t="s">
        <v>1506</v>
      </c>
      <c r="C325" s="13" t="s">
        <v>26</v>
      </c>
      <c r="D325" s="13" t="s">
        <v>1507</v>
      </c>
      <c r="E325" s="13" t="s">
        <v>28</v>
      </c>
      <c r="F325" s="13" t="s">
        <v>29</v>
      </c>
      <c r="G325" s="13" t="s">
        <v>48</v>
      </c>
      <c r="H325" s="13" t="s">
        <v>1031</v>
      </c>
      <c r="I325" s="27" t="s">
        <v>1508</v>
      </c>
      <c r="J325" s="27" t="s">
        <v>33</v>
      </c>
      <c r="K325" s="27" t="s">
        <v>34</v>
      </c>
      <c r="L325" s="27" t="s">
        <v>35</v>
      </c>
      <c r="M325" s="27" t="s">
        <v>36</v>
      </c>
      <c r="N325" s="17">
        <f t="shared" si="21"/>
        <v>44805</v>
      </c>
      <c r="O325" s="13" t="s">
        <v>34</v>
      </c>
      <c r="P325" s="13" t="s">
        <v>52</v>
      </c>
      <c r="Q325" s="13" t="s">
        <v>38</v>
      </c>
      <c r="R325" s="13" t="s">
        <v>1509</v>
      </c>
      <c r="S325" s="13" t="s">
        <v>52</v>
      </c>
      <c r="T325" s="28">
        <v>24.37</v>
      </c>
      <c r="U325" s="13" t="s">
        <v>28</v>
      </c>
      <c r="V325" s="13" t="s">
        <v>146</v>
      </c>
      <c r="W325" s="13" t="s">
        <v>48</v>
      </c>
      <c r="X325" s="17">
        <f t="shared" si="22"/>
        <v>44835</v>
      </c>
      <c r="Y325" s="3"/>
    </row>
    <row r="326" spans="1:25" ht="45" customHeight="1">
      <c r="A326" s="3">
        <v>324</v>
      </c>
      <c r="B326" s="13" t="s">
        <v>1510</v>
      </c>
      <c r="C326" s="13" t="s">
        <v>103</v>
      </c>
      <c r="D326" s="13" t="s">
        <v>1511</v>
      </c>
      <c r="E326" s="13" t="s">
        <v>1064</v>
      </c>
      <c r="F326" s="13" t="s">
        <v>29</v>
      </c>
      <c r="G326" s="13" t="s">
        <v>43</v>
      </c>
      <c r="H326" s="13" t="s">
        <v>1031</v>
      </c>
      <c r="I326" s="27" t="s">
        <v>1512</v>
      </c>
      <c r="J326" s="27" t="s">
        <v>33</v>
      </c>
      <c r="K326" s="27" t="s">
        <v>106</v>
      </c>
      <c r="L326" s="27" t="s">
        <v>35</v>
      </c>
      <c r="M326" s="27" t="s">
        <v>36</v>
      </c>
      <c r="N326" s="17">
        <f t="shared" si="21"/>
        <v>44805</v>
      </c>
      <c r="O326" s="13" t="s">
        <v>1198</v>
      </c>
      <c r="P326" s="13" t="s">
        <v>37</v>
      </c>
      <c r="Q326" s="13" t="s">
        <v>38</v>
      </c>
      <c r="R326" s="13" t="s">
        <v>1513</v>
      </c>
      <c r="S326" s="13" t="s">
        <v>37</v>
      </c>
      <c r="T326" s="28">
        <v>27.53</v>
      </c>
      <c r="U326" s="13" t="s">
        <v>28</v>
      </c>
      <c r="V326" s="13" t="s">
        <v>89</v>
      </c>
      <c r="W326" s="13" t="s">
        <v>43</v>
      </c>
      <c r="X326" s="17">
        <f t="shared" si="22"/>
        <v>44835</v>
      </c>
      <c r="Y326" s="3"/>
    </row>
    <row r="327" spans="1:25" ht="45" customHeight="1">
      <c r="A327" s="3">
        <v>325</v>
      </c>
      <c r="B327" s="13" t="s">
        <v>1514</v>
      </c>
      <c r="C327" s="13" t="s">
        <v>103</v>
      </c>
      <c r="D327" s="13" t="s">
        <v>1515</v>
      </c>
      <c r="E327" s="13" t="s">
        <v>1064</v>
      </c>
      <c r="F327" s="13" t="s">
        <v>29</v>
      </c>
      <c r="G327" s="13" t="s">
        <v>537</v>
      </c>
      <c r="H327" s="13" t="s">
        <v>1031</v>
      </c>
      <c r="I327" s="27" t="s">
        <v>1516</v>
      </c>
      <c r="J327" s="27" t="s">
        <v>33</v>
      </c>
      <c r="K327" s="27" t="s">
        <v>106</v>
      </c>
      <c r="L327" s="27" t="s">
        <v>208</v>
      </c>
      <c r="M327" s="27" t="s">
        <v>209</v>
      </c>
      <c r="N327" s="17">
        <f t="shared" si="21"/>
        <v>44805</v>
      </c>
      <c r="O327" s="13" t="s">
        <v>34</v>
      </c>
      <c r="P327" s="13" t="s">
        <v>64</v>
      </c>
      <c r="Q327" s="13" t="s">
        <v>38</v>
      </c>
      <c r="R327" s="13" t="s">
        <v>1517</v>
      </c>
      <c r="S327" s="13" t="s">
        <v>64</v>
      </c>
      <c r="T327" s="28">
        <v>27.25</v>
      </c>
      <c r="U327" s="13" t="s">
        <v>28</v>
      </c>
      <c r="V327" s="13" t="s">
        <v>146</v>
      </c>
      <c r="W327" s="13" t="s">
        <v>537</v>
      </c>
      <c r="X327" s="17">
        <f t="shared" si="22"/>
        <v>44835</v>
      </c>
      <c r="Y327" s="3"/>
    </row>
    <row r="328" spans="1:25" ht="45" customHeight="1">
      <c r="A328" s="3">
        <v>326</v>
      </c>
      <c r="B328" s="13" t="s">
        <v>1518</v>
      </c>
      <c r="C328" s="13" t="s">
        <v>26</v>
      </c>
      <c r="D328" s="13" t="s">
        <v>1519</v>
      </c>
      <c r="E328" s="13" t="s">
        <v>558</v>
      </c>
      <c r="F328" s="13" t="s">
        <v>706</v>
      </c>
      <c r="G328" s="13" t="s">
        <v>707</v>
      </c>
      <c r="H328" s="13" t="s">
        <v>706</v>
      </c>
      <c r="I328" s="27" t="s">
        <v>1520</v>
      </c>
      <c r="J328" s="27" t="s">
        <v>33</v>
      </c>
      <c r="K328" s="27" t="s">
        <v>34</v>
      </c>
      <c r="L328" s="27" t="s">
        <v>35</v>
      </c>
      <c r="M328" s="27" t="s">
        <v>36</v>
      </c>
      <c r="N328" s="17">
        <f>DATE(2022,9,15)</f>
        <v>44819</v>
      </c>
      <c r="O328" s="13" t="s">
        <v>107</v>
      </c>
      <c r="P328" s="13" t="s">
        <v>709</v>
      </c>
      <c r="Q328" s="13" t="s">
        <v>431</v>
      </c>
      <c r="R328" s="13" t="s">
        <v>1521</v>
      </c>
      <c r="S328" s="13" t="s">
        <v>458</v>
      </c>
      <c r="T328" s="28">
        <v>37.229999999999997</v>
      </c>
      <c r="U328" s="13" t="s">
        <v>474</v>
      </c>
      <c r="V328" s="13" t="s">
        <v>413</v>
      </c>
      <c r="W328" s="13" t="s">
        <v>711</v>
      </c>
      <c r="X328" s="17">
        <f>DATE(2022,12,15)</f>
        <v>44910</v>
      </c>
      <c r="Y328" s="3"/>
    </row>
    <row r="329" spans="1:25" ht="45" customHeight="1">
      <c r="A329" s="3">
        <v>327</v>
      </c>
      <c r="B329" s="13" t="s">
        <v>1522</v>
      </c>
      <c r="C329" s="13" t="s">
        <v>26</v>
      </c>
      <c r="D329" s="13" t="s">
        <v>1523</v>
      </c>
      <c r="E329" s="13" t="s">
        <v>427</v>
      </c>
      <c r="F329" s="13" t="s">
        <v>706</v>
      </c>
      <c r="G329" s="13" t="s">
        <v>870</v>
      </c>
      <c r="H329" s="13" t="s">
        <v>706</v>
      </c>
      <c r="I329" s="27" t="s">
        <v>1524</v>
      </c>
      <c r="J329" s="27" t="s">
        <v>33</v>
      </c>
      <c r="K329" s="27" t="s">
        <v>34</v>
      </c>
      <c r="L329" s="27" t="s">
        <v>35</v>
      </c>
      <c r="M329" s="27" t="s">
        <v>36</v>
      </c>
      <c r="N329" s="17">
        <f>DATE(2022,9,19)</f>
        <v>44823</v>
      </c>
      <c r="O329" s="13" t="s">
        <v>107</v>
      </c>
      <c r="P329" s="13" t="s">
        <v>709</v>
      </c>
      <c r="Q329" s="13" t="s">
        <v>431</v>
      </c>
      <c r="R329" s="13" t="s">
        <v>1525</v>
      </c>
      <c r="S329" s="13" t="s">
        <v>458</v>
      </c>
      <c r="T329" s="28">
        <v>31.54</v>
      </c>
      <c r="U329" s="13" t="s">
        <v>427</v>
      </c>
      <c r="V329" s="13" t="s">
        <v>413</v>
      </c>
      <c r="W329" s="13" t="s">
        <v>873</v>
      </c>
      <c r="X329" s="17">
        <f>DATE(2022,12,19)</f>
        <v>44914</v>
      </c>
      <c r="Y329" s="3"/>
    </row>
    <row r="330" spans="1:25" ht="45" customHeight="1">
      <c r="A330" s="3">
        <v>328</v>
      </c>
      <c r="B330" s="13" t="s">
        <v>1526</v>
      </c>
      <c r="C330" s="13" t="s">
        <v>26</v>
      </c>
      <c r="D330" s="13" t="s">
        <v>1527</v>
      </c>
      <c r="E330" s="13" t="s">
        <v>1443</v>
      </c>
      <c r="F330" s="13" t="s">
        <v>417</v>
      </c>
      <c r="G330" s="13" t="s">
        <v>756</v>
      </c>
      <c r="H330" s="13" t="s">
        <v>419</v>
      </c>
      <c r="I330" s="27" t="s">
        <v>1528</v>
      </c>
      <c r="J330" s="27" t="s">
        <v>33</v>
      </c>
      <c r="K330" s="27" t="s">
        <v>34</v>
      </c>
      <c r="L330" s="27" t="s">
        <v>35</v>
      </c>
      <c r="M330" s="27" t="s">
        <v>36</v>
      </c>
      <c r="N330" s="17">
        <f>DATE(2022,9,26)</f>
        <v>44830</v>
      </c>
      <c r="O330" s="13" t="s">
        <v>34</v>
      </c>
      <c r="P330" s="13" t="s">
        <v>693</v>
      </c>
      <c r="Q330" s="13" t="s">
        <v>38</v>
      </c>
      <c r="R330" s="13" t="s">
        <v>1529</v>
      </c>
      <c r="S330" s="13" t="s">
        <v>423</v>
      </c>
      <c r="T330" s="28">
        <v>26.68</v>
      </c>
      <c r="U330" s="13" t="s">
        <v>880</v>
      </c>
      <c r="V330" s="13" t="s">
        <v>799</v>
      </c>
      <c r="W330" s="13" t="s">
        <v>759</v>
      </c>
      <c r="X330" s="17">
        <f>DATE(2022,12,26)</f>
        <v>44921</v>
      </c>
      <c r="Y330" s="3"/>
    </row>
    <row r="331" spans="1:25" ht="45" customHeight="1">
      <c r="A331" s="3">
        <v>329</v>
      </c>
      <c r="B331" s="13" t="s">
        <v>1530</v>
      </c>
      <c r="C331" s="13" t="s">
        <v>26</v>
      </c>
      <c r="D331" s="13" t="s">
        <v>1531</v>
      </c>
      <c r="E331" s="13" t="s">
        <v>738</v>
      </c>
      <c r="F331" s="13" t="s">
        <v>706</v>
      </c>
      <c r="G331" s="13" t="s">
        <v>870</v>
      </c>
      <c r="H331" s="13" t="s">
        <v>706</v>
      </c>
      <c r="I331" s="27" t="s">
        <v>1532</v>
      </c>
      <c r="J331" s="27" t="s">
        <v>33</v>
      </c>
      <c r="K331" s="27" t="s">
        <v>34</v>
      </c>
      <c r="L331" s="27" t="s">
        <v>208</v>
      </c>
      <c r="M331" s="27" t="s">
        <v>36</v>
      </c>
      <c r="N331" s="17">
        <f>DATE(2022,10,3)</f>
        <v>44837</v>
      </c>
      <c r="O331" s="13" t="s">
        <v>107</v>
      </c>
      <c r="P331" s="13" t="s">
        <v>709</v>
      </c>
      <c r="Q331" s="13" t="s">
        <v>670</v>
      </c>
      <c r="R331" s="13" t="s">
        <v>1533</v>
      </c>
      <c r="S331" s="13" t="s">
        <v>458</v>
      </c>
      <c r="T331" s="28">
        <v>37.42</v>
      </c>
      <c r="U331" s="13" t="s">
        <v>733</v>
      </c>
      <c r="V331" s="13" t="s">
        <v>146</v>
      </c>
      <c r="W331" s="13" t="s">
        <v>873</v>
      </c>
      <c r="X331" s="17">
        <f>DATE(2023,1,3)</f>
        <v>44929</v>
      </c>
      <c r="Y331" s="3"/>
    </row>
    <row r="332" spans="1:25" ht="45" customHeight="1">
      <c r="A332" s="3">
        <v>330</v>
      </c>
      <c r="B332" s="13" t="s">
        <v>1534</v>
      </c>
      <c r="C332" s="13" t="s">
        <v>26</v>
      </c>
      <c r="D332" s="13" t="s">
        <v>1535</v>
      </c>
      <c r="E332" s="13" t="s">
        <v>755</v>
      </c>
      <c r="F332" s="13" t="s">
        <v>417</v>
      </c>
      <c r="G332" s="13" t="s">
        <v>756</v>
      </c>
      <c r="H332" s="13" t="s">
        <v>419</v>
      </c>
      <c r="I332" s="27" t="s">
        <v>1536</v>
      </c>
      <c r="J332" s="27" t="s">
        <v>33</v>
      </c>
      <c r="K332" s="27" t="s">
        <v>34</v>
      </c>
      <c r="L332" s="27" t="s">
        <v>35</v>
      </c>
      <c r="M332" s="27" t="s">
        <v>36</v>
      </c>
      <c r="N332" s="17">
        <f>DATE(2022,10,3)</f>
        <v>44837</v>
      </c>
      <c r="O332" s="13" t="s">
        <v>34</v>
      </c>
      <c r="P332" s="13" t="s">
        <v>693</v>
      </c>
      <c r="Q332" s="13" t="s">
        <v>38</v>
      </c>
      <c r="R332" s="13" t="s">
        <v>1537</v>
      </c>
      <c r="S332" s="13" t="s">
        <v>423</v>
      </c>
      <c r="T332" s="28">
        <v>22.64</v>
      </c>
      <c r="U332" s="13" t="s">
        <v>755</v>
      </c>
      <c r="V332" s="13" t="s">
        <v>89</v>
      </c>
      <c r="W332" s="13" t="s">
        <v>759</v>
      </c>
      <c r="X332" s="17">
        <f>DATE(2023,1,3)</f>
        <v>44929</v>
      </c>
      <c r="Y332" s="3"/>
    </row>
    <row r="333" spans="1:25" ht="45" customHeight="1">
      <c r="A333" s="3">
        <v>331</v>
      </c>
      <c r="B333" s="13" t="s">
        <v>1538</v>
      </c>
      <c r="C333" s="13" t="s">
        <v>26</v>
      </c>
      <c r="D333" s="13" t="s">
        <v>1539</v>
      </c>
      <c r="E333" s="13" t="s">
        <v>1064</v>
      </c>
      <c r="F333" s="13" t="s">
        <v>29</v>
      </c>
      <c r="G333" s="13" t="s">
        <v>56</v>
      </c>
      <c r="H333" s="13" t="s">
        <v>1031</v>
      </c>
      <c r="I333" s="27" t="s">
        <v>1540</v>
      </c>
      <c r="J333" s="27" t="s">
        <v>33</v>
      </c>
      <c r="K333" s="27" t="s">
        <v>34</v>
      </c>
      <c r="L333" s="27" t="s">
        <v>35</v>
      </c>
      <c r="M333" s="27" t="s">
        <v>36</v>
      </c>
      <c r="N333" s="17">
        <f t="shared" ref="N333:N339" si="23">DATE(2022,10,1)</f>
        <v>44835</v>
      </c>
      <c r="O333" s="13" t="s">
        <v>34</v>
      </c>
      <c r="P333" s="13" t="s">
        <v>58</v>
      </c>
      <c r="Q333" s="13" t="s">
        <v>38</v>
      </c>
      <c r="R333" s="13" t="s">
        <v>1541</v>
      </c>
      <c r="S333" s="13" t="s">
        <v>58</v>
      </c>
      <c r="T333" s="28">
        <v>25.06</v>
      </c>
      <c r="U333" s="13" t="s">
        <v>28</v>
      </c>
      <c r="V333" s="13" t="s">
        <v>53</v>
      </c>
      <c r="W333" s="13" t="s">
        <v>56</v>
      </c>
      <c r="X333" s="17">
        <f t="shared" ref="X333:X339" si="24">DATE(2022,11,1)</f>
        <v>44866</v>
      </c>
      <c r="Y333" s="3"/>
    </row>
    <row r="334" spans="1:25" ht="45" customHeight="1">
      <c r="A334" s="3">
        <v>332</v>
      </c>
      <c r="B334" s="13" t="s">
        <v>1542</v>
      </c>
      <c r="C334" s="13" t="s">
        <v>103</v>
      </c>
      <c r="D334" s="13" t="s">
        <v>1543</v>
      </c>
      <c r="E334" s="13" t="s">
        <v>28</v>
      </c>
      <c r="F334" s="13" t="s">
        <v>29</v>
      </c>
      <c r="G334" s="13" t="s">
        <v>56</v>
      </c>
      <c r="H334" s="13" t="s">
        <v>31</v>
      </c>
      <c r="I334" s="27" t="s">
        <v>1544</v>
      </c>
      <c r="J334" s="27" t="s">
        <v>33</v>
      </c>
      <c r="K334" s="27" t="s">
        <v>106</v>
      </c>
      <c r="L334" s="27" t="s">
        <v>35</v>
      </c>
      <c r="M334" s="27" t="s">
        <v>36</v>
      </c>
      <c r="N334" s="17">
        <f t="shared" si="23"/>
        <v>44835</v>
      </c>
      <c r="O334" s="13" t="s">
        <v>1198</v>
      </c>
      <c r="P334" s="13" t="s">
        <v>58</v>
      </c>
      <c r="Q334" s="13" t="s">
        <v>38</v>
      </c>
      <c r="R334" s="13" t="s">
        <v>1545</v>
      </c>
      <c r="S334" s="13" t="s">
        <v>58</v>
      </c>
      <c r="T334" s="28">
        <v>24.83</v>
      </c>
      <c r="U334" s="13" t="s">
        <v>28</v>
      </c>
      <c r="V334" s="13" t="s">
        <v>76</v>
      </c>
      <c r="W334" s="13" t="s">
        <v>56</v>
      </c>
      <c r="X334" s="17">
        <f t="shared" si="24"/>
        <v>44866</v>
      </c>
      <c r="Y334" s="3"/>
    </row>
    <row r="335" spans="1:25" ht="45" customHeight="1">
      <c r="A335" s="3">
        <v>333</v>
      </c>
      <c r="B335" s="13" t="s">
        <v>1546</v>
      </c>
      <c r="C335" s="13" t="s">
        <v>26</v>
      </c>
      <c r="D335" s="13" t="s">
        <v>1547</v>
      </c>
      <c r="E335" s="13" t="s">
        <v>28</v>
      </c>
      <c r="F335" s="13" t="s">
        <v>29</v>
      </c>
      <c r="G335" s="13" t="s">
        <v>79</v>
      </c>
      <c r="H335" s="13" t="s">
        <v>31</v>
      </c>
      <c r="I335" s="27" t="s">
        <v>1548</v>
      </c>
      <c r="J335" s="27" t="s">
        <v>33</v>
      </c>
      <c r="K335" s="27" t="s">
        <v>34</v>
      </c>
      <c r="L335" s="27" t="s">
        <v>35</v>
      </c>
      <c r="M335" s="27" t="s">
        <v>36</v>
      </c>
      <c r="N335" s="17">
        <f t="shared" si="23"/>
        <v>44835</v>
      </c>
      <c r="O335" s="13" t="s">
        <v>34</v>
      </c>
      <c r="P335" s="13" t="s">
        <v>81</v>
      </c>
      <c r="Q335" s="13" t="s">
        <v>38</v>
      </c>
      <c r="R335" s="13" t="s">
        <v>1549</v>
      </c>
      <c r="S335" s="13" t="s">
        <v>81</v>
      </c>
      <c r="T335" s="28">
        <v>24.31</v>
      </c>
      <c r="U335" s="13" t="s">
        <v>28</v>
      </c>
      <c r="V335" s="13" t="s">
        <v>40</v>
      </c>
      <c r="W335" s="13" t="s">
        <v>79</v>
      </c>
      <c r="X335" s="17">
        <f t="shared" si="24"/>
        <v>44866</v>
      </c>
      <c r="Y335" s="3"/>
    </row>
    <row r="336" spans="1:25" ht="45" customHeight="1">
      <c r="A336" s="3">
        <v>334</v>
      </c>
      <c r="B336" s="13" t="s">
        <v>1550</v>
      </c>
      <c r="C336" s="13" t="s">
        <v>103</v>
      </c>
      <c r="D336" s="13" t="s">
        <v>1551</v>
      </c>
      <c r="E336" s="13" t="s">
        <v>28</v>
      </c>
      <c r="F336" s="13" t="s">
        <v>29</v>
      </c>
      <c r="G336" s="13" t="s">
        <v>43</v>
      </c>
      <c r="H336" s="13" t="s">
        <v>1031</v>
      </c>
      <c r="I336" s="27" t="s">
        <v>1552</v>
      </c>
      <c r="J336" s="27" t="s">
        <v>33</v>
      </c>
      <c r="K336" s="27" t="s">
        <v>106</v>
      </c>
      <c r="L336" s="27" t="s">
        <v>35</v>
      </c>
      <c r="M336" s="27" t="s">
        <v>36</v>
      </c>
      <c r="N336" s="17">
        <f t="shared" si="23"/>
        <v>44835</v>
      </c>
      <c r="O336" s="13" t="s">
        <v>34</v>
      </c>
      <c r="P336" s="13" t="s">
        <v>1095</v>
      </c>
      <c r="Q336" s="13" t="s">
        <v>38</v>
      </c>
      <c r="R336" s="13" t="s">
        <v>1553</v>
      </c>
      <c r="S336" s="13" t="s">
        <v>37</v>
      </c>
      <c r="T336" s="28">
        <v>24.44</v>
      </c>
      <c r="U336" s="13" t="s">
        <v>28</v>
      </c>
      <c r="V336" s="13" t="s">
        <v>53</v>
      </c>
      <c r="W336" s="13" t="s">
        <v>43</v>
      </c>
      <c r="X336" s="17">
        <f t="shared" si="24"/>
        <v>44866</v>
      </c>
      <c r="Y336" s="3"/>
    </row>
    <row r="337" spans="1:25" ht="45" customHeight="1">
      <c r="A337" s="3">
        <v>335</v>
      </c>
      <c r="B337" s="13" t="s">
        <v>1554</v>
      </c>
      <c r="C337" s="13" t="s">
        <v>103</v>
      </c>
      <c r="D337" s="13" t="s">
        <v>1555</v>
      </c>
      <c r="E337" s="13" t="s">
        <v>28</v>
      </c>
      <c r="F337" s="13" t="s">
        <v>29</v>
      </c>
      <c r="G337" s="13" t="s">
        <v>43</v>
      </c>
      <c r="H337" s="13" t="s">
        <v>1031</v>
      </c>
      <c r="I337" s="27" t="s">
        <v>1556</v>
      </c>
      <c r="J337" s="27" t="s">
        <v>33</v>
      </c>
      <c r="K337" s="27" t="s">
        <v>106</v>
      </c>
      <c r="L337" s="27" t="s">
        <v>35</v>
      </c>
      <c r="M337" s="27" t="s">
        <v>36</v>
      </c>
      <c r="N337" s="17">
        <f t="shared" si="23"/>
        <v>44835</v>
      </c>
      <c r="O337" s="13" t="s">
        <v>1198</v>
      </c>
      <c r="P337" s="13" t="s">
        <v>1134</v>
      </c>
      <c r="Q337" s="13" t="s">
        <v>38</v>
      </c>
      <c r="R337" s="13" t="s">
        <v>1557</v>
      </c>
      <c r="S337" s="13" t="s">
        <v>37</v>
      </c>
      <c r="T337" s="28">
        <v>25.47</v>
      </c>
      <c r="U337" s="13" t="s">
        <v>28</v>
      </c>
      <c r="V337" s="13" t="s">
        <v>146</v>
      </c>
      <c r="W337" s="13" t="s">
        <v>43</v>
      </c>
      <c r="X337" s="17">
        <f t="shared" si="24"/>
        <v>44866</v>
      </c>
      <c r="Y337" s="3"/>
    </row>
    <row r="338" spans="1:25" ht="45" customHeight="1">
      <c r="A338" s="3">
        <v>336</v>
      </c>
      <c r="B338" s="13" t="s">
        <v>1558</v>
      </c>
      <c r="C338" s="13" t="s">
        <v>26</v>
      </c>
      <c r="D338" s="13" t="s">
        <v>1559</v>
      </c>
      <c r="E338" s="13" t="s">
        <v>1560</v>
      </c>
      <c r="F338" s="13" t="s">
        <v>29</v>
      </c>
      <c r="G338" s="13" t="s">
        <v>1395</v>
      </c>
      <c r="H338" s="13" t="s">
        <v>406</v>
      </c>
      <c r="I338" s="27" t="s">
        <v>1561</v>
      </c>
      <c r="J338" s="27" t="s">
        <v>33</v>
      </c>
      <c r="K338" s="27" t="s">
        <v>34</v>
      </c>
      <c r="L338" s="27" t="s">
        <v>35</v>
      </c>
      <c r="M338" s="27" t="s">
        <v>36</v>
      </c>
      <c r="N338" s="17">
        <f t="shared" si="23"/>
        <v>44835</v>
      </c>
      <c r="O338" s="13" t="s">
        <v>107</v>
      </c>
      <c r="P338" s="13" t="s">
        <v>52</v>
      </c>
      <c r="Q338" s="13" t="s">
        <v>38</v>
      </c>
      <c r="R338" s="13" t="s">
        <v>1562</v>
      </c>
      <c r="S338" s="13" t="s">
        <v>403</v>
      </c>
      <c r="T338" s="28">
        <v>30.01</v>
      </c>
      <c r="U338" s="13" t="s">
        <v>1560</v>
      </c>
      <c r="V338" s="13" t="s">
        <v>752</v>
      </c>
      <c r="W338" s="13" t="s">
        <v>1398</v>
      </c>
      <c r="X338" s="17">
        <f t="shared" si="24"/>
        <v>44866</v>
      </c>
      <c r="Y338" s="3"/>
    </row>
    <row r="339" spans="1:25" ht="45" customHeight="1">
      <c r="A339" s="3">
        <v>337</v>
      </c>
      <c r="B339" s="13" t="s">
        <v>1563</v>
      </c>
      <c r="C339" s="13" t="s">
        <v>26</v>
      </c>
      <c r="D339" s="13" t="s">
        <v>1564</v>
      </c>
      <c r="E339" s="13" t="s">
        <v>28</v>
      </c>
      <c r="F339" s="13" t="s">
        <v>29</v>
      </c>
      <c r="G339" s="13" t="s">
        <v>43</v>
      </c>
      <c r="H339" s="13" t="s">
        <v>31</v>
      </c>
      <c r="I339" s="27" t="s">
        <v>1565</v>
      </c>
      <c r="J339" s="27" t="s">
        <v>33</v>
      </c>
      <c r="K339" s="27" t="s">
        <v>34</v>
      </c>
      <c r="L339" s="27" t="s">
        <v>35</v>
      </c>
      <c r="M339" s="27" t="s">
        <v>36</v>
      </c>
      <c r="N339" s="17">
        <f t="shared" si="23"/>
        <v>44835</v>
      </c>
      <c r="O339" s="13" t="s">
        <v>34</v>
      </c>
      <c r="P339" s="13" t="s">
        <v>37</v>
      </c>
      <c r="Q339" s="13" t="s">
        <v>38</v>
      </c>
      <c r="R339" s="13" t="s">
        <v>1566</v>
      </c>
      <c r="S339" s="13" t="s">
        <v>37</v>
      </c>
      <c r="T339" s="28">
        <v>29.26</v>
      </c>
      <c r="U339" s="13" t="s">
        <v>28</v>
      </c>
      <c r="V339" s="13" t="s">
        <v>76</v>
      </c>
      <c r="W339" s="13" t="s">
        <v>43</v>
      </c>
      <c r="X339" s="17">
        <f t="shared" si="24"/>
        <v>44866</v>
      </c>
      <c r="Y339" s="3"/>
    </row>
    <row r="340" spans="1:25" ht="45" customHeight="1">
      <c r="A340" s="3">
        <v>338</v>
      </c>
      <c r="B340" s="13" t="s">
        <v>1567</v>
      </c>
      <c r="C340" s="13" t="s">
        <v>26</v>
      </c>
      <c r="D340" s="13" t="s">
        <v>1568</v>
      </c>
      <c r="E340" s="13" t="s">
        <v>592</v>
      </c>
      <c r="F340" s="13" t="s">
        <v>475</v>
      </c>
      <c r="G340" s="13" t="s">
        <v>559</v>
      </c>
      <c r="H340" s="13" t="s">
        <v>406</v>
      </c>
      <c r="I340" s="27" t="s">
        <v>1569</v>
      </c>
      <c r="J340" s="27" t="s">
        <v>33</v>
      </c>
      <c r="K340" s="27" t="s">
        <v>34</v>
      </c>
      <c r="L340" s="27" t="s">
        <v>408</v>
      </c>
      <c r="M340" s="27" t="s">
        <v>409</v>
      </c>
      <c r="N340" s="17">
        <f>DATE(2022,10,17)</f>
        <v>44851</v>
      </c>
      <c r="O340" s="13" t="s">
        <v>107</v>
      </c>
      <c r="P340" s="13" t="s">
        <v>557</v>
      </c>
      <c r="Q340" s="13" t="s">
        <v>431</v>
      </c>
      <c r="R340" s="13" t="s">
        <v>1570</v>
      </c>
      <c r="S340" s="13" t="s">
        <v>478</v>
      </c>
      <c r="T340" s="28">
        <v>40.36</v>
      </c>
      <c r="U340" s="13" t="s">
        <v>427</v>
      </c>
      <c r="V340" s="13" t="s">
        <v>413</v>
      </c>
      <c r="W340" s="13" t="s">
        <v>559</v>
      </c>
      <c r="X340" s="17">
        <f>DATE(2023,1,17)</f>
        <v>44943</v>
      </c>
      <c r="Y340" s="3"/>
    </row>
    <row r="341" spans="1:25" ht="45" customHeight="1">
      <c r="A341" s="3">
        <v>339</v>
      </c>
      <c r="B341" s="13" t="s">
        <v>1571</v>
      </c>
      <c r="C341" s="13" t="s">
        <v>26</v>
      </c>
      <c r="D341" s="13" t="s">
        <v>1572</v>
      </c>
      <c r="E341" s="13" t="s">
        <v>660</v>
      </c>
      <c r="F341" s="13" t="s">
        <v>608</v>
      </c>
      <c r="G341" s="13" t="s">
        <v>609</v>
      </c>
      <c r="H341" s="13" t="s">
        <v>406</v>
      </c>
      <c r="I341" s="27" t="s">
        <v>1573</v>
      </c>
      <c r="J341" s="27" t="s">
        <v>33</v>
      </c>
      <c r="K341" s="27" t="s">
        <v>34</v>
      </c>
      <c r="L341" s="27" t="s">
        <v>35</v>
      </c>
      <c r="M341" s="27" t="s">
        <v>36</v>
      </c>
      <c r="N341" s="17">
        <f>DATE(2022,10,25)</f>
        <v>44859</v>
      </c>
      <c r="O341" s="13" t="s">
        <v>107</v>
      </c>
      <c r="P341" s="13" t="s">
        <v>607</v>
      </c>
      <c r="Q341" s="13" t="s">
        <v>431</v>
      </c>
      <c r="R341" s="13" t="s">
        <v>1574</v>
      </c>
      <c r="S341" s="13" t="s">
        <v>611</v>
      </c>
      <c r="T341" s="28">
        <v>27.92</v>
      </c>
      <c r="U341" s="13" t="s">
        <v>445</v>
      </c>
      <c r="V341" s="13" t="s">
        <v>413</v>
      </c>
      <c r="W341" s="13" t="s">
        <v>609</v>
      </c>
      <c r="X341" s="17">
        <f>DATE(2023,1,25)</f>
        <v>44951</v>
      </c>
      <c r="Y341" s="3"/>
    </row>
    <row r="342" spans="1:25" ht="45" customHeight="1">
      <c r="A342" s="3">
        <v>340</v>
      </c>
      <c r="B342" s="13" t="s">
        <v>1575</v>
      </c>
      <c r="C342" s="13" t="s">
        <v>26</v>
      </c>
      <c r="D342" s="13" t="s">
        <v>1576</v>
      </c>
      <c r="E342" s="13" t="s">
        <v>762</v>
      </c>
      <c r="F342" s="13" t="s">
        <v>446</v>
      </c>
      <c r="G342" s="13" t="s">
        <v>860</v>
      </c>
      <c r="H342" s="13" t="s">
        <v>406</v>
      </c>
      <c r="I342" s="27" t="s">
        <v>1577</v>
      </c>
      <c r="J342" s="27" t="s">
        <v>33</v>
      </c>
      <c r="K342" s="27" t="s">
        <v>34</v>
      </c>
      <c r="L342" s="27" t="s">
        <v>35</v>
      </c>
      <c r="M342" s="27" t="s">
        <v>36</v>
      </c>
      <c r="N342" s="17">
        <f>DATE(2022,10,31)</f>
        <v>44865</v>
      </c>
      <c r="O342" s="13" t="s">
        <v>107</v>
      </c>
      <c r="P342" s="13" t="s">
        <v>966</v>
      </c>
      <c r="Q342" s="13" t="s">
        <v>670</v>
      </c>
      <c r="R342" s="13" t="s">
        <v>1578</v>
      </c>
      <c r="S342" s="13" t="s">
        <v>449</v>
      </c>
      <c r="T342" s="28">
        <v>28.37</v>
      </c>
      <c r="U342" s="13" t="s">
        <v>765</v>
      </c>
      <c r="V342" s="13" t="s">
        <v>53</v>
      </c>
      <c r="W342" s="13" t="s">
        <v>860</v>
      </c>
      <c r="X342" s="17">
        <f>DATE(2023,1,31)</f>
        <v>44957</v>
      </c>
      <c r="Y342" s="3"/>
    </row>
    <row r="343" spans="1:25" ht="45" customHeight="1">
      <c r="A343" s="3">
        <v>341</v>
      </c>
      <c r="B343" s="13" t="s">
        <v>1579</v>
      </c>
      <c r="C343" s="13" t="s">
        <v>103</v>
      </c>
      <c r="D343" s="13" t="s">
        <v>1580</v>
      </c>
      <c r="E343" s="13" t="s">
        <v>660</v>
      </c>
      <c r="F343" s="13" t="s">
        <v>608</v>
      </c>
      <c r="G343" s="13" t="s">
        <v>609</v>
      </c>
      <c r="H343" s="13" t="s">
        <v>406</v>
      </c>
      <c r="I343" s="27" t="s">
        <v>1581</v>
      </c>
      <c r="J343" s="27" t="s">
        <v>33</v>
      </c>
      <c r="K343" s="27" t="s">
        <v>106</v>
      </c>
      <c r="L343" s="27" t="s">
        <v>35</v>
      </c>
      <c r="M343" s="27" t="s">
        <v>36</v>
      </c>
      <c r="N343" s="17">
        <f>DATE(2022,11,8)</f>
        <v>44873</v>
      </c>
      <c r="O343" s="13" t="s">
        <v>107</v>
      </c>
      <c r="P343" s="13" t="s">
        <v>607</v>
      </c>
      <c r="Q343" s="13" t="s">
        <v>431</v>
      </c>
      <c r="R343" s="13" t="s">
        <v>1582</v>
      </c>
      <c r="S343" s="13" t="s">
        <v>611</v>
      </c>
      <c r="T343" s="28">
        <v>25.89</v>
      </c>
      <c r="U343" s="13" t="s">
        <v>445</v>
      </c>
      <c r="V343" s="13" t="s">
        <v>413</v>
      </c>
      <c r="W343" s="13" t="s">
        <v>609</v>
      </c>
      <c r="X343" s="17">
        <f>DATE(2023,2,8)</f>
        <v>44965</v>
      </c>
      <c r="Y343" s="3"/>
    </row>
    <row r="344" spans="1:25" ht="45" customHeight="1">
      <c r="A344" s="3">
        <v>342</v>
      </c>
      <c r="B344" s="13" t="s">
        <v>1583</v>
      </c>
      <c r="C344" s="13" t="s">
        <v>26</v>
      </c>
      <c r="D344" s="13" t="s">
        <v>1584</v>
      </c>
      <c r="E344" s="13" t="s">
        <v>1054</v>
      </c>
      <c r="F344" s="13" t="s">
        <v>29</v>
      </c>
      <c r="G344" s="13" t="s">
        <v>43</v>
      </c>
      <c r="H344" s="13" t="s">
        <v>1031</v>
      </c>
      <c r="I344" s="27" t="s">
        <v>1585</v>
      </c>
      <c r="J344" s="27" t="s">
        <v>33</v>
      </c>
      <c r="K344" s="27" t="s">
        <v>34</v>
      </c>
      <c r="L344" s="27" t="s">
        <v>208</v>
      </c>
      <c r="M344" s="27" t="s">
        <v>209</v>
      </c>
      <c r="N344" s="17">
        <f t="shared" ref="N344:N356" si="25">DATE(2022,11,1)</f>
        <v>44866</v>
      </c>
      <c r="O344" s="13" t="s">
        <v>107</v>
      </c>
      <c r="P344" s="13" t="s">
        <v>37</v>
      </c>
      <c r="Q344" s="13" t="s">
        <v>1054</v>
      </c>
      <c r="R344" s="13" t="s">
        <v>1586</v>
      </c>
      <c r="S344" s="13" t="s">
        <v>37</v>
      </c>
      <c r="T344" s="28">
        <v>35.200000000000003</v>
      </c>
      <c r="U344" s="13" t="s">
        <v>1054</v>
      </c>
      <c r="V344" s="13" t="s">
        <v>89</v>
      </c>
      <c r="W344" s="13" t="s">
        <v>43</v>
      </c>
      <c r="X344" s="17">
        <f t="shared" ref="X344:X356" si="26">DATE(2022,12,1)</f>
        <v>44896</v>
      </c>
      <c r="Y344" s="3"/>
    </row>
    <row r="345" spans="1:25" ht="45" customHeight="1">
      <c r="A345" s="3">
        <v>343</v>
      </c>
      <c r="B345" s="13" t="s">
        <v>1587</v>
      </c>
      <c r="C345" s="13" t="s">
        <v>103</v>
      </c>
      <c r="D345" s="13" t="s">
        <v>1588</v>
      </c>
      <c r="E345" s="13" t="s">
        <v>1064</v>
      </c>
      <c r="F345" s="13" t="s">
        <v>29</v>
      </c>
      <c r="G345" s="13" t="s">
        <v>72</v>
      </c>
      <c r="H345" s="13" t="s">
        <v>1031</v>
      </c>
      <c r="I345" s="27" t="s">
        <v>1589</v>
      </c>
      <c r="J345" s="27" t="s">
        <v>33</v>
      </c>
      <c r="K345" s="27" t="s">
        <v>106</v>
      </c>
      <c r="L345" s="27" t="s">
        <v>35</v>
      </c>
      <c r="M345" s="27" t="s">
        <v>36</v>
      </c>
      <c r="N345" s="17">
        <f t="shared" si="25"/>
        <v>44866</v>
      </c>
      <c r="O345" s="13" t="s">
        <v>34</v>
      </c>
      <c r="P345" s="13" t="s">
        <v>1100</v>
      </c>
      <c r="Q345" s="13" t="s">
        <v>38</v>
      </c>
      <c r="R345" s="13" t="s">
        <v>1590</v>
      </c>
      <c r="S345" s="13" t="s">
        <v>74</v>
      </c>
      <c r="T345" s="28">
        <v>23.96</v>
      </c>
      <c r="U345" s="13" t="s">
        <v>28</v>
      </c>
      <c r="V345" s="13" t="s">
        <v>89</v>
      </c>
      <c r="W345" s="13" t="s">
        <v>72</v>
      </c>
      <c r="X345" s="17">
        <f t="shared" si="26"/>
        <v>44896</v>
      </c>
      <c r="Y345" s="3"/>
    </row>
    <row r="346" spans="1:25" ht="45" customHeight="1">
      <c r="A346" s="3">
        <v>344</v>
      </c>
      <c r="B346" s="13" t="s">
        <v>1591</v>
      </c>
      <c r="C346" s="13" t="s">
        <v>103</v>
      </c>
      <c r="D346" s="13" t="s">
        <v>1592</v>
      </c>
      <c r="E346" s="13" t="s">
        <v>1211</v>
      </c>
      <c r="F346" s="13" t="s">
        <v>417</v>
      </c>
      <c r="G346" s="13" t="s">
        <v>674</v>
      </c>
      <c r="H346" s="13" t="s">
        <v>419</v>
      </c>
      <c r="I346" s="27" t="s">
        <v>1593</v>
      </c>
      <c r="J346" s="27" t="s">
        <v>33</v>
      </c>
      <c r="K346" s="27" t="s">
        <v>106</v>
      </c>
      <c r="L346" s="27" t="s">
        <v>35</v>
      </c>
      <c r="M346" s="27" t="s">
        <v>36</v>
      </c>
      <c r="N346" s="17">
        <f t="shared" si="25"/>
        <v>44866</v>
      </c>
      <c r="O346" s="13" t="s">
        <v>107</v>
      </c>
      <c r="P346" s="13" t="s">
        <v>676</v>
      </c>
      <c r="Q346" s="13" t="s">
        <v>465</v>
      </c>
      <c r="R346" s="13" t="s">
        <v>1594</v>
      </c>
      <c r="S346" s="13" t="s">
        <v>423</v>
      </c>
      <c r="T346" s="28">
        <v>25.36</v>
      </c>
      <c r="U346" s="13" t="s">
        <v>490</v>
      </c>
      <c r="V346" s="13" t="s">
        <v>413</v>
      </c>
      <c r="W346" s="13" t="s">
        <v>678</v>
      </c>
      <c r="X346" s="17">
        <f t="shared" si="26"/>
        <v>44896</v>
      </c>
      <c r="Y346" s="3"/>
    </row>
    <row r="347" spans="1:25" ht="45" customHeight="1">
      <c r="A347" s="3">
        <v>345</v>
      </c>
      <c r="B347" s="13" t="s">
        <v>1595</v>
      </c>
      <c r="C347" s="13" t="s">
        <v>26</v>
      </c>
      <c r="D347" s="13" t="s">
        <v>1596</v>
      </c>
      <c r="E347" s="13" t="s">
        <v>1064</v>
      </c>
      <c r="F347" s="13" t="s">
        <v>475</v>
      </c>
      <c r="G347" s="13" t="s">
        <v>476</v>
      </c>
      <c r="H347" s="13" t="s">
        <v>406</v>
      </c>
      <c r="I347" s="27" t="s">
        <v>1597</v>
      </c>
      <c r="J347" s="27" t="s">
        <v>33</v>
      </c>
      <c r="K347" s="27" t="s">
        <v>34</v>
      </c>
      <c r="L347" s="27" t="s">
        <v>35</v>
      </c>
      <c r="M347" s="27" t="s">
        <v>36</v>
      </c>
      <c r="N347" s="17">
        <f t="shared" si="25"/>
        <v>44866</v>
      </c>
      <c r="O347" s="13" t="s">
        <v>34</v>
      </c>
      <c r="P347" s="13" t="s">
        <v>473</v>
      </c>
      <c r="Q347" s="13" t="s">
        <v>38</v>
      </c>
      <c r="R347" s="13" t="s">
        <v>1598</v>
      </c>
      <c r="S347" s="13" t="s">
        <v>478</v>
      </c>
      <c r="T347" s="28">
        <v>29.66</v>
      </c>
      <c r="U347" s="13" t="s">
        <v>28</v>
      </c>
      <c r="V347" s="13" t="s">
        <v>53</v>
      </c>
      <c r="W347" s="13" t="s">
        <v>476</v>
      </c>
      <c r="X347" s="17">
        <f t="shared" si="26"/>
        <v>44896</v>
      </c>
      <c r="Y347" s="3"/>
    </row>
    <row r="348" spans="1:25" ht="45" customHeight="1">
      <c r="A348" s="3">
        <v>346</v>
      </c>
      <c r="B348" s="13" t="s">
        <v>1599</v>
      </c>
      <c r="C348" s="13" t="s">
        <v>26</v>
      </c>
      <c r="D348" s="13" t="s">
        <v>1600</v>
      </c>
      <c r="E348" s="13" t="s">
        <v>28</v>
      </c>
      <c r="F348" s="13" t="s">
        <v>417</v>
      </c>
      <c r="G348" s="13" t="s">
        <v>674</v>
      </c>
      <c r="H348" s="13" t="s">
        <v>419</v>
      </c>
      <c r="I348" s="27" t="s">
        <v>1601</v>
      </c>
      <c r="J348" s="27" t="s">
        <v>33</v>
      </c>
      <c r="K348" s="27" t="s">
        <v>34</v>
      </c>
      <c r="L348" s="27" t="s">
        <v>35</v>
      </c>
      <c r="M348" s="27" t="s">
        <v>36</v>
      </c>
      <c r="N348" s="17">
        <f t="shared" si="25"/>
        <v>44866</v>
      </c>
      <c r="O348" s="13" t="s">
        <v>34</v>
      </c>
      <c r="P348" s="13" t="s">
        <v>676</v>
      </c>
      <c r="Q348" s="13" t="s">
        <v>38</v>
      </c>
      <c r="R348" s="13" t="s">
        <v>1602</v>
      </c>
      <c r="S348" s="13" t="s">
        <v>423</v>
      </c>
      <c r="T348" s="28">
        <v>24.83</v>
      </c>
      <c r="U348" s="13" t="s">
        <v>28</v>
      </c>
      <c r="V348" s="13" t="s">
        <v>146</v>
      </c>
      <c r="W348" s="13" t="s">
        <v>678</v>
      </c>
      <c r="X348" s="17">
        <f t="shared" si="26"/>
        <v>44896</v>
      </c>
      <c r="Y348" s="3"/>
    </row>
    <row r="349" spans="1:25" ht="45" customHeight="1">
      <c r="A349" s="3">
        <v>347</v>
      </c>
      <c r="B349" s="13" t="s">
        <v>1603</v>
      </c>
      <c r="C349" s="13" t="s">
        <v>26</v>
      </c>
      <c r="D349" s="13" t="s">
        <v>1604</v>
      </c>
      <c r="E349" s="13" t="s">
        <v>1064</v>
      </c>
      <c r="F349" s="13" t="s">
        <v>29</v>
      </c>
      <c r="G349" s="13" t="s">
        <v>30</v>
      </c>
      <c r="H349" s="13" t="s">
        <v>1031</v>
      </c>
      <c r="I349" s="27" t="s">
        <v>1605</v>
      </c>
      <c r="J349" s="27" t="s">
        <v>33</v>
      </c>
      <c r="K349" s="27" t="s">
        <v>34</v>
      </c>
      <c r="L349" s="27" t="s">
        <v>35</v>
      </c>
      <c r="M349" s="27" t="s">
        <v>36</v>
      </c>
      <c r="N349" s="17">
        <f t="shared" si="25"/>
        <v>44866</v>
      </c>
      <c r="O349" s="13" t="s">
        <v>34</v>
      </c>
      <c r="P349" s="13" t="s">
        <v>1606</v>
      </c>
      <c r="Q349" s="13" t="s">
        <v>38</v>
      </c>
      <c r="R349" s="13" t="s">
        <v>1607</v>
      </c>
      <c r="S349" s="13" t="s">
        <v>37</v>
      </c>
      <c r="T349" s="28">
        <v>28.67</v>
      </c>
      <c r="U349" s="13" t="s">
        <v>28</v>
      </c>
      <c r="V349" s="13" t="s">
        <v>89</v>
      </c>
      <c r="W349" s="13" t="s">
        <v>30</v>
      </c>
      <c r="X349" s="17">
        <f t="shared" si="26"/>
        <v>44896</v>
      </c>
      <c r="Y349" s="3"/>
    </row>
    <row r="350" spans="1:25" ht="45" customHeight="1">
      <c r="A350" s="3">
        <v>348</v>
      </c>
      <c r="B350" s="13" t="s">
        <v>1608</v>
      </c>
      <c r="C350" s="13" t="s">
        <v>26</v>
      </c>
      <c r="D350" s="13" t="s">
        <v>1609</v>
      </c>
      <c r="E350" s="13" t="s">
        <v>1064</v>
      </c>
      <c r="F350" s="13" t="s">
        <v>29</v>
      </c>
      <c r="G350" s="13" t="s">
        <v>30</v>
      </c>
      <c r="H350" s="13" t="s">
        <v>1031</v>
      </c>
      <c r="I350" s="27" t="s">
        <v>1610</v>
      </c>
      <c r="J350" s="27" t="s">
        <v>33</v>
      </c>
      <c r="K350" s="27" t="s">
        <v>34</v>
      </c>
      <c r="L350" s="27" t="s">
        <v>35</v>
      </c>
      <c r="M350" s="27" t="s">
        <v>36</v>
      </c>
      <c r="N350" s="17">
        <f t="shared" si="25"/>
        <v>44866</v>
      </c>
      <c r="O350" s="13" t="s">
        <v>34</v>
      </c>
      <c r="P350" s="13" t="s">
        <v>1154</v>
      </c>
      <c r="Q350" s="13" t="s">
        <v>38</v>
      </c>
      <c r="R350" s="13" t="s">
        <v>1611</v>
      </c>
      <c r="S350" s="13" t="s">
        <v>37</v>
      </c>
      <c r="T350" s="28">
        <v>24.06</v>
      </c>
      <c r="U350" s="13" t="s">
        <v>28</v>
      </c>
      <c r="V350" s="13" t="s">
        <v>146</v>
      </c>
      <c r="W350" s="13" t="s">
        <v>30</v>
      </c>
      <c r="X350" s="17">
        <f t="shared" si="26"/>
        <v>44896</v>
      </c>
      <c r="Y350" s="3"/>
    </row>
    <row r="351" spans="1:25" ht="45" customHeight="1">
      <c r="A351" s="3">
        <v>349</v>
      </c>
      <c r="B351" s="13" t="s">
        <v>1612</v>
      </c>
      <c r="C351" s="13" t="s">
        <v>26</v>
      </c>
      <c r="D351" s="13" t="s">
        <v>1613</v>
      </c>
      <c r="E351" s="13" t="s">
        <v>1064</v>
      </c>
      <c r="F351" s="13" t="s">
        <v>29</v>
      </c>
      <c r="G351" s="13" t="s">
        <v>537</v>
      </c>
      <c r="H351" s="13" t="s">
        <v>1031</v>
      </c>
      <c r="I351" s="27" t="s">
        <v>1614</v>
      </c>
      <c r="J351" s="27" t="s">
        <v>33</v>
      </c>
      <c r="K351" s="27" t="s">
        <v>34</v>
      </c>
      <c r="L351" s="27" t="s">
        <v>35</v>
      </c>
      <c r="M351" s="27" t="s">
        <v>36</v>
      </c>
      <c r="N351" s="17">
        <f t="shared" si="25"/>
        <v>44866</v>
      </c>
      <c r="O351" s="13" t="s">
        <v>34</v>
      </c>
      <c r="P351" s="13" t="s">
        <v>64</v>
      </c>
      <c r="Q351" s="13" t="s">
        <v>38</v>
      </c>
      <c r="R351" s="13" t="s">
        <v>1615</v>
      </c>
      <c r="S351" s="13" t="s">
        <v>64</v>
      </c>
      <c r="T351" s="28">
        <v>36.47</v>
      </c>
      <c r="U351" s="13" t="s">
        <v>28</v>
      </c>
      <c r="V351" s="13" t="s">
        <v>89</v>
      </c>
      <c r="W351" s="13" t="s">
        <v>537</v>
      </c>
      <c r="X351" s="17">
        <f t="shared" si="26"/>
        <v>44896</v>
      </c>
      <c r="Y351" s="3"/>
    </row>
    <row r="352" spans="1:25" ht="45" customHeight="1">
      <c r="A352" s="3">
        <v>350</v>
      </c>
      <c r="B352" s="13" t="s">
        <v>1616</v>
      </c>
      <c r="C352" s="13" t="s">
        <v>26</v>
      </c>
      <c r="D352" s="13" t="s">
        <v>1617</v>
      </c>
      <c r="E352" s="13" t="s">
        <v>28</v>
      </c>
      <c r="F352" s="13" t="s">
        <v>29</v>
      </c>
      <c r="G352" s="13" t="s">
        <v>56</v>
      </c>
      <c r="H352" s="13" t="s">
        <v>31</v>
      </c>
      <c r="I352" s="27" t="s">
        <v>1618</v>
      </c>
      <c r="J352" s="27" t="s">
        <v>33</v>
      </c>
      <c r="K352" s="27" t="s">
        <v>34</v>
      </c>
      <c r="L352" s="27" t="s">
        <v>35</v>
      </c>
      <c r="M352" s="27" t="s">
        <v>36</v>
      </c>
      <c r="N352" s="17">
        <f t="shared" si="25"/>
        <v>44866</v>
      </c>
      <c r="O352" s="13" t="s">
        <v>34</v>
      </c>
      <c r="P352" s="13" t="s">
        <v>58</v>
      </c>
      <c r="Q352" s="13" t="s">
        <v>38</v>
      </c>
      <c r="R352" s="13" t="s">
        <v>1619</v>
      </c>
      <c r="S352" s="13" t="s">
        <v>58</v>
      </c>
      <c r="T352" s="28">
        <v>37.31</v>
      </c>
      <c r="U352" s="13" t="s">
        <v>28</v>
      </c>
      <c r="V352" s="13" t="s">
        <v>40</v>
      </c>
      <c r="W352" s="13" t="s">
        <v>56</v>
      </c>
      <c r="X352" s="17">
        <f t="shared" si="26"/>
        <v>44896</v>
      </c>
      <c r="Y352" s="3"/>
    </row>
    <row r="353" spans="1:25" ht="45" customHeight="1">
      <c r="A353" s="3">
        <v>351</v>
      </c>
      <c r="B353" s="13" t="s">
        <v>1620</v>
      </c>
      <c r="C353" s="13" t="s">
        <v>26</v>
      </c>
      <c r="D353" s="13" t="s">
        <v>1621</v>
      </c>
      <c r="E353" s="13" t="s">
        <v>28</v>
      </c>
      <c r="F353" s="13" t="s">
        <v>29</v>
      </c>
      <c r="G353" s="13" t="s">
        <v>79</v>
      </c>
      <c r="H353" s="13" t="s">
        <v>31</v>
      </c>
      <c r="I353" s="27" t="s">
        <v>1622</v>
      </c>
      <c r="J353" s="27" t="s">
        <v>33</v>
      </c>
      <c r="K353" s="27" t="s">
        <v>34</v>
      </c>
      <c r="L353" s="27" t="s">
        <v>35</v>
      </c>
      <c r="M353" s="27" t="s">
        <v>36</v>
      </c>
      <c r="N353" s="17">
        <f t="shared" si="25"/>
        <v>44866</v>
      </c>
      <c r="O353" s="13" t="s">
        <v>34</v>
      </c>
      <c r="P353" s="13" t="s">
        <v>81</v>
      </c>
      <c r="Q353" s="13" t="s">
        <v>38</v>
      </c>
      <c r="R353" s="13" t="s">
        <v>1623</v>
      </c>
      <c r="S353" s="13" t="s">
        <v>81</v>
      </c>
      <c r="T353" s="28">
        <v>24.78</v>
      </c>
      <c r="U353" s="13" t="s">
        <v>28</v>
      </c>
      <c r="V353" s="13" t="s">
        <v>76</v>
      </c>
      <c r="W353" s="13" t="s">
        <v>79</v>
      </c>
      <c r="X353" s="17">
        <f t="shared" si="26"/>
        <v>44896</v>
      </c>
      <c r="Y353" s="3"/>
    </row>
    <row r="354" spans="1:25" ht="45" customHeight="1">
      <c r="A354" s="3">
        <v>352</v>
      </c>
      <c r="B354" s="13" t="s">
        <v>1624</v>
      </c>
      <c r="C354" s="13" t="s">
        <v>103</v>
      </c>
      <c r="D354" s="13" t="s">
        <v>1144</v>
      </c>
      <c r="E354" s="13" t="s">
        <v>499</v>
      </c>
      <c r="F354" s="13" t="s">
        <v>29</v>
      </c>
      <c r="G354" s="13" t="s">
        <v>72</v>
      </c>
      <c r="H354" s="13" t="s">
        <v>406</v>
      </c>
      <c r="I354" s="27" t="s">
        <v>1625</v>
      </c>
      <c r="J354" s="27" t="s">
        <v>33</v>
      </c>
      <c r="K354" s="27" t="s">
        <v>106</v>
      </c>
      <c r="L354" s="27" t="s">
        <v>35</v>
      </c>
      <c r="M354" s="27" t="s">
        <v>36</v>
      </c>
      <c r="N354" s="17">
        <f t="shared" si="25"/>
        <v>44866</v>
      </c>
      <c r="O354" s="13" t="s">
        <v>107</v>
      </c>
      <c r="P354" s="13" t="s">
        <v>74</v>
      </c>
      <c r="Q354" s="13" t="s">
        <v>501</v>
      </c>
      <c r="R354" s="13" t="s">
        <v>1626</v>
      </c>
      <c r="S354" s="13" t="s">
        <v>503</v>
      </c>
      <c r="T354" s="28">
        <v>40.950000000000003</v>
      </c>
      <c r="U354" s="13" t="s">
        <v>499</v>
      </c>
      <c r="V354" s="13" t="s">
        <v>53</v>
      </c>
      <c r="W354" s="13" t="s">
        <v>72</v>
      </c>
      <c r="X354" s="17">
        <f t="shared" si="26"/>
        <v>44896</v>
      </c>
      <c r="Y354" s="3"/>
    </row>
    <row r="355" spans="1:25" ht="45" customHeight="1">
      <c r="A355" s="3">
        <v>353</v>
      </c>
      <c r="B355" s="13" t="s">
        <v>1627</v>
      </c>
      <c r="C355" s="13" t="s">
        <v>26</v>
      </c>
      <c r="D355" s="13" t="s">
        <v>1628</v>
      </c>
      <c r="E355" s="13" t="s">
        <v>28</v>
      </c>
      <c r="F355" s="13" t="s">
        <v>29</v>
      </c>
      <c r="G355" s="13" t="s">
        <v>79</v>
      </c>
      <c r="H355" s="13" t="s">
        <v>1031</v>
      </c>
      <c r="I355" s="27" t="s">
        <v>1629</v>
      </c>
      <c r="J355" s="27" t="s">
        <v>33</v>
      </c>
      <c r="K355" s="27" t="s">
        <v>34</v>
      </c>
      <c r="L355" s="27" t="s">
        <v>35</v>
      </c>
      <c r="M355" s="27" t="s">
        <v>36</v>
      </c>
      <c r="N355" s="17">
        <f t="shared" si="25"/>
        <v>44866</v>
      </c>
      <c r="O355" s="13" t="s">
        <v>34</v>
      </c>
      <c r="P355" s="13" t="s">
        <v>498</v>
      </c>
      <c r="Q355" s="13" t="s">
        <v>38</v>
      </c>
      <c r="R355" s="13" t="s">
        <v>1630</v>
      </c>
      <c r="S355" s="13" t="s">
        <v>81</v>
      </c>
      <c r="T355" s="28">
        <v>24.31</v>
      </c>
      <c r="U355" s="13" t="s">
        <v>28</v>
      </c>
      <c r="V355" s="13" t="s">
        <v>146</v>
      </c>
      <c r="W355" s="13" t="s">
        <v>79</v>
      </c>
      <c r="X355" s="17">
        <f t="shared" si="26"/>
        <v>44896</v>
      </c>
      <c r="Y355" s="3"/>
    </row>
    <row r="356" spans="1:25" ht="45" customHeight="1">
      <c r="A356" s="3">
        <v>354</v>
      </c>
      <c r="B356" s="13" t="s">
        <v>1631</v>
      </c>
      <c r="C356" s="13" t="s">
        <v>103</v>
      </c>
      <c r="D356" s="13" t="s">
        <v>1632</v>
      </c>
      <c r="E356" s="13" t="s">
        <v>1064</v>
      </c>
      <c r="F356" s="13" t="s">
        <v>29</v>
      </c>
      <c r="G356" s="13" t="s">
        <v>680</v>
      </c>
      <c r="H356" s="13" t="s">
        <v>1031</v>
      </c>
      <c r="I356" s="27" t="s">
        <v>1633</v>
      </c>
      <c r="J356" s="27" t="s">
        <v>33</v>
      </c>
      <c r="K356" s="27" t="s">
        <v>106</v>
      </c>
      <c r="L356" s="27" t="s">
        <v>35</v>
      </c>
      <c r="M356" s="27" t="s">
        <v>36</v>
      </c>
      <c r="N356" s="17">
        <f t="shared" si="25"/>
        <v>44866</v>
      </c>
      <c r="O356" s="13" t="s">
        <v>107</v>
      </c>
      <c r="P356" s="13" t="s">
        <v>52</v>
      </c>
      <c r="Q356" s="13" t="s">
        <v>38</v>
      </c>
      <c r="R356" s="13" t="s">
        <v>1634</v>
      </c>
      <c r="S356" s="13" t="s">
        <v>52</v>
      </c>
      <c r="T356" s="28">
        <v>30.96</v>
      </c>
      <c r="U356" s="13" t="s">
        <v>28</v>
      </c>
      <c r="V356" s="13" t="s">
        <v>146</v>
      </c>
      <c r="W356" s="13" t="s">
        <v>683</v>
      </c>
      <c r="X356" s="17">
        <f t="shared" si="26"/>
        <v>44896</v>
      </c>
      <c r="Y356" s="3"/>
    </row>
    <row r="357" spans="1:25" ht="45" customHeight="1">
      <c r="A357" s="3">
        <v>355</v>
      </c>
      <c r="B357" s="13" t="s">
        <v>1635</v>
      </c>
      <c r="C357" s="13" t="s">
        <v>26</v>
      </c>
      <c r="D357" s="13" t="s">
        <v>1636</v>
      </c>
      <c r="E357" s="13" t="s">
        <v>762</v>
      </c>
      <c r="F357" s="13" t="s">
        <v>446</v>
      </c>
      <c r="G357" s="13" t="s">
        <v>615</v>
      </c>
      <c r="H357" s="13" t="s">
        <v>406</v>
      </c>
      <c r="I357" s="27" t="s">
        <v>1637</v>
      </c>
      <c r="J357" s="27" t="s">
        <v>33</v>
      </c>
      <c r="K357" s="27" t="s">
        <v>34</v>
      </c>
      <c r="L357" s="27" t="s">
        <v>35</v>
      </c>
      <c r="M357" s="27" t="s">
        <v>36</v>
      </c>
      <c r="N357" s="17">
        <f>DATE(2022,11,22)</f>
        <v>44887</v>
      </c>
      <c r="O357" s="13" t="s">
        <v>107</v>
      </c>
      <c r="P357" s="13" t="s">
        <v>449</v>
      </c>
      <c r="Q357" s="13" t="s">
        <v>670</v>
      </c>
      <c r="R357" s="13" t="s">
        <v>1638</v>
      </c>
      <c r="S357" s="13" t="s">
        <v>403</v>
      </c>
      <c r="T357" s="28">
        <v>47.52</v>
      </c>
      <c r="U357" s="13" t="s">
        <v>765</v>
      </c>
      <c r="V357" s="13" t="s">
        <v>799</v>
      </c>
      <c r="W357" s="13" t="s">
        <v>615</v>
      </c>
      <c r="X357" s="17">
        <f>DATE(2023,2,22)</f>
        <v>44979</v>
      </c>
      <c r="Y357" s="3"/>
    </row>
    <row r="358" spans="1:25" ht="45" customHeight="1">
      <c r="A358" s="3">
        <v>356</v>
      </c>
      <c r="B358" s="13" t="s">
        <v>1639</v>
      </c>
      <c r="C358" s="13" t="s">
        <v>26</v>
      </c>
      <c r="D358" s="13" t="s">
        <v>1640</v>
      </c>
      <c r="E358" s="13" t="s">
        <v>738</v>
      </c>
      <c r="F358" s="13" t="s">
        <v>446</v>
      </c>
      <c r="G358" s="13" t="s">
        <v>860</v>
      </c>
      <c r="H358" s="13" t="s">
        <v>406</v>
      </c>
      <c r="I358" s="27" t="s">
        <v>1641</v>
      </c>
      <c r="J358" s="27" t="s">
        <v>33</v>
      </c>
      <c r="K358" s="27" t="s">
        <v>34</v>
      </c>
      <c r="L358" s="27" t="s">
        <v>35</v>
      </c>
      <c r="M358" s="27" t="s">
        <v>36</v>
      </c>
      <c r="N358" s="17">
        <f>DATE(2022,11,29)</f>
        <v>44894</v>
      </c>
      <c r="O358" s="13" t="s">
        <v>107</v>
      </c>
      <c r="P358" s="13" t="s">
        <v>449</v>
      </c>
      <c r="Q358" s="13" t="s">
        <v>670</v>
      </c>
      <c r="R358" s="13" t="s">
        <v>1642</v>
      </c>
      <c r="S358" s="13" t="s">
        <v>449</v>
      </c>
      <c r="T358" s="28">
        <v>27.87</v>
      </c>
      <c r="U358" s="13" t="s">
        <v>733</v>
      </c>
      <c r="V358" s="13" t="s">
        <v>146</v>
      </c>
      <c r="W358" s="13" t="s">
        <v>860</v>
      </c>
      <c r="X358" s="17">
        <f>DATE(2023,2,28)</f>
        <v>44985</v>
      </c>
      <c r="Y358" s="3"/>
    </row>
    <row r="359" spans="1:25" ht="45" customHeight="1">
      <c r="A359" s="3">
        <v>357</v>
      </c>
      <c r="B359" s="13" t="s">
        <v>1643</v>
      </c>
      <c r="C359" s="13" t="s">
        <v>26</v>
      </c>
      <c r="D359" s="13" t="s">
        <v>1644</v>
      </c>
      <c r="E359" s="13" t="s">
        <v>738</v>
      </c>
      <c r="F359" s="13" t="s">
        <v>446</v>
      </c>
      <c r="G359" s="13" t="s">
        <v>860</v>
      </c>
      <c r="H359" s="13" t="s">
        <v>406</v>
      </c>
      <c r="I359" s="27" t="s">
        <v>1645</v>
      </c>
      <c r="J359" s="27" t="s">
        <v>33</v>
      </c>
      <c r="K359" s="27" t="s">
        <v>34</v>
      </c>
      <c r="L359" s="27" t="s">
        <v>35</v>
      </c>
      <c r="M359" s="27" t="s">
        <v>36</v>
      </c>
      <c r="N359" s="17">
        <f>DATE(2022,11,29)</f>
        <v>44894</v>
      </c>
      <c r="O359" s="13" t="s">
        <v>107</v>
      </c>
      <c r="P359" s="13" t="s">
        <v>862</v>
      </c>
      <c r="Q359" s="13" t="s">
        <v>670</v>
      </c>
      <c r="R359" s="13" t="s">
        <v>1646</v>
      </c>
      <c r="S359" s="13" t="s">
        <v>449</v>
      </c>
      <c r="T359" s="28">
        <v>31.54</v>
      </c>
      <c r="U359" s="13" t="s">
        <v>733</v>
      </c>
      <c r="V359" s="13" t="s">
        <v>89</v>
      </c>
      <c r="W359" s="13" t="s">
        <v>860</v>
      </c>
      <c r="X359" s="17">
        <f>DATE(2023,2,28)</f>
        <v>44985</v>
      </c>
      <c r="Y359" s="3"/>
    </row>
    <row r="360" spans="1:25" ht="45" customHeight="1">
      <c r="A360" s="3">
        <v>358</v>
      </c>
      <c r="B360" s="13" t="s">
        <v>1647</v>
      </c>
      <c r="C360" s="13" t="s">
        <v>26</v>
      </c>
      <c r="D360" s="13" t="s">
        <v>1648</v>
      </c>
      <c r="E360" s="13" t="s">
        <v>738</v>
      </c>
      <c r="F360" s="13" t="s">
        <v>446</v>
      </c>
      <c r="G360" s="13" t="s">
        <v>860</v>
      </c>
      <c r="H360" s="13" t="s">
        <v>406</v>
      </c>
      <c r="I360" s="27" t="s">
        <v>1649</v>
      </c>
      <c r="J360" s="27" t="s">
        <v>33</v>
      </c>
      <c r="K360" s="27" t="s">
        <v>34</v>
      </c>
      <c r="L360" s="27" t="s">
        <v>35</v>
      </c>
      <c r="M360" s="27" t="s">
        <v>36</v>
      </c>
      <c r="N360" s="17">
        <f>DATE(2022,12,1)</f>
        <v>44896</v>
      </c>
      <c r="O360" s="13" t="s">
        <v>107</v>
      </c>
      <c r="P360" s="13" t="s">
        <v>966</v>
      </c>
      <c r="Q360" s="13" t="s">
        <v>670</v>
      </c>
      <c r="R360" s="13" t="s">
        <v>1650</v>
      </c>
      <c r="S360" s="13" t="s">
        <v>449</v>
      </c>
      <c r="T360" s="28">
        <v>27.76</v>
      </c>
      <c r="U360" s="13" t="s">
        <v>733</v>
      </c>
      <c r="V360" s="13" t="s">
        <v>53</v>
      </c>
      <c r="W360" s="13" t="s">
        <v>860</v>
      </c>
      <c r="X360" s="17">
        <f>DATE(2023,3,1)</f>
        <v>44986</v>
      </c>
      <c r="Y360" s="3"/>
    </row>
    <row r="361" spans="1:25" ht="45" customHeight="1">
      <c r="A361" s="3">
        <v>359</v>
      </c>
      <c r="B361" s="13" t="s">
        <v>1651</v>
      </c>
      <c r="C361" s="13" t="s">
        <v>103</v>
      </c>
      <c r="D361" s="13" t="s">
        <v>1652</v>
      </c>
      <c r="E361" s="13" t="s">
        <v>694</v>
      </c>
      <c r="F361" s="13" t="s">
        <v>29</v>
      </c>
      <c r="G361" s="13" t="s">
        <v>72</v>
      </c>
      <c r="H361" s="13" t="s">
        <v>406</v>
      </c>
      <c r="I361" s="27" t="s">
        <v>1653</v>
      </c>
      <c r="J361" s="27" t="s">
        <v>33</v>
      </c>
      <c r="K361" s="27" t="s">
        <v>106</v>
      </c>
      <c r="L361" s="27" t="s">
        <v>35</v>
      </c>
      <c r="M361" s="27" t="s">
        <v>36</v>
      </c>
      <c r="N361" s="17">
        <f>DATE(2022,12,1)</f>
        <v>44896</v>
      </c>
      <c r="O361" s="13" t="s">
        <v>107</v>
      </c>
      <c r="P361" s="13" t="s">
        <v>403</v>
      </c>
      <c r="Q361" s="13" t="s">
        <v>465</v>
      </c>
      <c r="R361" s="13" t="s">
        <v>1654</v>
      </c>
      <c r="S361" s="13" t="s">
        <v>403</v>
      </c>
      <c r="T361" s="28">
        <v>24.94</v>
      </c>
      <c r="U361" s="13" t="s">
        <v>694</v>
      </c>
      <c r="V361" s="13" t="s">
        <v>413</v>
      </c>
      <c r="W361" s="13" t="s">
        <v>72</v>
      </c>
      <c r="X361" s="17">
        <f>DATE(2023,3,1)</f>
        <v>44986</v>
      </c>
      <c r="Y361" s="3"/>
    </row>
    <row r="362" spans="1:25" ht="45" customHeight="1">
      <c r="A362" s="3">
        <v>360</v>
      </c>
      <c r="B362" s="13" t="s">
        <v>1655</v>
      </c>
      <c r="C362" s="13" t="s">
        <v>103</v>
      </c>
      <c r="D362" s="13" t="s">
        <v>623</v>
      </c>
      <c r="E362" s="13" t="s">
        <v>530</v>
      </c>
      <c r="F362" s="13" t="s">
        <v>621</v>
      </c>
      <c r="G362" s="13" t="s">
        <v>621</v>
      </c>
      <c r="H362" s="13" t="s">
        <v>406</v>
      </c>
      <c r="I362" s="27" t="s">
        <v>1656</v>
      </c>
      <c r="J362" s="27" t="s">
        <v>33</v>
      </c>
      <c r="K362" s="27" t="s">
        <v>106</v>
      </c>
      <c r="L362" s="27" t="s">
        <v>408</v>
      </c>
      <c r="M362" s="27" t="s">
        <v>409</v>
      </c>
      <c r="N362" s="17">
        <f>DATE(2022,12,5)</f>
        <v>44900</v>
      </c>
      <c r="O362" s="13" t="s">
        <v>107</v>
      </c>
      <c r="P362" s="13" t="s">
        <v>403</v>
      </c>
      <c r="Q362" s="13" t="s">
        <v>411</v>
      </c>
      <c r="R362" s="13" t="s">
        <v>1657</v>
      </c>
      <c r="S362" s="13" t="s">
        <v>403</v>
      </c>
      <c r="T362" s="28">
        <v>38.85</v>
      </c>
      <c r="U362" s="13" t="s">
        <v>530</v>
      </c>
      <c r="V362" s="13" t="s">
        <v>413</v>
      </c>
      <c r="W362" s="13" t="s">
        <v>625</v>
      </c>
      <c r="X362" s="17">
        <f>DATE(2023,8,14)</f>
        <v>45152</v>
      </c>
      <c r="Y362" s="3"/>
    </row>
    <row r="363" spans="1:25" ht="45" customHeight="1">
      <c r="A363" s="3">
        <v>361</v>
      </c>
      <c r="B363" s="13" t="s">
        <v>1658</v>
      </c>
      <c r="C363" s="13" t="s">
        <v>103</v>
      </c>
      <c r="D363" s="13" t="s">
        <v>1659</v>
      </c>
      <c r="E363" s="13" t="s">
        <v>474</v>
      </c>
      <c r="F363" s="13" t="s">
        <v>491</v>
      </c>
      <c r="G363" s="13" t="s">
        <v>1022</v>
      </c>
      <c r="H363" s="13" t="s">
        <v>406</v>
      </c>
      <c r="I363" s="27" t="s">
        <v>1660</v>
      </c>
      <c r="J363" s="27" t="s">
        <v>33</v>
      </c>
      <c r="K363" s="27" t="s">
        <v>106</v>
      </c>
      <c r="L363" s="27" t="s">
        <v>408</v>
      </c>
      <c r="M363" s="27" t="s">
        <v>409</v>
      </c>
      <c r="N363" s="17">
        <f>DATE(2022,12,7)</f>
        <v>44902</v>
      </c>
      <c r="O363" s="13" t="s">
        <v>107</v>
      </c>
      <c r="P363" s="13" t="s">
        <v>1021</v>
      </c>
      <c r="Q363" s="13" t="s">
        <v>431</v>
      </c>
      <c r="R363" s="13" t="s">
        <v>1661</v>
      </c>
      <c r="S363" s="13" t="s">
        <v>496</v>
      </c>
      <c r="T363" s="28">
        <v>36.479999999999997</v>
      </c>
      <c r="U363" s="13" t="s">
        <v>474</v>
      </c>
      <c r="V363" s="13" t="s">
        <v>413</v>
      </c>
      <c r="W363" s="13" t="s">
        <v>1022</v>
      </c>
      <c r="X363" s="17">
        <f>DATE(2023,3,7)</f>
        <v>44992</v>
      </c>
      <c r="Y363" s="3"/>
    </row>
    <row r="364" spans="1:25" ht="45" customHeight="1">
      <c r="A364" s="3">
        <v>362</v>
      </c>
      <c r="B364" s="13" t="s">
        <v>1662</v>
      </c>
      <c r="C364" s="13" t="s">
        <v>26</v>
      </c>
      <c r="D364" s="13" t="s">
        <v>1663</v>
      </c>
      <c r="E364" s="13" t="s">
        <v>1064</v>
      </c>
      <c r="F364" s="13" t="s">
        <v>29</v>
      </c>
      <c r="G364" s="13" t="s">
        <v>1216</v>
      </c>
      <c r="H364" s="13" t="s">
        <v>1031</v>
      </c>
      <c r="I364" s="27" t="s">
        <v>1664</v>
      </c>
      <c r="J364" s="27" t="s">
        <v>33</v>
      </c>
      <c r="K364" s="27" t="s">
        <v>34</v>
      </c>
      <c r="L364" s="27" t="s">
        <v>35</v>
      </c>
      <c r="M364" s="27" t="s">
        <v>36</v>
      </c>
      <c r="N364" s="17">
        <f t="shared" ref="N364:N375" si="27">DATE(2022,12,1)</f>
        <v>44896</v>
      </c>
      <c r="O364" s="13" t="s">
        <v>34</v>
      </c>
      <c r="P364" s="13" t="s">
        <v>1231</v>
      </c>
      <c r="Q364" s="13" t="s">
        <v>38</v>
      </c>
      <c r="R364" s="13" t="s">
        <v>1665</v>
      </c>
      <c r="S364" s="13" t="s">
        <v>1215</v>
      </c>
      <c r="T364" s="28">
        <v>27.83</v>
      </c>
      <c r="U364" s="13" t="s">
        <v>28</v>
      </c>
      <c r="V364" s="13" t="s">
        <v>89</v>
      </c>
      <c r="W364" s="13" t="s">
        <v>1219</v>
      </c>
      <c r="X364" s="17">
        <f t="shared" ref="X364:X375" si="28">DATE(2023,1,1)</f>
        <v>44927</v>
      </c>
      <c r="Y364" s="3"/>
    </row>
    <row r="365" spans="1:25" ht="45" customHeight="1">
      <c r="A365" s="3">
        <v>363</v>
      </c>
      <c r="B365" s="13" t="s">
        <v>1666</v>
      </c>
      <c r="C365" s="13" t="s">
        <v>26</v>
      </c>
      <c r="D365" s="13" t="s">
        <v>1667</v>
      </c>
      <c r="E365" s="13" t="s">
        <v>1064</v>
      </c>
      <c r="F365" s="13" t="s">
        <v>29</v>
      </c>
      <c r="G365" s="13" t="s">
        <v>1216</v>
      </c>
      <c r="H365" s="13" t="s">
        <v>1031</v>
      </c>
      <c r="I365" s="27" t="s">
        <v>1668</v>
      </c>
      <c r="J365" s="27" t="s">
        <v>33</v>
      </c>
      <c r="K365" s="27" t="s">
        <v>34</v>
      </c>
      <c r="L365" s="27" t="s">
        <v>35</v>
      </c>
      <c r="M365" s="27" t="s">
        <v>36</v>
      </c>
      <c r="N365" s="17">
        <f t="shared" si="27"/>
        <v>44896</v>
      </c>
      <c r="O365" s="13" t="s">
        <v>34</v>
      </c>
      <c r="P365" s="13" t="s">
        <v>1231</v>
      </c>
      <c r="Q365" s="13" t="s">
        <v>38</v>
      </c>
      <c r="R365" s="13" t="s">
        <v>1669</v>
      </c>
      <c r="S365" s="13" t="s">
        <v>1215</v>
      </c>
      <c r="T365" s="28">
        <v>32.590000000000003</v>
      </c>
      <c r="U365" s="13" t="s">
        <v>28</v>
      </c>
      <c r="V365" s="13" t="s">
        <v>89</v>
      </c>
      <c r="W365" s="13" t="s">
        <v>1219</v>
      </c>
      <c r="X365" s="17">
        <f t="shared" si="28"/>
        <v>44927</v>
      </c>
      <c r="Y365" s="3"/>
    </row>
    <row r="366" spans="1:25" ht="45" customHeight="1">
      <c r="A366" s="3">
        <v>364</v>
      </c>
      <c r="B366" s="13" t="s">
        <v>1670</v>
      </c>
      <c r="C366" s="13" t="s">
        <v>26</v>
      </c>
      <c r="D366" s="13" t="s">
        <v>1671</v>
      </c>
      <c r="E366" s="13" t="s">
        <v>28</v>
      </c>
      <c r="F366" s="13" t="s">
        <v>29</v>
      </c>
      <c r="G366" s="13" t="s">
        <v>72</v>
      </c>
      <c r="H366" s="13" t="s">
        <v>31</v>
      </c>
      <c r="I366" s="27" t="s">
        <v>1672</v>
      </c>
      <c r="J366" s="27" t="s">
        <v>33</v>
      </c>
      <c r="K366" s="27" t="s">
        <v>34</v>
      </c>
      <c r="L366" s="27" t="s">
        <v>35</v>
      </c>
      <c r="M366" s="27" t="s">
        <v>36</v>
      </c>
      <c r="N366" s="17">
        <f t="shared" si="27"/>
        <v>44896</v>
      </c>
      <c r="O366" s="13" t="s">
        <v>34</v>
      </c>
      <c r="P366" s="13" t="s">
        <v>74</v>
      </c>
      <c r="Q366" s="13" t="s">
        <v>38</v>
      </c>
      <c r="R366" s="13" t="s">
        <v>1673</v>
      </c>
      <c r="S366" s="13" t="s">
        <v>74</v>
      </c>
      <c r="T366" s="28">
        <v>30.26</v>
      </c>
      <c r="U366" s="13" t="s">
        <v>28</v>
      </c>
      <c r="V366" s="13" t="s">
        <v>40</v>
      </c>
      <c r="W366" s="13" t="s">
        <v>72</v>
      </c>
      <c r="X366" s="17">
        <f t="shared" si="28"/>
        <v>44927</v>
      </c>
      <c r="Y366" s="3"/>
    </row>
    <row r="367" spans="1:25" ht="45" customHeight="1">
      <c r="A367" s="3">
        <v>365</v>
      </c>
      <c r="B367" s="13" t="s">
        <v>1674</v>
      </c>
      <c r="C367" s="13" t="s">
        <v>103</v>
      </c>
      <c r="D367" s="13" t="s">
        <v>1675</v>
      </c>
      <c r="E367" s="13" t="s">
        <v>1064</v>
      </c>
      <c r="F367" s="13" t="s">
        <v>29</v>
      </c>
      <c r="G367" s="13" t="s">
        <v>85</v>
      </c>
      <c r="H367" s="13" t="s">
        <v>1031</v>
      </c>
      <c r="I367" s="27" t="s">
        <v>1676</v>
      </c>
      <c r="J367" s="27" t="s">
        <v>33</v>
      </c>
      <c r="K367" s="27" t="s">
        <v>106</v>
      </c>
      <c r="L367" s="27" t="s">
        <v>35</v>
      </c>
      <c r="M367" s="27" t="s">
        <v>36</v>
      </c>
      <c r="N367" s="17">
        <f t="shared" si="27"/>
        <v>44896</v>
      </c>
      <c r="O367" s="13" t="s">
        <v>34</v>
      </c>
      <c r="P367" s="13" t="s">
        <v>87</v>
      </c>
      <c r="Q367" s="13" t="s">
        <v>38</v>
      </c>
      <c r="R367" s="13" t="s">
        <v>1677</v>
      </c>
      <c r="S367" s="13" t="s">
        <v>87</v>
      </c>
      <c r="T367" s="28">
        <v>26.73</v>
      </c>
      <c r="U367" s="13" t="s">
        <v>28</v>
      </c>
      <c r="V367" s="13" t="s">
        <v>89</v>
      </c>
      <c r="W367" s="13" t="s">
        <v>85</v>
      </c>
      <c r="X367" s="17">
        <f t="shared" si="28"/>
        <v>44927</v>
      </c>
      <c r="Y367" s="3"/>
    </row>
    <row r="368" spans="1:25" ht="45" customHeight="1">
      <c r="A368" s="3">
        <v>366</v>
      </c>
      <c r="B368" s="13" t="s">
        <v>1678</v>
      </c>
      <c r="C368" s="13" t="s">
        <v>103</v>
      </c>
      <c r="D368" s="13" t="s">
        <v>1679</v>
      </c>
      <c r="E368" s="13" t="s">
        <v>1064</v>
      </c>
      <c r="F368" s="13" t="s">
        <v>29</v>
      </c>
      <c r="G368" s="13" t="s">
        <v>56</v>
      </c>
      <c r="H368" s="13" t="s">
        <v>1031</v>
      </c>
      <c r="I368" s="27" t="s">
        <v>1680</v>
      </c>
      <c r="J368" s="27" t="s">
        <v>33</v>
      </c>
      <c r="K368" s="27" t="s">
        <v>106</v>
      </c>
      <c r="L368" s="27" t="s">
        <v>1291</v>
      </c>
      <c r="M368" s="27" t="s">
        <v>1681</v>
      </c>
      <c r="N368" s="17">
        <f t="shared" si="27"/>
        <v>44896</v>
      </c>
      <c r="O368" s="13" t="s">
        <v>1198</v>
      </c>
      <c r="P368" s="13" t="s">
        <v>58</v>
      </c>
      <c r="Q368" s="13" t="s">
        <v>38</v>
      </c>
      <c r="R368" s="13" t="s">
        <v>1682</v>
      </c>
      <c r="S368" s="13" t="s">
        <v>58</v>
      </c>
      <c r="T368" s="28">
        <v>25.18</v>
      </c>
      <c r="U368" s="13" t="s">
        <v>28</v>
      </c>
      <c r="V368" s="13" t="s">
        <v>53</v>
      </c>
      <c r="W368" s="13" t="s">
        <v>56</v>
      </c>
      <c r="X368" s="17">
        <f t="shared" si="28"/>
        <v>44927</v>
      </c>
      <c r="Y368" s="3"/>
    </row>
    <row r="369" spans="1:25" ht="45" customHeight="1">
      <c r="A369" s="3">
        <v>367</v>
      </c>
      <c r="B369" s="13" t="s">
        <v>1683</v>
      </c>
      <c r="C369" s="13" t="s">
        <v>26</v>
      </c>
      <c r="D369" s="13" t="s">
        <v>1684</v>
      </c>
      <c r="E369" s="13" t="s">
        <v>28</v>
      </c>
      <c r="F369" s="13" t="s">
        <v>29</v>
      </c>
      <c r="G369" s="13" t="s">
        <v>79</v>
      </c>
      <c r="H369" s="13" t="s">
        <v>1031</v>
      </c>
      <c r="I369" s="27" t="s">
        <v>1685</v>
      </c>
      <c r="J369" s="27" t="s">
        <v>33</v>
      </c>
      <c r="K369" s="27" t="s">
        <v>34</v>
      </c>
      <c r="L369" s="27" t="s">
        <v>35</v>
      </c>
      <c r="M369" s="27" t="s">
        <v>36</v>
      </c>
      <c r="N369" s="17">
        <f t="shared" si="27"/>
        <v>44896</v>
      </c>
      <c r="O369" s="13" t="s">
        <v>34</v>
      </c>
      <c r="P369" s="13" t="s">
        <v>263</v>
      </c>
      <c r="Q369" s="13" t="s">
        <v>38</v>
      </c>
      <c r="R369" s="13" t="s">
        <v>1686</v>
      </c>
      <c r="S369" s="13" t="s">
        <v>81</v>
      </c>
      <c r="T369" s="28">
        <v>26.98</v>
      </c>
      <c r="U369" s="13" t="s">
        <v>28</v>
      </c>
      <c r="V369" s="13" t="s">
        <v>53</v>
      </c>
      <c r="W369" s="13" t="s">
        <v>79</v>
      </c>
      <c r="X369" s="17">
        <f t="shared" si="28"/>
        <v>44927</v>
      </c>
      <c r="Y369" s="3"/>
    </row>
    <row r="370" spans="1:25" ht="45" customHeight="1">
      <c r="A370" s="3">
        <v>368</v>
      </c>
      <c r="B370" s="13" t="s">
        <v>1687</v>
      </c>
      <c r="C370" s="13" t="s">
        <v>26</v>
      </c>
      <c r="D370" s="13" t="s">
        <v>1688</v>
      </c>
      <c r="E370" s="13" t="s">
        <v>28</v>
      </c>
      <c r="F370" s="13" t="s">
        <v>29</v>
      </c>
      <c r="G370" s="13" t="s">
        <v>48</v>
      </c>
      <c r="H370" s="13" t="s">
        <v>1031</v>
      </c>
      <c r="I370" s="27" t="s">
        <v>1689</v>
      </c>
      <c r="J370" s="27" t="s">
        <v>33</v>
      </c>
      <c r="K370" s="27" t="s">
        <v>34</v>
      </c>
      <c r="L370" s="27" t="s">
        <v>35</v>
      </c>
      <c r="M370" s="27" t="s">
        <v>36</v>
      </c>
      <c r="N370" s="17">
        <f t="shared" si="27"/>
        <v>44896</v>
      </c>
      <c r="O370" s="13" t="s">
        <v>34</v>
      </c>
      <c r="P370" s="13" t="s">
        <v>52</v>
      </c>
      <c r="Q370" s="13" t="s">
        <v>38</v>
      </c>
      <c r="R370" s="13" t="s">
        <v>1690</v>
      </c>
      <c r="S370" s="13" t="s">
        <v>52</v>
      </c>
      <c r="T370" s="28">
        <v>26.23</v>
      </c>
      <c r="U370" s="13" t="s">
        <v>28</v>
      </c>
      <c r="V370" s="13" t="s">
        <v>146</v>
      </c>
      <c r="W370" s="13" t="s">
        <v>48</v>
      </c>
      <c r="X370" s="17">
        <f t="shared" si="28"/>
        <v>44927</v>
      </c>
      <c r="Y370" s="3"/>
    </row>
    <row r="371" spans="1:25" ht="45" customHeight="1">
      <c r="A371" s="3">
        <v>369</v>
      </c>
      <c r="B371" s="13" t="s">
        <v>1691</v>
      </c>
      <c r="C371" s="13" t="s">
        <v>26</v>
      </c>
      <c r="D371" s="13" t="s">
        <v>1692</v>
      </c>
      <c r="E371" s="13" t="s">
        <v>1693</v>
      </c>
      <c r="F371" s="13" t="s">
        <v>29</v>
      </c>
      <c r="G371" s="13" t="s">
        <v>30</v>
      </c>
      <c r="H371" s="13" t="s">
        <v>1031</v>
      </c>
      <c r="I371" s="27" t="s">
        <v>1694</v>
      </c>
      <c r="J371" s="27" t="s">
        <v>33</v>
      </c>
      <c r="K371" s="27" t="s">
        <v>34</v>
      </c>
      <c r="L371" s="27" t="s">
        <v>35</v>
      </c>
      <c r="M371" s="27" t="s">
        <v>36</v>
      </c>
      <c r="N371" s="17">
        <f t="shared" si="27"/>
        <v>44896</v>
      </c>
      <c r="O371" s="13" t="s">
        <v>107</v>
      </c>
      <c r="P371" s="13" t="s">
        <v>1606</v>
      </c>
      <c r="Q371" s="13" t="s">
        <v>1054</v>
      </c>
      <c r="R371" s="13" t="s">
        <v>1695</v>
      </c>
      <c r="S371" s="13" t="s">
        <v>37</v>
      </c>
      <c r="T371" s="28">
        <v>22.7</v>
      </c>
      <c r="U371" s="13" t="s">
        <v>1693</v>
      </c>
      <c r="V371" s="13" t="s">
        <v>89</v>
      </c>
      <c r="W371" s="13" t="s">
        <v>30</v>
      </c>
      <c r="X371" s="17">
        <f t="shared" si="28"/>
        <v>44927</v>
      </c>
      <c r="Y371" s="3"/>
    </row>
    <row r="372" spans="1:25" ht="45" customHeight="1">
      <c r="A372" s="3">
        <v>370</v>
      </c>
      <c r="B372" s="13" t="s">
        <v>1696</v>
      </c>
      <c r="C372" s="13" t="s">
        <v>26</v>
      </c>
      <c r="D372" s="13" t="s">
        <v>1697</v>
      </c>
      <c r="E372" s="13" t="s">
        <v>28</v>
      </c>
      <c r="F372" s="13" t="s">
        <v>29</v>
      </c>
      <c r="G372" s="13" t="s">
        <v>43</v>
      </c>
      <c r="H372" s="13" t="s">
        <v>1031</v>
      </c>
      <c r="I372" s="27" t="s">
        <v>1698</v>
      </c>
      <c r="J372" s="27" t="s">
        <v>33</v>
      </c>
      <c r="K372" s="27" t="s">
        <v>34</v>
      </c>
      <c r="L372" s="27" t="s">
        <v>35</v>
      </c>
      <c r="M372" s="27" t="s">
        <v>36</v>
      </c>
      <c r="N372" s="17">
        <f t="shared" si="27"/>
        <v>44896</v>
      </c>
      <c r="O372" s="13" t="s">
        <v>34</v>
      </c>
      <c r="P372" s="13" t="s">
        <v>37</v>
      </c>
      <c r="Q372" s="13" t="s">
        <v>38</v>
      </c>
      <c r="R372" s="13" t="s">
        <v>1699</v>
      </c>
      <c r="S372" s="13" t="s">
        <v>37</v>
      </c>
      <c r="T372" s="28">
        <v>27.03</v>
      </c>
      <c r="U372" s="13" t="s">
        <v>28</v>
      </c>
      <c r="V372" s="13" t="s">
        <v>89</v>
      </c>
      <c r="W372" s="13" t="s">
        <v>43</v>
      </c>
      <c r="X372" s="17">
        <f t="shared" si="28"/>
        <v>44927</v>
      </c>
      <c r="Y372" s="3"/>
    </row>
    <row r="373" spans="1:25" ht="45" customHeight="1">
      <c r="A373" s="3">
        <v>371</v>
      </c>
      <c r="B373" s="13" t="s">
        <v>1700</v>
      </c>
      <c r="C373" s="13" t="s">
        <v>103</v>
      </c>
      <c r="D373" s="13" t="s">
        <v>1701</v>
      </c>
      <c r="E373" s="13" t="s">
        <v>28</v>
      </c>
      <c r="F373" s="13" t="s">
        <v>491</v>
      </c>
      <c r="G373" s="13" t="s">
        <v>1042</v>
      </c>
      <c r="H373" s="13" t="s">
        <v>406</v>
      </c>
      <c r="I373" s="27" t="s">
        <v>1702</v>
      </c>
      <c r="J373" s="27" t="s">
        <v>33</v>
      </c>
      <c r="K373" s="27" t="s">
        <v>106</v>
      </c>
      <c r="L373" s="27" t="s">
        <v>35</v>
      </c>
      <c r="M373" s="27" t="s">
        <v>36</v>
      </c>
      <c r="N373" s="17">
        <f t="shared" si="27"/>
        <v>44896</v>
      </c>
      <c r="O373" s="13" t="s">
        <v>1198</v>
      </c>
      <c r="P373" s="13" t="s">
        <v>717</v>
      </c>
      <c r="Q373" s="13" t="s">
        <v>38</v>
      </c>
      <c r="R373" s="13" t="s">
        <v>1703</v>
      </c>
      <c r="S373" s="13" t="s">
        <v>496</v>
      </c>
      <c r="T373" s="28">
        <v>24.42</v>
      </c>
      <c r="U373" s="13" t="s">
        <v>28</v>
      </c>
      <c r="V373" s="13" t="s">
        <v>89</v>
      </c>
      <c r="W373" s="13" t="s">
        <v>1042</v>
      </c>
      <c r="X373" s="17">
        <f t="shared" si="28"/>
        <v>44927</v>
      </c>
      <c r="Y373" s="3"/>
    </row>
    <row r="374" spans="1:25" ht="45" customHeight="1">
      <c r="A374" s="3">
        <v>372</v>
      </c>
      <c r="B374" s="13" t="s">
        <v>1704</v>
      </c>
      <c r="C374" s="13" t="s">
        <v>103</v>
      </c>
      <c r="D374" s="13" t="s">
        <v>1705</v>
      </c>
      <c r="E374" s="13" t="s">
        <v>28</v>
      </c>
      <c r="F374" s="13" t="s">
        <v>491</v>
      </c>
      <c r="G374" s="13" t="s">
        <v>1042</v>
      </c>
      <c r="H374" s="13" t="s">
        <v>406</v>
      </c>
      <c r="I374" s="27" t="s">
        <v>1706</v>
      </c>
      <c r="J374" s="27" t="s">
        <v>33</v>
      </c>
      <c r="K374" s="27" t="s">
        <v>106</v>
      </c>
      <c r="L374" s="27" t="s">
        <v>35</v>
      </c>
      <c r="M374" s="27" t="s">
        <v>36</v>
      </c>
      <c r="N374" s="17">
        <f t="shared" si="27"/>
        <v>44896</v>
      </c>
      <c r="O374" s="13" t="s">
        <v>34</v>
      </c>
      <c r="P374" s="13" t="s">
        <v>717</v>
      </c>
      <c r="Q374" s="13" t="s">
        <v>38</v>
      </c>
      <c r="R374" s="13" t="s">
        <v>1707</v>
      </c>
      <c r="S374" s="13" t="s">
        <v>496</v>
      </c>
      <c r="T374" s="28">
        <v>23.23</v>
      </c>
      <c r="U374" s="13" t="s">
        <v>28</v>
      </c>
      <c r="V374" s="13" t="s">
        <v>53</v>
      </c>
      <c r="W374" s="13" t="s">
        <v>1042</v>
      </c>
      <c r="X374" s="17">
        <f t="shared" si="28"/>
        <v>44927</v>
      </c>
      <c r="Y374" s="3"/>
    </row>
    <row r="375" spans="1:25" ht="45" customHeight="1">
      <c r="A375" s="3">
        <v>373</v>
      </c>
      <c r="B375" s="13" t="s">
        <v>1708</v>
      </c>
      <c r="C375" s="13" t="s">
        <v>26</v>
      </c>
      <c r="D375" s="13" t="s">
        <v>1709</v>
      </c>
      <c r="E375" s="13" t="s">
        <v>28</v>
      </c>
      <c r="F375" s="13" t="s">
        <v>417</v>
      </c>
      <c r="G375" s="13" t="s">
        <v>674</v>
      </c>
      <c r="H375" s="13" t="s">
        <v>419</v>
      </c>
      <c r="I375" s="27" t="s">
        <v>1710</v>
      </c>
      <c r="J375" s="27" t="s">
        <v>33</v>
      </c>
      <c r="K375" s="27" t="s">
        <v>34</v>
      </c>
      <c r="L375" s="27" t="s">
        <v>35</v>
      </c>
      <c r="M375" s="27" t="s">
        <v>36</v>
      </c>
      <c r="N375" s="17">
        <f t="shared" si="27"/>
        <v>44896</v>
      </c>
      <c r="O375" s="13" t="s">
        <v>34</v>
      </c>
      <c r="P375" s="13" t="s">
        <v>676</v>
      </c>
      <c r="Q375" s="13" t="s">
        <v>38</v>
      </c>
      <c r="R375" s="13" t="s">
        <v>1711</v>
      </c>
      <c r="S375" s="13" t="s">
        <v>423</v>
      </c>
      <c r="T375" s="28">
        <v>31.62</v>
      </c>
      <c r="U375" s="13" t="s">
        <v>28</v>
      </c>
      <c r="V375" s="13" t="s">
        <v>53</v>
      </c>
      <c r="W375" s="13" t="s">
        <v>678</v>
      </c>
      <c r="X375" s="17">
        <f t="shared" si="28"/>
        <v>44927</v>
      </c>
      <c r="Y375" s="3"/>
    </row>
    <row r="376" spans="1:25" ht="45" customHeight="1">
      <c r="A376" s="3">
        <v>374</v>
      </c>
      <c r="B376" s="13" t="s">
        <v>1712</v>
      </c>
      <c r="C376" s="13" t="s">
        <v>103</v>
      </c>
      <c r="D376" s="13" t="s">
        <v>1713</v>
      </c>
      <c r="E376" s="13" t="s">
        <v>694</v>
      </c>
      <c r="F376" s="13" t="s">
        <v>417</v>
      </c>
      <c r="G376" s="13" t="s">
        <v>1714</v>
      </c>
      <c r="H376" s="13" t="s">
        <v>419</v>
      </c>
      <c r="I376" s="27" t="s">
        <v>1715</v>
      </c>
      <c r="J376" s="27" t="s">
        <v>33</v>
      </c>
      <c r="K376" s="27" t="s">
        <v>106</v>
      </c>
      <c r="L376" s="27" t="s">
        <v>35</v>
      </c>
      <c r="M376" s="27" t="s">
        <v>36</v>
      </c>
      <c r="N376" s="17">
        <f>DATE(2022,12,12)</f>
        <v>44907</v>
      </c>
      <c r="O376" s="13" t="s">
        <v>107</v>
      </c>
      <c r="P376" s="13" t="s">
        <v>421</v>
      </c>
      <c r="Q376" s="13" t="s">
        <v>465</v>
      </c>
      <c r="R376" s="13" t="s">
        <v>1716</v>
      </c>
      <c r="S376" s="13" t="s">
        <v>423</v>
      </c>
      <c r="T376" s="28">
        <v>34.99</v>
      </c>
      <c r="U376" s="13" t="s">
        <v>694</v>
      </c>
      <c r="V376" s="13" t="s">
        <v>413</v>
      </c>
      <c r="W376" s="13" t="s">
        <v>1717</v>
      </c>
      <c r="X376" s="17">
        <f>DATE(2023,3,12)</f>
        <v>44997</v>
      </c>
      <c r="Y376" s="3"/>
    </row>
    <row r="377" spans="1:25" ht="45" customHeight="1">
      <c r="A377" s="3">
        <v>375</v>
      </c>
      <c r="B377" s="13" t="s">
        <v>1718</v>
      </c>
      <c r="C377" s="13" t="s">
        <v>103</v>
      </c>
      <c r="D377" s="13" t="s">
        <v>1719</v>
      </c>
      <c r="E377" s="13" t="s">
        <v>660</v>
      </c>
      <c r="F377" s="13" t="s">
        <v>521</v>
      </c>
      <c r="G377" s="13" t="s">
        <v>43</v>
      </c>
      <c r="H377" s="13" t="s">
        <v>406</v>
      </c>
      <c r="I377" s="27" t="s">
        <v>1720</v>
      </c>
      <c r="J377" s="27" t="s">
        <v>33</v>
      </c>
      <c r="K377" s="27" t="s">
        <v>106</v>
      </c>
      <c r="L377" s="27" t="s">
        <v>35</v>
      </c>
      <c r="M377" s="27" t="s">
        <v>36</v>
      </c>
      <c r="N377" s="17">
        <f>DATE(2022,12,12)</f>
        <v>44907</v>
      </c>
      <c r="O377" s="13" t="s">
        <v>107</v>
      </c>
      <c r="P377" s="13" t="s">
        <v>523</v>
      </c>
      <c r="Q377" s="13" t="s">
        <v>431</v>
      </c>
      <c r="R377" s="13" t="s">
        <v>1721</v>
      </c>
      <c r="S377" s="13" t="s">
        <v>525</v>
      </c>
      <c r="T377" s="28">
        <v>29.23</v>
      </c>
      <c r="U377" s="13" t="s">
        <v>445</v>
      </c>
      <c r="V377" s="13" t="s">
        <v>413</v>
      </c>
      <c r="W377" s="13" t="s">
        <v>43</v>
      </c>
      <c r="X377" s="17">
        <f>DATE(2023,3,12)</f>
        <v>44997</v>
      </c>
      <c r="Y377" s="3"/>
    </row>
    <row r="378" spans="1:25" ht="45" customHeight="1">
      <c r="A378" s="3">
        <v>376</v>
      </c>
      <c r="B378" s="13" t="s">
        <v>1722</v>
      </c>
      <c r="C378" s="13" t="s">
        <v>26</v>
      </c>
      <c r="D378" s="13" t="s">
        <v>1723</v>
      </c>
      <c r="E378" s="13" t="s">
        <v>439</v>
      </c>
      <c r="F378" s="13" t="s">
        <v>621</v>
      </c>
      <c r="G378" s="13" t="s">
        <v>621</v>
      </c>
      <c r="H378" s="13" t="s">
        <v>406</v>
      </c>
      <c r="I378" s="27" t="s">
        <v>1724</v>
      </c>
      <c r="J378" s="27" t="s">
        <v>33</v>
      </c>
      <c r="K378" s="27" t="s">
        <v>34</v>
      </c>
      <c r="L378" s="27" t="s">
        <v>35</v>
      </c>
      <c r="M378" s="27" t="s">
        <v>36</v>
      </c>
      <c r="N378" s="17">
        <f>DATE(2022,12,12)</f>
        <v>44907</v>
      </c>
      <c r="O378" s="13" t="s">
        <v>107</v>
      </c>
      <c r="P378" s="13" t="s">
        <v>623</v>
      </c>
      <c r="Q378" s="13" t="s">
        <v>439</v>
      </c>
      <c r="R378" s="13" t="s">
        <v>1725</v>
      </c>
      <c r="S378" s="13" t="s">
        <v>403</v>
      </c>
      <c r="T378" s="28">
        <v>47.05</v>
      </c>
      <c r="U378" s="13" t="s">
        <v>439</v>
      </c>
      <c r="V378" s="13" t="s">
        <v>53</v>
      </c>
      <c r="W378" s="13" t="s">
        <v>625</v>
      </c>
      <c r="X378" s="17">
        <f>DATE(2023,3,12)</f>
        <v>44997</v>
      </c>
      <c r="Y378" s="3"/>
    </row>
    <row r="379" spans="1:25" ht="45" customHeight="1">
      <c r="A379" s="3">
        <v>377</v>
      </c>
      <c r="B379" s="13" t="s">
        <v>1726</v>
      </c>
      <c r="C379" s="13" t="s">
        <v>26</v>
      </c>
      <c r="D379" s="13" t="s">
        <v>1727</v>
      </c>
      <c r="E379" s="13" t="s">
        <v>738</v>
      </c>
      <c r="F379" s="13" t="s">
        <v>453</v>
      </c>
      <c r="G379" s="13" t="s">
        <v>454</v>
      </c>
      <c r="H379" s="13" t="s">
        <v>453</v>
      </c>
      <c r="I379" s="27" t="s">
        <v>1728</v>
      </c>
      <c r="J379" s="27" t="s">
        <v>33</v>
      </c>
      <c r="K379" s="27" t="s">
        <v>34</v>
      </c>
      <c r="L379" s="27" t="s">
        <v>35</v>
      </c>
      <c r="M379" s="27" t="s">
        <v>36</v>
      </c>
      <c r="N379" s="17">
        <f>DATE(2022,12,19)</f>
        <v>44914</v>
      </c>
      <c r="O379" s="13" t="s">
        <v>107</v>
      </c>
      <c r="P379" s="13" t="s">
        <v>456</v>
      </c>
      <c r="Q379" s="13" t="s">
        <v>670</v>
      </c>
      <c r="R379" s="13" t="s">
        <v>1729</v>
      </c>
      <c r="S379" s="13" t="s">
        <v>458</v>
      </c>
      <c r="T379" s="28">
        <v>47.81</v>
      </c>
      <c r="U379" s="13" t="s">
        <v>733</v>
      </c>
      <c r="V379" s="13" t="s">
        <v>146</v>
      </c>
      <c r="W379" s="13" t="s">
        <v>454</v>
      </c>
      <c r="X379" s="17">
        <f>DATE(2023,3,19)</f>
        <v>45004</v>
      </c>
      <c r="Y379" s="3"/>
    </row>
    <row r="380" spans="1:25" ht="45" customHeight="1">
      <c r="A380" s="3">
        <v>378</v>
      </c>
      <c r="B380" s="13" t="s">
        <v>1730</v>
      </c>
      <c r="C380" s="13" t="s">
        <v>26</v>
      </c>
      <c r="D380" s="13" t="s">
        <v>1731</v>
      </c>
      <c r="E380" s="13" t="s">
        <v>762</v>
      </c>
      <c r="F380" s="13" t="s">
        <v>453</v>
      </c>
      <c r="G380" s="13" t="s">
        <v>454</v>
      </c>
      <c r="H380" s="13" t="s">
        <v>453</v>
      </c>
      <c r="I380" s="27" t="s">
        <v>1732</v>
      </c>
      <c r="J380" s="27" t="s">
        <v>33</v>
      </c>
      <c r="K380" s="27" t="s">
        <v>34</v>
      </c>
      <c r="L380" s="27" t="s">
        <v>35</v>
      </c>
      <c r="M380" s="27" t="s">
        <v>36</v>
      </c>
      <c r="N380" s="17">
        <f>DATE(2022,12,19)</f>
        <v>44914</v>
      </c>
      <c r="O380" s="13" t="s">
        <v>107</v>
      </c>
      <c r="P380" s="13" t="s">
        <v>456</v>
      </c>
      <c r="Q380" s="13" t="s">
        <v>670</v>
      </c>
      <c r="R380" s="13" t="s">
        <v>1733</v>
      </c>
      <c r="S380" s="13" t="s">
        <v>458</v>
      </c>
      <c r="T380" s="28">
        <v>44.93</v>
      </c>
      <c r="U380" s="13" t="s">
        <v>765</v>
      </c>
      <c r="V380" s="13" t="s">
        <v>89</v>
      </c>
      <c r="W380" s="13" t="s">
        <v>454</v>
      </c>
      <c r="X380" s="17">
        <f>DATE(2023,3,19)</f>
        <v>45004</v>
      </c>
      <c r="Y380" s="3"/>
    </row>
    <row r="381" spans="1:25" ht="45" customHeight="1">
      <c r="A381" s="3">
        <v>379</v>
      </c>
      <c r="B381" s="13" t="s">
        <v>1734</v>
      </c>
      <c r="C381" s="13" t="s">
        <v>26</v>
      </c>
      <c r="D381" s="13" t="s">
        <v>1199</v>
      </c>
      <c r="E381" s="13" t="s">
        <v>1126</v>
      </c>
      <c r="F381" s="13" t="s">
        <v>29</v>
      </c>
      <c r="G381" s="13" t="s">
        <v>123</v>
      </c>
      <c r="H381" s="13" t="s">
        <v>406</v>
      </c>
      <c r="I381" s="27" t="s">
        <v>1735</v>
      </c>
      <c r="J381" s="27" t="s">
        <v>33</v>
      </c>
      <c r="K381" s="27" t="s">
        <v>34</v>
      </c>
      <c r="L381" s="27" t="s">
        <v>35</v>
      </c>
      <c r="M381" s="27" t="s">
        <v>36</v>
      </c>
      <c r="N381" s="17">
        <f>DATE(2022,12,19)</f>
        <v>44914</v>
      </c>
      <c r="O381" s="13" t="s">
        <v>107</v>
      </c>
      <c r="P381" s="13" t="s">
        <v>127</v>
      </c>
      <c r="Q381" s="13" t="s">
        <v>501</v>
      </c>
      <c r="R381" s="13" t="s">
        <v>1736</v>
      </c>
      <c r="S381" s="13" t="s">
        <v>503</v>
      </c>
      <c r="T381" s="28">
        <v>37.54</v>
      </c>
      <c r="U381" s="13" t="s">
        <v>499</v>
      </c>
      <c r="V381" s="13" t="s">
        <v>53</v>
      </c>
      <c r="W381" s="13" t="s">
        <v>128</v>
      </c>
      <c r="X381" s="17">
        <f>DATE(2023,3,19)</f>
        <v>45004</v>
      </c>
      <c r="Y381" s="3"/>
    </row>
    <row r="382" spans="1:25" ht="45" customHeight="1">
      <c r="A382" s="3">
        <v>380</v>
      </c>
      <c r="B382" s="13" t="s">
        <v>1737</v>
      </c>
      <c r="C382" s="13" t="s">
        <v>26</v>
      </c>
      <c r="D382" s="13" t="s">
        <v>1738</v>
      </c>
      <c r="E382" s="13" t="s">
        <v>738</v>
      </c>
      <c r="F382" s="13" t="s">
        <v>453</v>
      </c>
      <c r="G382" s="13" t="s">
        <v>454</v>
      </c>
      <c r="H382" s="13" t="s">
        <v>453</v>
      </c>
      <c r="I382" s="27" t="s">
        <v>1739</v>
      </c>
      <c r="J382" s="27" t="s">
        <v>33</v>
      </c>
      <c r="K382" s="27" t="s">
        <v>34</v>
      </c>
      <c r="L382" s="27" t="s">
        <v>35</v>
      </c>
      <c r="M382" s="27" t="s">
        <v>36</v>
      </c>
      <c r="N382" s="17">
        <f>DATE(2022,12,27)</f>
        <v>44922</v>
      </c>
      <c r="O382" s="13" t="s">
        <v>107</v>
      </c>
      <c r="P382" s="13" t="s">
        <v>456</v>
      </c>
      <c r="Q382" s="13" t="s">
        <v>670</v>
      </c>
      <c r="R382" s="13" t="s">
        <v>1740</v>
      </c>
      <c r="S382" s="13" t="s">
        <v>458</v>
      </c>
      <c r="T382" s="28">
        <v>45.25</v>
      </c>
      <c r="U382" s="13" t="s">
        <v>733</v>
      </c>
      <c r="V382" s="13" t="s">
        <v>89</v>
      </c>
      <c r="W382" s="13" t="s">
        <v>454</v>
      </c>
      <c r="X382" s="17">
        <f>DATE(2023,3,27)</f>
        <v>45012</v>
      </c>
      <c r="Y382" s="3"/>
    </row>
    <row r="383" spans="1:25" ht="45" customHeight="1">
      <c r="A383" s="3">
        <v>381</v>
      </c>
      <c r="B383" s="13" t="s">
        <v>1741</v>
      </c>
      <c r="C383" s="13" t="s">
        <v>103</v>
      </c>
      <c r="D383" s="13" t="s">
        <v>1742</v>
      </c>
      <c r="E383" s="13" t="s">
        <v>733</v>
      </c>
      <c r="F383" s="13" t="s">
        <v>491</v>
      </c>
      <c r="G383" s="13" t="s">
        <v>978</v>
      </c>
      <c r="H383" s="13" t="s">
        <v>406</v>
      </c>
      <c r="I383" s="27" t="s">
        <v>1743</v>
      </c>
      <c r="J383" s="27" t="s">
        <v>33</v>
      </c>
      <c r="K383" s="27" t="s">
        <v>106</v>
      </c>
      <c r="L383" s="27" t="s">
        <v>35</v>
      </c>
      <c r="M383" s="27" t="s">
        <v>36</v>
      </c>
      <c r="N383" s="17">
        <f>DATE(2023,1,3)</f>
        <v>44929</v>
      </c>
      <c r="O383" s="13" t="s">
        <v>107</v>
      </c>
      <c r="P383" s="13" t="s">
        <v>596</v>
      </c>
      <c r="Q383" s="13" t="s">
        <v>670</v>
      </c>
      <c r="R383" s="13" t="s">
        <v>1744</v>
      </c>
      <c r="S383" s="13" t="s">
        <v>496</v>
      </c>
      <c r="T383" s="28">
        <v>27.85</v>
      </c>
      <c r="U383" s="13" t="s">
        <v>733</v>
      </c>
      <c r="V383" s="13" t="s">
        <v>53</v>
      </c>
      <c r="W383" s="13" t="s">
        <v>981</v>
      </c>
      <c r="X383" s="17">
        <f>DATE(2023,4,3)</f>
        <v>45019</v>
      </c>
      <c r="Y383" s="3"/>
    </row>
    <row r="384" spans="1:25" ht="45" customHeight="1">
      <c r="A384" s="3">
        <v>382</v>
      </c>
      <c r="B384" s="13" t="s">
        <v>1745</v>
      </c>
      <c r="C384" s="13" t="s">
        <v>103</v>
      </c>
      <c r="D384" s="13" t="s">
        <v>1746</v>
      </c>
      <c r="E384" s="13" t="s">
        <v>686</v>
      </c>
      <c r="F384" s="13" t="s">
        <v>816</v>
      </c>
      <c r="G384" s="13" t="s">
        <v>817</v>
      </c>
      <c r="H384" s="13" t="s">
        <v>817</v>
      </c>
      <c r="I384" s="27" t="s">
        <v>1747</v>
      </c>
      <c r="J384" s="27" t="s">
        <v>33</v>
      </c>
      <c r="K384" s="27" t="s">
        <v>106</v>
      </c>
      <c r="L384" s="27" t="s">
        <v>35</v>
      </c>
      <c r="M384" s="27" t="s">
        <v>36</v>
      </c>
      <c r="N384" s="17">
        <f>DATE(2023,1,3)</f>
        <v>44929</v>
      </c>
      <c r="O384" s="13" t="s">
        <v>107</v>
      </c>
      <c r="P384" s="13" t="s">
        <v>821</v>
      </c>
      <c r="Q384" s="13" t="s">
        <v>465</v>
      </c>
      <c r="R384" s="13" t="s">
        <v>1748</v>
      </c>
      <c r="S384" s="13" t="s">
        <v>821</v>
      </c>
      <c r="T384" s="28">
        <v>37.65</v>
      </c>
      <c r="U384" s="13" t="s">
        <v>461</v>
      </c>
      <c r="V384" s="13" t="s">
        <v>413</v>
      </c>
      <c r="W384" s="13" t="s">
        <v>817</v>
      </c>
      <c r="X384" s="17">
        <f>DATE(2023,1,3)</f>
        <v>44929</v>
      </c>
      <c r="Y384" s="3"/>
    </row>
    <row r="385" spans="1:25" ht="45" customHeight="1">
      <c r="A385" s="3">
        <v>383</v>
      </c>
      <c r="B385" s="13" t="s">
        <v>1749</v>
      </c>
      <c r="C385" s="13" t="s">
        <v>26</v>
      </c>
      <c r="D385" s="13" t="s">
        <v>1750</v>
      </c>
      <c r="E385" s="13" t="s">
        <v>738</v>
      </c>
      <c r="F385" s="13" t="s">
        <v>446</v>
      </c>
      <c r="G385" s="13" t="s">
        <v>860</v>
      </c>
      <c r="H385" s="13" t="s">
        <v>406</v>
      </c>
      <c r="I385" s="27" t="s">
        <v>1751</v>
      </c>
      <c r="J385" s="27" t="s">
        <v>33</v>
      </c>
      <c r="K385" s="27" t="s">
        <v>34</v>
      </c>
      <c r="L385" s="27" t="s">
        <v>35</v>
      </c>
      <c r="M385" s="27" t="s">
        <v>36</v>
      </c>
      <c r="N385" s="17">
        <f>DATE(2023,1,9)</f>
        <v>44935</v>
      </c>
      <c r="O385" s="13" t="s">
        <v>107</v>
      </c>
      <c r="P385" s="13" t="s">
        <v>966</v>
      </c>
      <c r="Q385" s="13" t="s">
        <v>670</v>
      </c>
      <c r="R385" s="13" t="s">
        <v>1752</v>
      </c>
      <c r="S385" s="13" t="s">
        <v>449</v>
      </c>
      <c r="T385" s="28">
        <v>28.44</v>
      </c>
      <c r="U385" s="13" t="s">
        <v>733</v>
      </c>
      <c r="V385" s="13" t="s">
        <v>53</v>
      </c>
      <c r="W385" s="13" t="s">
        <v>860</v>
      </c>
      <c r="X385" s="17">
        <f>DATE(2023,4,9)</f>
        <v>45025</v>
      </c>
      <c r="Y385" s="3"/>
    </row>
    <row r="386" spans="1:25" ht="45" customHeight="1">
      <c r="A386" s="3">
        <v>384</v>
      </c>
      <c r="B386" s="13" t="s">
        <v>1753</v>
      </c>
      <c r="C386" s="13" t="s">
        <v>103</v>
      </c>
      <c r="D386" s="13" t="s">
        <v>1754</v>
      </c>
      <c r="E386" s="13" t="s">
        <v>1755</v>
      </c>
      <c r="F386" s="13" t="s">
        <v>1756</v>
      </c>
      <c r="G386" s="13" t="s">
        <v>1757</v>
      </c>
      <c r="H386" s="13" t="s">
        <v>1757</v>
      </c>
      <c r="I386" s="27" t="s">
        <v>1758</v>
      </c>
      <c r="J386" s="27" t="s">
        <v>33</v>
      </c>
      <c r="K386" s="27" t="s">
        <v>106</v>
      </c>
      <c r="L386" s="27" t="s">
        <v>35</v>
      </c>
      <c r="M386" s="27" t="s">
        <v>36</v>
      </c>
      <c r="N386" s="17">
        <f>DATE(2023,1,16)</f>
        <v>44942</v>
      </c>
      <c r="O386" s="13" t="s">
        <v>107</v>
      </c>
      <c r="P386" s="13" t="s">
        <v>1759</v>
      </c>
      <c r="Q386" s="13" t="s">
        <v>465</v>
      </c>
      <c r="R386" s="13" t="s">
        <v>1760</v>
      </c>
      <c r="S386" s="13" t="s">
        <v>1759</v>
      </c>
      <c r="T386" s="28">
        <v>30.14</v>
      </c>
      <c r="U386" s="13" t="s">
        <v>694</v>
      </c>
      <c r="V386" s="13" t="s">
        <v>413</v>
      </c>
      <c r="W386" s="13" t="s">
        <v>1757</v>
      </c>
      <c r="X386" s="17">
        <f>DATE(2023,4,16)</f>
        <v>45032</v>
      </c>
      <c r="Y386" s="3"/>
    </row>
    <row r="387" spans="1:25" ht="45" customHeight="1">
      <c r="A387" s="3">
        <v>385</v>
      </c>
      <c r="B387" s="13" t="s">
        <v>1761</v>
      </c>
      <c r="C387" s="13" t="s">
        <v>26</v>
      </c>
      <c r="D387" s="13" t="s">
        <v>1762</v>
      </c>
      <c r="E387" s="13" t="s">
        <v>738</v>
      </c>
      <c r="F387" s="13" t="s">
        <v>453</v>
      </c>
      <c r="G387" s="13" t="s">
        <v>739</v>
      </c>
      <c r="H387" s="13" t="s">
        <v>453</v>
      </c>
      <c r="I387" s="27" t="s">
        <v>1763</v>
      </c>
      <c r="J387" s="27" t="s">
        <v>33</v>
      </c>
      <c r="K387" s="27" t="s">
        <v>34</v>
      </c>
      <c r="L387" s="27" t="s">
        <v>35</v>
      </c>
      <c r="M387" s="27" t="s">
        <v>36</v>
      </c>
      <c r="N387" s="17">
        <f>DATE(2023,1,17)</f>
        <v>44943</v>
      </c>
      <c r="O387" s="13" t="s">
        <v>107</v>
      </c>
      <c r="P387" s="13" t="s">
        <v>456</v>
      </c>
      <c r="Q387" s="13" t="s">
        <v>670</v>
      </c>
      <c r="R387" s="13" t="s">
        <v>1764</v>
      </c>
      <c r="S387" s="13" t="s">
        <v>458</v>
      </c>
      <c r="T387" s="28">
        <v>27.61</v>
      </c>
      <c r="U387" s="13" t="s">
        <v>733</v>
      </c>
      <c r="V387" s="13" t="s">
        <v>146</v>
      </c>
      <c r="W387" s="13" t="s">
        <v>739</v>
      </c>
      <c r="X387" s="17">
        <f>DATE(2023,4,17)</f>
        <v>45033</v>
      </c>
      <c r="Y387" s="3"/>
    </row>
    <row r="388" spans="1:25" ht="45" customHeight="1">
      <c r="A388" s="3">
        <v>386</v>
      </c>
      <c r="B388" s="13" t="s">
        <v>1765</v>
      </c>
      <c r="C388" s="13" t="s">
        <v>26</v>
      </c>
      <c r="D388" s="13" t="s">
        <v>1766</v>
      </c>
      <c r="E388" s="13" t="s">
        <v>762</v>
      </c>
      <c r="F388" s="13" t="s">
        <v>706</v>
      </c>
      <c r="G388" s="13" t="s">
        <v>870</v>
      </c>
      <c r="H388" s="13" t="s">
        <v>706</v>
      </c>
      <c r="I388" s="27" t="s">
        <v>1767</v>
      </c>
      <c r="J388" s="27" t="s">
        <v>33</v>
      </c>
      <c r="K388" s="27" t="s">
        <v>34</v>
      </c>
      <c r="L388" s="27" t="s">
        <v>35</v>
      </c>
      <c r="M388" s="27" t="s">
        <v>36</v>
      </c>
      <c r="N388" s="17">
        <f>DATE(2023,1,27)</f>
        <v>44953</v>
      </c>
      <c r="O388" s="13" t="s">
        <v>107</v>
      </c>
      <c r="P388" s="13" t="s">
        <v>709</v>
      </c>
      <c r="Q388" s="13" t="s">
        <v>670</v>
      </c>
      <c r="R388" s="13" t="s">
        <v>1768</v>
      </c>
      <c r="S388" s="13" t="s">
        <v>458</v>
      </c>
      <c r="T388" s="28">
        <v>29.32</v>
      </c>
      <c r="U388" s="13" t="s">
        <v>765</v>
      </c>
      <c r="V388" s="13" t="s">
        <v>146</v>
      </c>
      <c r="W388" s="13" t="s">
        <v>873</v>
      </c>
      <c r="X388" s="17">
        <f>DATE(2023,4,27)</f>
        <v>45043</v>
      </c>
      <c r="Y388" s="3"/>
    </row>
    <row r="389" spans="1:25" ht="45" customHeight="1">
      <c r="A389" s="3">
        <v>387</v>
      </c>
      <c r="B389" s="13" t="s">
        <v>1769</v>
      </c>
      <c r="C389" s="13" t="s">
        <v>103</v>
      </c>
      <c r="D389" s="13" t="s">
        <v>74</v>
      </c>
      <c r="E389" s="13" t="s">
        <v>439</v>
      </c>
      <c r="F389" s="13" t="s">
        <v>29</v>
      </c>
      <c r="G389" s="13" t="s">
        <v>72</v>
      </c>
      <c r="H389" s="13" t="s">
        <v>406</v>
      </c>
      <c r="I389" s="27" t="s">
        <v>1770</v>
      </c>
      <c r="J389" s="27" t="s">
        <v>33</v>
      </c>
      <c r="K389" s="27" t="s">
        <v>106</v>
      </c>
      <c r="L389" s="27" t="s">
        <v>35</v>
      </c>
      <c r="M389" s="27" t="s">
        <v>36</v>
      </c>
      <c r="N389" s="17">
        <f>DATE(2023,2,13)</f>
        <v>44970</v>
      </c>
      <c r="O389" s="13" t="s">
        <v>107</v>
      </c>
      <c r="P389" s="13" t="s">
        <v>503</v>
      </c>
      <c r="Q389" s="13" t="s">
        <v>439</v>
      </c>
      <c r="R389" s="13" t="s">
        <v>1771</v>
      </c>
      <c r="S389" s="13" t="s">
        <v>403</v>
      </c>
      <c r="T389" s="28">
        <v>35.25</v>
      </c>
      <c r="U389" s="13" t="s">
        <v>439</v>
      </c>
      <c r="V389" s="13" t="s">
        <v>413</v>
      </c>
      <c r="W389" s="13" t="s">
        <v>72</v>
      </c>
      <c r="X389" s="17">
        <f>DATE(2023,5,13)</f>
        <v>45059</v>
      </c>
      <c r="Y389" s="3"/>
    </row>
    <row r="390" spans="1:25" ht="45" customHeight="1">
      <c r="A390" s="3">
        <v>388</v>
      </c>
      <c r="B390" s="13" t="s">
        <v>1772</v>
      </c>
      <c r="C390" s="13" t="s">
        <v>26</v>
      </c>
      <c r="D390" s="13" t="s">
        <v>1773</v>
      </c>
      <c r="E390" s="13" t="s">
        <v>1064</v>
      </c>
      <c r="F390" s="13" t="s">
        <v>29</v>
      </c>
      <c r="G390" s="13" t="s">
        <v>56</v>
      </c>
      <c r="H390" s="13" t="s">
        <v>1031</v>
      </c>
      <c r="I390" s="27" t="s">
        <v>365</v>
      </c>
      <c r="J390" s="27" t="s">
        <v>1774</v>
      </c>
      <c r="K390" s="27" t="s">
        <v>34</v>
      </c>
      <c r="L390" s="27" t="s">
        <v>1291</v>
      </c>
      <c r="M390" s="27" t="s">
        <v>1775</v>
      </c>
      <c r="N390" s="17">
        <f t="shared" ref="N390:N436" si="29">DATE(2023,2,16)</f>
        <v>44973</v>
      </c>
      <c r="O390" s="13" t="s">
        <v>1776</v>
      </c>
      <c r="P390" s="13" t="s">
        <v>203</v>
      </c>
      <c r="Q390" s="13" t="s">
        <v>38</v>
      </c>
      <c r="R390" s="13" t="s">
        <v>365</v>
      </c>
      <c r="S390" s="13" t="s">
        <v>58</v>
      </c>
      <c r="T390" s="28">
        <v>35.130000000000003</v>
      </c>
      <c r="U390" s="13" t="s">
        <v>365</v>
      </c>
      <c r="V390" s="13" t="s">
        <v>89</v>
      </c>
      <c r="W390" s="13" t="s">
        <v>56</v>
      </c>
      <c r="X390" s="17">
        <f t="shared" ref="X390:X436" si="30">DATE(2023,5,16)</f>
        <v>45062</v>
      </c>
      <c r="Y390" s="3"/>
    </row>
    <row r="391" spans="1:25" ht="45" customHeight="1">
      <c r="A391" s="3">
        <v>389</v>
      </c>
      <c r="B391" s="13" t="s">
        <v>1777</v>
      </c>
      <c r="C391" s="13" t="s">
        <v>26</v>
      </c>
      <c r="D391" s="13" t="s">
        <v>1778</v>
      </c>
      <c r="E391" s="13" t="s">
        <v>28</v>
      </c>
      <c r="F391" s="13" t="s">
        <v>29</v>
      </c>
      <c r="G391" s="13" t="s">
        <v>1058</v>
      </c>
      <c r="H391" s="13" t="s">
        <v>1031</v>
      </c>
      <c r="I391" s="27" t="s">
        <v>365</v>
      </c>
      <c r="J391" s="27" t="s">
        <v>1774</v>
      </c>
      <c r="K391" s="27" t="s">
        <v>34</v>
      </c>
      <c r="L391" s="27" t="s">
        <v>1291</v>
      </c>
      <c r="M391" s="27" t="s">
        <v>1775</v>
      </c>
      <c r="N391" s="17">
        <f t="shared" si="29"/>
        <v>44973</v>
      </c>
      <c r="O391" s="13" t="s">
        <v>1776</v>
      </c>
      <c r="P391" s="13" t="s">
        <v>1060</v>
      </c>
      <c r="Q391" s="13" t="s">
        <v>38</v>
      </c>
      <c r="R391" s="13" t="s">
        <v>365</v>
      </c>
      <c r="S391" s="13" t="s">
        <v>87</v>
      </c>
      <c r="T391" s="28">
        <v>27.36</v>
      </c>
      <c r="U391" s="13" t="s">
        <v>28</v>
      </c>
      <c r="V391" s="13" t="s">
        <v>53</v>
      </c>
      <c r="W391" s="13" t="s">
        <v>1058</v>
      </c>
      <c r="X391" s="17">
        <f t="shared" si="30"/>
        <v>45062</v>
      </c>
      <c r="Y391" s="3"/>
    </row>
    <row r="392" spans="1:25" ht="45" customHeight="1">
      <c r="A392" s="3">
        <v>390</v>
      </c>
      <c r="B392" s="13" t="s">
        <v>1779</v>
      </c>
      <c r="C392" s="13" t="s">
        <v>26</v>
      </c>
      <c r="D392" s="13" t="s">
        <v>1780</v>
      </c>
      <c r="E392" s="13" t="s">
        <v>1064</v>
      </c>
      <c r="F392" s="13" t="s">
        <v>29</v>
      </c>
      <c r="G392" s="13" t="s">
        <v>30</v>
      </c>
      <c r="H392" s="13" t="s">
        <v>1031</v>
      </c>
      <c r="I392" s="27" t="s">
        <v>365</v>
      </c>
      <c r="J392" s="27" t="s">
        <v>1774</v>
      </c>
      <c r="K392" s="27" t="s">
        <v>34</v>
      </c>
      <c r="L392" s="27" t="s">
        <v>1291</v>
      </c>
      <c r="M392" s="27" t="s">
        <v>1775</v>
      </c>
      <c r="N392" s="17">
        <f t="shared" si="29"/>
        <v>44973</v>
      </c>
      <c r="O392" s="13" t="s">
        <v>1776</v>
      </c>
      <c r="P392" s="13" t="s">
        <v>1781</v>
      </c>
      <c r="Q392" s="13" t="s">
        <v>38</v>
      </c>
      <c r="R392" s="13" t="s">
        <v>365</v>
      </c>
      <c r="S392" s="13" t="s">
        <v>37</v>
      </c>
      <c r="T392" s="28">
        <v>42.63</v>
      </c>
      <c r="U392" s="13" t="s">
        <v>365</v>
      </c>
      <c r="V392" s="13" t="s">
        <v>53</v>
      </c>
      <c r="W392" s="13" t="s">
        <v>30</v>
      </c>
      <c r="X392" s="17">
        <f t="shared" si="30"/>
        <v>45062</v>
      </c>
      <c r="Y392" s="3"/>
    </row>
    <row r="393" spans="1:25" ht="45" customHeight="1">
      <c r="A393" s="3">
        <v>391</v>
      </c>
      <c r="B393" s="13" t="s">
        <v>1782</v>
      </c>
      <c r="C393" s="13" t="s">
        <v>26</v>
      </c>
      <c r="D393" s="13" t="s">
        <v>1783</v>
      </c>
      <c r="E393" s="13" t="s">
        <v>1064</v>
      </c>
      <c r="F393" s="13" t="s">
        <v>29</v>
      </c>
      <c r="G393" s="13" t="s">
        <v>85</v>
      </c>
      <c r="H393" s="13" t="s">
        <v>1031</v>
      </c>
      <c r="I393" s="27" t="s">
        <v>365</v>
      </c>
      <c r="J393" s="27" t="s">
        <v>1774</v>
      </c>
      <c r="K393" s="27" t="s">
        <v>34</v>
      </c>
      <c r="L393" s="27" t="s">
        <v>1291</v>
      </c>
      <c r="M393" s="27" t="s">
        <v>1775</v>
      </c>
      <c r="N393" s="17">
        <f t="shared" si="29"/>
        <v>44973</v>
      </c>
      <c r="O393" s="13" t="s">
        <v>1776</v>
      </c>
      <c r="P393" s="13" t="s">
        <v>1060</v>
      </c>
      <c r="Q393" s="13" t="s">
        <v>38</v>
      </c>
      <c r="R393" s="13" t="s">
        <v>365</v>
      </c>
      <c r="S393" s="13" t="s">
        <v>87</v>
      </c>
      <c r="T393" s="28">
        <v>47.2</v>
      </c>
      <c r="U393" s="13" t="s">
        <v>365</v>
      </c>
      <c r="V393" s="13" t="s">
        <v>53</v>
      </c>
      <c r="W393" s="13" t="s">
        <v>85</v>
      </c>
      <c r="X393" s="17">
        <f t="shared" si="30"/>
        <v>45062</v>
      </c>
      <c r="Y393" s="3"/>
    </row>
    <row r="394" spans="1:25" ht="45" customHeight="1">
      <c r="A394" s="3">
        <v>392</v>
      </c>
      <c r="B394" s="13" t="s">
        <v>1784</v>
      </c>
      <c r="C394" s="13" t="s">
        <v>26</v>
      </c>
      <c r="D394" s="13" t="s">
        <v>1785</v>
      </c>
      <c r="E394" s="13" t="s">
        <v>28</v>
      </c>
      <c r="F394" s="13" t="s">
        <v>29</v>
      </c>
      <c r="G394" s="13" t="s">
        <v>537</v>
      </c>
      <c r="H394" s="13" t="s">
        <v>1031</v>
      </c>
      <c r="I394" s="27" t="s">
        <v>365</v>
      </c>
      <c r="J394" s="27" t="s">
        <v>1774</v>
      </c>
      <c r="K394" s="27" t="s">
        <v>34</v>
      </c>
      <c r="L394" s="27" t="s">
        <v>1291</v>
      </c>
      <c r="M394" s="27" t="s">
        <v>1775</v>
      </c>
      <c r="N394" s="17">
        <f t="shared" si="29"/>
        <v>44973</v>
      </c>
      <c r="O394" s="13" t="s">
        <v>1776</v>
      </c>
      <c r="P394" s="13" t="s">
        <v>549</v>
      </c>
      <c r="Q394" s="13" t="s">
        <v>38</v>
      </c>
      <c r="R394" s="13" t="s">
        <v>365</v>
      </c>
      <c r="S394" s="13" t="s">
        <v>64</v>
      </c>
      <c r="T394" s="28">
        <v>35.01</v>
      </c>
      <c r="U394" s="13" t="s">
        <v>28</v>
      </c>
      <c r="V394" s="13" t="s">
        <v>53</v>
      </c>
      <c r="W394" s="13" t="s">
        <v>537</v>
      </c>
      <c r="X394" s="17">
        <f t="shared" si="30"/>
        <v>45062</v>
      </c>
      <c r="Y394" s="3"/>
    </row>
    <row r="395" spans="1:25" ht="45" customHeight="1">
      <c r="A395" s="3">
        <v>393</v>
      </c>
      <c r="B395" s="13" t="s">
        <v>1786</v>
      </c>
      <c r="C395" s="13" t="s">
        <v>26</v>
      </c>
      <c r="D395" s="13" t="s">
        <v>1787</v>
      </c>
      <c r="E395" s="13" t="s">
        <v>1064</v>
      </c>
      <c r="F395" s="13" t="s">
        <v>29</v>
      </c>
      <c r="G395" s="13" t="s">
        <v>30</v>
      </c>
      <c r="H395" s="13" t="s">
        <v>1031</v>
      </c>
      <c r="I395" s="27" t="s">
        <v>365</v>
      </c>
      <c r="J395" s="27" t="s">
        <v>1774</v>
      </c>
      <c r="K395" s="27" t="s">
        <v>34</v>
      </c>
      <c r="L395" s="27" t="s">
        <v>1291</v>
      </c>
      <c r="M395" s="27" t="s">
        <v>1775</v>
      </c>
      <c r="N395" s="17">
        <f t="shared" si="29"/>
        <v>44973</v>
      </c>
      <c r="O395" s="13" t="s">
        <v>1776</v>
      </c>
      <c r="P395" s="13" t="s">
        <v>1606</v>
      </c>
      <c r="Q395" s="13" t="s">
        <v>38</v>
      </c>
      <c r="R395" s="13" t="s">
        <v>365</v>
      </c>
      <c r="S395" s="13" t="s">
        <v>37</v>
      </c>
      <c r="T395" s="28">
        <v>38.71</v>
      </c>
      <c r="U395" s="13" t="s">
        <v>365</v>
      </c>
      <c r="V395" s="13" t="s">
        <v>89</v>
      </c>
      <c r="W395" s="13" t="s">
        <v>30</v>
      </c>
      <c r="X395" s="17">
        <f t="shared" si="30"/>
        <v>45062</v>
      </c>
      <c r="Y395" s="3"/>
    </row>
    <row r="396" spans="1:25" ht="45" customHeight="1">
      <c r="A396" s="3">
        <v>394</v>
      </c>
      <c r="B396" s="13" t="s">
        <v>1788</v>
      </c>
      <c r="C396" s="13" t="s">
        <v>26</v>
      </c>
      <c r="D396" s="13" t="s">
        <v>1789</v>
      </c>
      <c r="E396" s="13" t="s">
        <v>28</v>
      </c>
      <c r="F396" s="13" t="s">
        <v>29</v>
      </c>
      <c r="G396" s="13" t="s">
        <v>48</v>
      </c>
      <c r="H396" s="13" t="s">
        <v>1031</v>
      </c>
      <c r="I396" s="27" t="s">
        <v>365</v>
      </c>
      <c r="J396" s="27" t="s">
        <v>1774</v>
      </c>
      <c r="K396" s="27" t="s">
        <v>34</v>
      </c>
      <c r="L396" s="27" t="s">
        <v>1291</v>
      </c>
      <c r="M396" s="27" t="s">
        <v>1775</v>
      </c>
      <c r="N396" s="17">
        <f t="shared" si="29"/>
        <v>44973</v>
      </c>
      <c r="O396" s="13" t="s">
        <v>1776</v>
      </c>
      <c r="P396" s="13" t="s">
        <v>182</v>
      </c>
      <c r="Q396" s="13" t="s">
        <v>38</v>
      </c>
      <c r="R396" s="13" t="s">
        <v>365</v>
      </c>
      <c r="S396" s="13" t="s">
        <v>52</v>
      </c>
      <c r="T396" s="28">
        <v>35.06</v>
      </c>
      <c r="U396" s="13" t="s">
        <v>28</v>
      </c>
      <c r="V396" s="13" t="s">
        <v>89</v>
      </c>
      <c r="W396" s="13" t="s">
        <v>48</v>
      </c>
      <c r="X396" s="17">
        <f t="shared" si="30"/>
        <v>45062</v>
      </c>
      <c r="Y396" s="3"/>
    </row>
    <row r="397" spans="1:25" ht="45" customHeight="1">
      <c r="A397" s="3">
        <v>395</v>
      </c>
      <c r="B397" s="13" t="s">
        <v>1790</v>
      </c>
      <c r="C397" s="13" t="s">
        <v>26</v>
      </c>
      <c r="D397" s="13" t="s">
        <v>1791</v>
      </c>
      <c r="E397" s="13" t="s">
        <v>1064</v>
      </c>
      <c r="F397" s="13" t="s">
        <v>29</v>
      </c>
      <c r="G397" s="13" t="s">
        <v>537</v>
      </c>
      <c r="H397" s="13" t="s">
        <v>1031</v>
      </c>
      <c r="I397" s="27" t="s">
        <v>365</v>
      </c>
      <c r="J397" s="27" t="s">
        <v>1774</v>
      </c>
      <c r="K397" s="27" t="s">
        <v>34</v>
      </c>
      <c r="L397" s="27" t="s">
        <v>1291</v>
      </c>
      <c r="M397" s="27" t="s">
        <v>1775</v>
      </c>
      <c r="N397" s="17">
        <f t="shared" si="29"/>
        <v>44973</v>
      </c>
      <c r="O397" s="13" t="s">
        <v>1776</v>
      </c>
      <c r="P397" s="13" t="s">
        <v>64</v>
      </c>
      <c r="Q397" s="13" t="s">
        <v>38</v>
      </c>
      <c r="R397" s="13" t="s">
        <v>365</v>
      </c>
      <c r="S397" s="13" t="s">
        <v>64</v>
      </c>
      <c r="T397" s="28">
        <v>39.71</v>
      </c>
      <c r="U397" s="13" t="s">
        <v>365</v>
      </c>
      <c r="V397" s="13" t="s">
        <v>89</v>
      </c>
      <c r="W397" s="13" t="s">
        <v>537</v>
      </c>
      <c r="X397" s="17">
        <f t="shared" si="30"/>
        <v>45062</v>
      </c>
      <c r="Y397" s="3"/>
    </row>
    <row r="398" spans="1:25" ht="45" customHeight="1">
      <c r="A398" s="3">
        <v>396</v>
      </c>
      <c r="B398" s="13" t="s">
        <v>1792</v>
      </c>
      <c r="C398" s="13" t="s">
        <v>26</v>
      </c>
      <c r="D398" s="13" t="s">
        <v>1793</v>
      </c>
      <c r="E398" s="13" t="s">
        <v>1064</v>
      </c>
      <c r="F398" s="13" t="s">
        <v>29</v>
      </c>
      <c r="G398" s="13" t="s">
        <v>62</v>
      </c>
      <c r="H398" s="13" t="s">
        <v>1031</v>
      </c>
      <c r="I398" s="27" t="s">
        <v>365</v>
      </c>
      <c r="J398" s="27" t="s">
        <v>1774</v>
      </c>
      <c r="K398" s="27" t="s">
        <v>34</v>
      </c>
      <c r="L398" s="27" t="s">
        <v>1291</v>
      </c>
      <c r="M398" s="27" t="s">
        <v>1775</v>
      </c>
      <c r="N398" s="17">
        <f t="shared" si="29"/>
        <v>44973</v>
      </c>
      <c r="O398" s="13" t="s">
        <v>1776</v>
      </c>
      <c r="P398" s="13" t="s">
        <v>1794</v>
      </c>
      <c r="Q398" s="13" t="s">
        <v>38</v>
      </c>
      <c r="R398" s="13" t="s">
        <v>365</v>
      </c>
      <c r="S398" s="13" t="s">
        <v>64</v>
      </c>
      <c r="T398" s="28">
        <v>35.119999999999997</v>
      </c>
      <c r="U398" s="13" t="s">
        <v>365</v>
      </c>
      <c r="V398" s="13" t="s">
        <v>53</v>
      </c>
      <c r="W398" s="13" t="s">
        <v>62</v>
      </c>
      <c r="X398" s="17">
        <f t="shared" si="30"/>
        <v>45062</v>
      </c>
      <c r="Y398" s="3"/>
    </row>
    <row r="399" spans="1:25" ht="45" customHeight="1">
      <c r="A399" s="3">
        <v>397</v>
      </c>
      <c r="B399" s="13" t="s">
        <v>1795</v>
      </c>
      <c r="C399" s="13" t="s">
        <v>26</v>
      </c>
      <c r="D399" s="13" t="s">
        <v>1796</v>
      </c>
      <c r="E399" s="13" t="s">
        <v>1064</v>
      </c>
      <c r="F399" s="13" t="s">
        <v>29</v>
      </c>
      <c r="G399" s="13" t="s">
        <v>537</v>
      </c>
      <c r="H399" s="13" t="s">
        <v>1031</v>
      </c>
      <c r="I399" s="27" t="s">
        <v>365</v>
      </c>
      <c r="J399" s="27" t="s">
        <v>1774</v>
      </c>
      <c r="K399" s="27" t="s">
        <v>34</v>
      </c>
      <c r="L399" s="27" t="s">
        <v>1291</v>
      </c>
      <c r="M399" s="27" t="s">
        <v>1775</v>
      </c>
      <c r="N399" s="17">
        <f t="shared" si="29"/>
        <v>44973</v>
      </c>
      <c r="O399" s="13" t="s">
        <v>1776</v>
      </c>
      <c r="P399" s="13" t="s">
        <v>64</v>
      </c>
      <c r="Q399" s="13" t="s">
        <v>38</v>
      </c>
      <c r="R399" s="13" t="s">
        <v>365</v>
      </c>
      <c r="S399" s="13" t="s">
        <v>64</v>
      </c>
      <c r="T399" s="28">
        <v>38.799999999999997</v>
      </c>
      <c r="U399" s="13" t="s">
        <v>365</v>
      </c>
      <c r="V399" s="13" t="s">
        <v>146</v>
      </c>
      <c r="W399" s="13" t="s">
        <v>537</v>
      </c>
      <c r="X399" s="17">
        <f t="shared" si="30"/>
        <v>45062</v>
      </c>
      <c r="Y399" s="3"/>
    </row>
    <row r="400" spans="1:25" ht="45" customHeight="1">
      <c r="A400" s="3">
        <v>398</v>
      </c>
      <c r="B400" s="13" t="s">
        <v>1797</v>
      </c>
      <c r="C400" s="13" t="s">
        <v>26</v>
      </c>
      <c r="D400" s="13" t="s">
        <v>1798</v>
      </c>
      <c r="E400" s="13" t="s">
        <v>1064</v>
      </c>
      <c r="F400" s="13" t="s">
        <v>29</v>
      </c>
      <c r="G400" s="13" t="s">
        <v>537</v>
      </c>
      <c r="H400" s="13" t="s">
        <v>1031</v>
      </c>
      <c r="I400" s="27" t="s">
        <v>365</v>
      </c>
      <c r="J400" s="27" t="s">
        <v>1774</v>
      </c>
      <c r="K400" s="27" t="s">
        <v>34</v>
      </c>
      <c r="L400" s="27" t="s">
        <v>1291</v>
      </c>
      <c r="M400" s="27" t="s">
        <v>1775</v>
      </c>
      <c r="N400" s="17">
        <f t="shared" si="29"/>
        <v>44973</v>
      </c>
      <c r="O400" s="13" t="s">
        <v>1776</v>
      </c>
      <c r="P400" s="13" t="s">
        <v>64</v>
      </c>
      <c r="Q400" s="13" t="s">
        <v>38</v>
      </c>
      <c r="R400" s="13" t="s">
        <v>365</v>
      </c>
      <c r="S400" s="13" t="s">
        <v>64</v>
      </c>
      <c r="T400" s="28">
        <v>32.64</v>
      </c>
      <c r="U400" s="13" t="s">
        <v>365</v>
      </c>
      <c r="V400" s="13" t="s">
        <v>89</v>
      </c>
      <c r="W400" s="13" t="s">
        <v>537</v>
      </c>
      <c r="X400" s="17">
        <f t="shared" si="30"/>
        <v>45062</v>
      </c>
      <c r="Y400" s="3"/>
    </row>
    <row r="401" spans="1:25" ht="45" customHeight="1">
      <c r="A401" s="3">
        <v>399</v>
      </c>
      <c r="B401" s="13" t="s">
        <v>1799</v>
      </c>
      <c r="C401" s="13" t="s">
        <v>26</v>
      </c>
      <c r="D401" s="13" t="s">
        <v>1800</v>
      </c>
      <c r="E401" s="13" t="s">
        <v>1064</v>
      </c>
      <c r="F401" s="13" t="s">
        <v>29</v>
      </c>
      <c r="G401" s="13" t="s">
        <v>62</v>
      </c>
      <c r="H401" s="13" t="s">
        <v>1031</v>
      </c>
      <c r="I401" s="27" t="s">
        <v>365</v>
      </c>
      <c r="J401" s="27" t="s">
        <v>1774</v>
      </c>
      <c r="K401" s="27" t="s">
        <v>34</v>
      </c>
      <c r="L401" s="27" t="s">
        <v>1291</v>
      </c>
      <c r="M401" s="27" t="s">
        <v>1775</v>
      </c>
      <c r="N401" s="17">
        <f t="shared" si="29"/>
        <v>44973</v>
      </c>
      <c r="O401" s="13" t="s">
        <v>1776</v>
      </c>
      <c r="P401" s="13" t="s">
        <v>1794</v>
      </c>
      <c r="Q401" s="13" t="s">
        <v>38</v>
      </c>
      <c r="R401" s="13" t="s">
        <v>365</v>
      </c>
      <c r="S401" s="13" t="s">
        <v>64</v>
      </c>
      <c r="T401" s="28">
        <v>27.71</v>
      </c>
      <c r="U401" s="13" t="s">
        <v>365</v>
      </c>
      <c r="V401" s="13" t="s">
        <v>53</v>
      </c>
      <c r="W401" s="13" t="s">
        <v>62</v>
      </c>
      <c r="X401" s="17">
        <f t="shared" si="30"/>
        <v>45062</v>
      </c>
      <c r="Y401" s="3"/>
    </row>
    <row r="402" spans="1:25" ht="45" customHeight="1">
      <c r="A402" s="3">
        <v>400</v>
      </c>
      <c r="B402" s="13" t="s">
        <v>1801</v>
      </c>
      <c r="C402" s="13" t="s">
        <v>26</v>
      </c>
      <c r="D402" s="13" t="s">
        <v>1802</v>
      </c>
      <c r="E402" s="13" t="s">
        <v>28</v>
      </c>
      <c r="F402" s="13" t="s">
        <v>29</v>
      </c>
      <c r="G402" s="13" t="s">
        <v>79</v>
      </c>
      <c r="H402" s="13" t="s">
        <v>1031</v>
      </c>
      <c r="I402" s="27" t="s">
        <v>365</v>
      </c>
      <c r="J402" s="27" t="s">
        <v>1774</v>
      </c>
      <c r="K402" s="27" t="s">
        <v>34</v>
      </c>
      <c r="L402" s="27" t="s">
        <v>1291</v>
      </c>
      <c r="M402" s="27" t="s">
        <v>1775</v>
      </c>
      <c r="N402" s="17">
        <f t="shared" si="29"/>
        <v>44973</v>
      </c>
      <c r="O402" s="13" t="s">
        <v>1776</v>
      </c>
      <c r="P402" s="13" t="s">
        <v>498</v>
      </c>
      <c r="Q402" s="13" t="s">
        <v>38</v>
      </c>
      <c r="R402" s="13" t="s">
        <v>365</v>
      </c>
      <c r="S402" s="13" t="s">
        <v>81</v>
      </c>
      <c r="T402" s="28">
        <v>24.08</v>
      </c>
      <c r="U402" s="13" t="s">
        <v>28</v>
      </c>
      <c r="V402" s="13" t="s">
        <v>146</v>
      </c>
      <c r="W402" s="13" t="s">
        <v>79</v>
      </c>
      <c r="X402" s="17">
        <f t="shared" si="30"/>
        <v>45062</v>
      </c>
      <c r="Y402" s="3"/>
    </row>
    <row r="403" spans="1:25" ht="45" customHeight="1">
      <c r="A403" s="3">
        <v>401</v>
      </c>
      <c r="B403" s="13" t="s">
        <v>1803</v>
      </c>
      <c r="C403" s="13" t="s">
        <v>26</v>
      </c>
      <c r="D403" s="13" t="s">
        <v>1804</v>
      </c>
      <c r="E403" s="13" t="s">
        <v>28</v>
      </c>
      <c r="F403" s="13" t="s">
        <v>29</v>
      </c>
      <c r="G403" s="13" t="s">
        <v>79</v>
      </c>
      <c r="H403" s="13" t="s">
        <v>1031</v>
      </c>
      <c r="I403" s="27" t="s">
        <v>365</v>
      </c>
      <c r="J403" s="27" t="s">
        <v>1774</v>
      </c>
      <c r="K403" s="27" t="s">
        <v>34</v>
      </c>
      <c r="L403" s="27" t="s">
        <v>1291</v>
      </c>
      <c r="M403" s="27" t="s">
        <v>1775</v>
      </c>
      <c r="N403" s="17">
        <f t="shared" si="29"/>
        <v>44973</v>
      </c>
      <c r="O403" s="13" t="s">
        <v>1776</v>
      </c>
      <c r="P403" s="13" t="s">
        <v>498</v>
      </c>
      <c r="Q403" s="13" t="s">
        <v>38</v>
      </c>
      <c r="R403" s="13" t="s">
        <v>365</v>
      </c>
      <c r="S403" s="13" t="s">
        <v>81</v>
      </c>
      <c r="T403" s="28">
        <v>44.33</v>
      </c>
      <c r="U403" s="13" t="s">
        <v>28</v>
      </c>
      <c r="V403" s="13" t="s">
        <v>146</v>
      </c>
      <c r="W403" s="13" t="s">
        <v>79</v>
      </c>
      <c r="X403" s="17">
        <f t="shared" si="30"/>
        <v>45062</v>
      </c>
      <c r="Y403" s="3"/>
    </row>
    <row r="404" spans="1:25" ht="45" customHeight="1">
      <c r="A404" s="3">
        <v>402</v>
      </c>
      <c r="B404" s="13" t="s">
        <v>1805</v>
      </c>
      <c r="C404" s="13" t="s">
        <v>26</v>
      </c>
      <c r="D404" s="13" t="s">
        <v>1806</v>
      </c>
      <c r="E404" s="13" t="s">
        <v>1064</v>
      </c>
      <c r="F404" s="13" t="s">
        <v>29</v>
      </c>
      <c r="G404" s="13" t="s">
        <v>85</v>
      </c>
      <c r="H404" s="13" t="s">
        <v>1031</v>
      </c>
      <c r="I404" s="27" t="s">
        <v>365</v>
      </c>
      <c r="J404" s="27" t="s">
        <v>1774</v>
      </c>
      <c r="K404" s="27" t="s">
        <v>34</v>
      </c>
      <c r="L404" s="27" t="s">
        <v>1291</v>
      </c>
      <c r="M404" s="27" t="s">
        <v>1775</v>
      </c>
      <c r="N404" s="17">
        <f t="shared" si="29"/>
        <v>44973</v>
      </c>
      <c r="O404" s="13" t="s">
        <v>1776</v>
      </c>
      <c r="P404" s="13" t="s">
        <v>230</v>
      </c>
      <c r="Q404" s="13" t="s">
        <v>38</v>
      </c>
      <c r="R404" s="13" t="s">
        <v>365</v>
      </c>
      <c r="S404" s="13" t="s">
        <v>87</v>
      </c>
      <c r="T404" s="28">
        <v>35.42</v>
      </c>
      <c r="U404" s="13" t="s">
        <v>365</v>
      </c>
      <c r="V404" s="13" t="s">
        <v>146</v>
      </c>
      <c r="W404" s="13" t="s">
        <v>85</v>
      </c>
      <c r="X404" s="17">
        <f t="shared" si="30"/>
        <v>45062</v>
      </c>
      <c r="Y404" s="3"/>
    </row>
    <row r="405" spans="1:25" ht="45" customHeight="1">
      <c r="A405" s="3">
        <v>403</v>
      </c>
      <c r="B405" s="13" t="s">
        <v>1807</v>
      </c>
      <c r="C405" s="13" t="s">
        <v>26</v>
      </c>
      <c r="D405" s="13" t="s">
        <v>1808</v>
      </c>
      <c r="E405" s="13" t="s">
        <v>1064</v>
      </c>
      <c r="F405" s="13" t="s">
        <v>29</v>
      </c>
      <c r="G405" s="13" t="s">
        <v>62</v>
      </c>
      <c r="H405" s="13" t="s">
        <v>1031</v>
      </c>
      <c r="I405" s="27" t="s">
        <v>365</v>
      </c>
      <c r="J405" s="27" t="s">
        <v>1774</v>
      </c>
      <c r="K405" s="27" t="s">
        <v>34</v>
      </c>
      <c r="L405" s="27" t="s">
        <v>1291</v>
      </c>
      <c r="M405" s="27" t="s">
        <v>1775</v>
      </c>
      <c r="N405" s="17">
        <f t="shared" si="29"/>
        <v>44973</v>
      </c>
      <c r="O405" s="13" t="s">
        <v>1776</v>
      </c>
      <c r="P405" s="13" t="s">
        <v>1809</v>
      </c>
      <c r="Q405" s="13" t="s">
        <v>38</v>
      </c>
      <c r="R405" s="13" t="s">
        <v>365</v>
      </c>
      <c r="S405" s="13" t="s">
        <v>64</v>
      </c>
      <c r="T405" s="28">
        <v>33.03</v>
      </c>
      <c r="U405" s="13" t="s">
        <v>365</v>
      </c>
      <c r="V405" s="13" t="s">
        <v>146</v>
      </c>
      <c r="W405" s="13" t="s">
        <v>62</v>
      </c>
      <c r="X405" s="17">
        <f t="shared" si="30"/>
        <v>45062</v>
      </c>
      <c r="Y405" s="3"/>
    </row>
    <row r="406" spans="1:25" ht="45" customHeight="1">
      <c r="A406" s="3">
        <v>404</v>
      </c>
      <c r="B406" s="13" t="s">
        <v>1810</v>
      </c>
      <c r="C406" s="13" t="s">
        <v>26</v>
      </c>
      <c r="D406" s="13" t="s">
        <v>1811</v>
      </c>
      <c r="E406" s="13" t="s">
        <v>28</v>
      </c>
      <c r="F406" s="13" t="s">
        <v>29</v>
      </c>
      <c r="G406" s="13" t="s">
        <v>79</v>
      </c>
      <c r="H406" s="13" t="s">
        <v>1031</v>
      </c>
      <c r="I406" s="27" t="s">
        <v>365</v>
      </c>
      <c r="J406" s="27" t="s">
        <v>1774</v>
      </c>
      <c r="K406" s="27" t="s">
        <v>34</v>
      </c>
      <c r="L406" s="27" t="s">
        <v>1291</v>
      </c>
      <c r="M406" s="27" t="s">
        <v>1775</v>
      </c>
      <c r="N406" s="17">
        <f t="shared" si="29"/>
        <v>44973</v>
      </c>
      <c r="O406" s="13" t="s">
        <v>1776</v>
      </c>
      <c r="P406" s="13" t="s">
        <v>1387</v>
      </c>
      <c r="Q406" s="13" t="s">
        <v>38</v>
      </c>
      <c r="R406" s="13" t="s">
        <v>365</v>
      </c>
      <c r="S406" s="13" t="s">
        <v>81</v>
      </c>
      <c r="T406" s="28">
        <v>36.33</v>
      </c>
      <c r="U406" s="13" t="s">
        <v>28</v>
      </c>
      <c r="V406" s="13" t="s">
        <v>89</v>
      </c>
      <c r="W406" s="13" t="s">
        <v>79</v>
      </c>
      <c r="X406" s="17">
        <f t="shared" si="30"/>
        <v>45062</v>
      </c>
      <c r="Y406" s="3"/>
    </row>
    <row r="407" spans="1:25" ht="45" customHeight="1">
      <c r="A407" s="3">
        <v>405</v>
      </c>
      <c r="B407" s="13" t="s">
        <v>1812</v>
      </c>
      <c r="C407" s="13" t="s">
        <v>26</v>
      </c>
      <c r="D407" s="13" t="s">
        <v>1813</v>
      </c>
      <c r="E407" s="13" t="s">
        <v>1064</v>
      </c>
      <c r="F407" s="13" t="s">
        <v>29</v>
      </c>
      <c r="G407" s="13" t="s">
        <v>30</v>
      </c>
      <c r="H407" s="13" t="s">
        <v>1031</v>
      </c>
      <c r="I407" s="27" t="s">
        <v>365</v>
      </c>
      <c r="J407" s="27" t="s">
        <v>1774</v>
      </c>
      <c r="K407" s="27" t="s">
        <v>34</v>
      </c>
      <c r="L407" s="27" t="s">
        <v>1291</v>
      </c>
      <c r="M407" s="27" t="s">
        <v>1775</v>
      </c>
      <c r="N407" s="17">
        <f t="shared" si="29"/>
        <v>44973</v>
      </c>
      <c r="O407" s="13" t="s">
        <v>1776</v>
      </c>
      <c r="P407" s="13" t="s">
        <v>1606</v>
      </c>
      <c r="Q407" s="13" t="s">
        <v>38</v>
      </c>
      <c r="R407" s="13" t="s">
        <v>365</v>
      </c>
      <c r="S407" s="13" t="s">
        <v>37</v>
      </c>
      <c r="T407" s="28">
        <v>41.16</v>
      </c>
      <c r="U407" s="13" t="s">
        <v>365</v>
      </c>
      <c r="V407" s="13" t="s">
        <v>89</v>
      </c>
      <c r="W407" s="13" t="s">
        <v>30</v>
      </c>
      <c r="X407" s="17">
        <f t="shared" si="30"/>
        <v>45062</v>
      </c>
      <c r="Y407" s="3"/>
    </row>
    <row r="408" spans="1:25" ht="45" customHeight="1">
      <c r="A408" s="3">
        <v>406</v>
      </c>
      <c r="B408" s="13" t="s">
        <v>1814</v>
      </c>
      <c r="C408" s="13" t="s">
        <v>26</v>
      </c>
      <c r="D408" s="13" t="s">
        <v>1815</v>
      </c>
      <c r="E408" s="13" t="s">
        <v>1064</v>
      </c>
      <c r="F408" s="13" t="s">
        <v>29</v>
      </c>
      <c r="G408" s="13" t="s">
        <v>62</v>
      </c>
      <c r="H408" s="13" t="s">
        <v>1031</v>
      </c>
      <c r="I408" s="27" t="s">
        <v>365</v>
      </c>
      <c r="J408" s="27" t="s">
        <v>1774</v>
      </c>
      <c r="K408" s="27" t="s">
        <v>34</v>
      </c>
      <c r="L408" s="27" t="s">
        <v>1291</v>
      </c>
      <c r="M408" s="27" t="s">
        <v>1775</v>
      </c>
      <c r="N408" s="17">
        <f t="shared" si="29"/>
        <v>44973</v>
      </c>
      <c r="O408" s="13" t="s">
        <v>1776</v>
      </c>
      <c r="P408" s="13" t="s">
        <v>1816</v>
      </c>
      <c r="Q408" s="13" t="s">
        <v>38</v>
      </c>
      <c r="R408" s="13" t="s">
        <v>365</v>
      </c>
      <c r="S408" s="13" t="s">
        <v>64</v>
      </c>
      <c r="T408" s="28">
        <v>40.229999999999997</v>
      </c>
      <c r="U408" s="13" t="s">
        <v>365</v>
      </c>
      <c r="V408" s="13" t="s">
        <v>89</v>
      </c>
      <c r="W408" s="13" t="s">
        <v>62</v>
      </c>
      <c r="X408" s="17">
        <f t="shared" si="30"/>
        <v>45062</v>
      </c>
      <c r="Y408" s="3"/>
    </row>
    <row r="409" spans="1:25" ht="45" customHeight="1">
      <c r="A409" s="3">
        <v>407</v>
      </c>
      <c r="B409" s="13" t="s">
        <v>1817</v>
      </c>
      <c r="C409" s="13" t="s">
        <v>26</v>
      </c>
      <c r="D409" s="13" t="s">
        <v>1818</v>
      </c>
      <c r="E409" s="13" t="s">
        <v>1064</v>
      </c>
      <c r="F409" s="13" t="s">
        <v>29</v>
      </c>
      <c r="G409" s="13" t="s">
        <v>62</v>
      </c>
      <c r="H409" s="13" t="s">
        <v>1031</v>
      </c>
      <c r="I409" s="27" t="s">
        <v>365</v>
      </c>
      <c r="J409" s="27" t="s">
        <v>1774</v>
      </c>
      <c r="K409" s="27" t="s">
        <v>34</v>
      </c>
      <c r="L409" s="27" t="s">
        <v>1291</v>
      </c>
      <c r="M409" s="27" t="s">
        <v>1775</v>
      </c>
      <c r="N409" s="17">
        <f t="shared" si="29"/>
        <v>44973</v>
      </c>
      <c r="O409" s="13" t="s">
        <v>1776</v>
      </c>
      <c r="P409" s="13" t="s">
        <v>1794</v>
      </c>
      <c r="Q409" s="13" t="s">
        <v>38</v>
      </c>
      <c r="R409" s="13" t="s">
        <v>365</v>
      </c>
      <c r="S409" s="13" t="s">
        <v>64</v>
      </c>
      <c r="T409" s="28">
        <v>36.770000000000003</v>
      </c>
      <c r="U409" s="13" t="s">
        <v>365</v>
      </c>
      <c r="V409" s="13" t="s">
        <v>53</v>
      </c>
      <c r="W409" s="13" t="s">
        <v>62</v>
      </c>
      <c r="X409" s="17">
        <f t="shared" si="30"/>
        <v>45062</v>
      </c>
      <c r="Y409" s="3"/>
    </row>
    <row r="410" spans="1:25" ht="45" customHeight="1">
      <c r="A410" s="3">
        <v>408</v>
      </c>
      <c r="B410" s="13" t="s">
        <v>1819</v>
      </c>
      <c r="C410" s="13" t="s">
        <v>26</v>
      </c>
      <c r="D410" s="13" t="s">
        <v>1820</v>
      </c>
      <c r="E410" s="13" t="s">
        <v>28</v>
      </c>
      <c r="F410" s="13" t="s">
        <v>29</v>
      </c>
      <c r="G410" s="13" t="s">
        <v>62</v>
      </c>
      <c r="H410" s="13" t="s">
        <v>31</v>
      </c>
      <c r="I410" s="27" t="s">
        <v>365</v>
      </c>
      <c r="J410" s="27" t="s">
        <v>1774</v>
      </c>
      <c r="K410" s="27" t="s">
        <v>34</v>
      </c>
      <c r="L410" s="27" t="s">
        <v>1291</v>
      </c>
      <c r="M410" s="27" t="s">
        <v>1775</v>
      </c>
      <c r="N410" s="17">
        <f t="shared" si="29"/>
        <v>44973</v>
      </c>
      <c r="O410" s="13" t="s">
        <v>1776</v>
      </c>
      <c r="P410" s="13" t="s">
        <v>64</v>
      </c>
      <c r="Q410" s="13" t="s">
        <v>38</v>
      </c>
      <c r="R410" s="13" t="s">
        <v>365</v>
      </c>
      <c r="S410" s="13" t="s">
        <v>64</v>
      </c>
      <c r="T410" s="28">
        <v>32.61</v>
      </c>
      <c r="U410" s="13" t="s">
        <v>28</v>
      </c>
      <c r="V410" s="13" t="s">
        <v>76</v>
      </c>
      <c r="W410" s="13" t="s">
        <v>62</v>
      </c>
      <c r="X410" s="17">
        <f t="shared" si="30"/>
        <v>45062</v>
      </c>
      <c r="Y410" s="3"/>
    </row>
    <row r="411" spans="1:25" ht="45" customHeight="1">
      <c r="A411" s="3">
        <v>409</v>
      </c>
      <c r="B411" s="13" t="s">
        <v>1821</v>
      </c>
      <c r="C411" s="13" t="s">
        <v>26</v>
      </c>
      <c r="D411" s="13" t="s">
        <v>1822</v>
      </c>
      <c r="E411" s="13" t="s">
        <v>28</v>
      </c>
      <c r="F411" s="13" t="s">
        <v>29</v>
      </c>
      <c r="G411" s="13" t="s">
        <v>79</v>
      </c>
      <c r="H411" s="13" t="s">
        <v>1031</v>
      </c>
      <c r="I411" s="27" t="s">
        <v>365</v>
      </c>
      <c r="J411" s="27" t="s">
        <v>1774</v>
      </c>
      <c r="K411" s="27" t="s">
        <v>34</v>
      </c>
      <c r="L411" s="27" t="s">
        <v>1291</v>
      </c>
      <c r="M411" s="27" t="s">
        <v>1775</v>
      </c>
      <c r="N411" s="17">
        <f t="shared" si="29"/>
        <v>44973</v>
      </c>
      <c r="O411" s="13" t="s">
        <v>1776</v>
      </c>
      <c r="P411" s="13" t="s">
        <v>263</v>
      </c>
      <c r="Q411" s="13" t="s">
        <v>38</v>
      </c>
      <c r="R411" s="13" t="s">
        <v>365</v>
      </c>
      <c r="S411" s="13" t="s">
        <v>81</v>
      </c>
      <c r="T411" s="28">
        <v>27.31</v>
      </c>
      <c r="U411" s="13" t="s">
        <v>28</v>
      </c>
      <c r="V411" s="13" t="s">
        <v>53</v>
      </c>
      <c r="W411" s="13" t="s">
        <v>79</v>
      </c>
      <c r="X411" s="17">
        <f t="shared" si="30"/>
        <v>45062</v>
      </c>
      <c r="Y411" s="3"/>
    </row>
    <row r="412" spans="1:25" ht="45" customHeight="1">
      <c r="A412" s="3">
        <v>410</v>
      </c>
      <c r="B412" s="13" t="s">
        <v>1823</v>
      </c>
      <c r="C412" s="13" t="s">
        <v>26</v>
      </c>
      <c r="D412" s="13" t="s">
        <v>1824</v>
      </c>
      <c r="E412" s="13" t="s">
        <v>1064</v>
      </c>
      <c r="F412" s="13" t="s">
        <v>29</v>
      </c>
      <c r="G412" s="13" t="s">
        <v>62</v>
      </c>
      <c r="H412" s="13" t="s">
        <v>1031</v>
      </c>
      <c r="I412" s="27" t="s">
        <v>365</v>
      </c>
      <c r="J412" s="27" t="s">
        <v>1774</v>
      </c>
      <c r="K412" s="27" t="s">
        <v>34</v>
      </c>
      <c r="L412" s="27" t="s">
        <v>1291</v>
      </c>
      <c r="M412" s="27" t="s">
        <v>1775</v>
      </c>
      <c r="N412" s="17">
        <f t="shared" si="29"/>
        <v>44973</v>
      </c>
      <c r="O412" s="13" t="s">
        <v>1776</v>
      </c>
      <c r="P412" s="13" t="s">
        <v>1809</v>
      </c>
      <c r="Q412" s="13" t="s">
        <v>38</v>
      </c>
      <c r="R412" s="13" t="s">
        <v>365</v>
      </c>
      <c r="S412" s="13" t="s">
        <v>64</v>
      </c>
      <c r="T412" s="28">
        <v>33.869999999999997</v>
      </c>
      <c r="U412" s="13" t="s">
        <v>28</v>
      </c>
      <c r="V412" s="13" t="s">
        <v>146</v>
      </c>
      <c r="W412" s="13" t="s">
        <v>62</v>
      </c>
      <c r="X412" s="17">
        <f t="shared" si="30"/>
        <v>45062</v>
      </c>
      <c r="Y412" s="3"/>
    </row>
    <row r="413" spans="1:25" ht="45" customHeight="1">
      <c r="A413" s="3">
        <v>411</v>
      </c>
      <c r="B413" s="13" t="s">
        <v>1825</v>
      </c>
      <c r="C413" s="13" t="s">
        <v>26</v>
      </c>
      <c r="D413" s="13" t="s">
        <v>1826</v>
      </c>
      <c r="E413" s="13" t="s">
        <v>28</v>
      </c>
      <c r="F413" s="13" t="s">
        <v>29</v>
      </c>
      <c r="G413" s="13" t="s">
        <v>48</v>
      </c>
      <c r="H413" s="13" t="s">
        <v>1031</v>
      </c>
      <c r="I413" s="27" t="s">
        <v>365</v>
      </c>
      <c r="J413" s="27" t="s">
        <v>1774</v>
      </c>
      <c r="K413" s="27" t="s">
        <v>34</v>
      </c>
      <c r="L413" s="27" t="s">
        <v>1291</v>
      </c>
      <c r="M413" s="27" t="s">
        <v>1775</v>
      </c>
      <c r="N413" s="17">
        <f t="shared" si="29"/>
        <v>44973</v>
      </c>
      <c r="O413" s="13" t="s">
        <v>1776</v>
      </c>
      <c r="P413" s="13" t="s">
        <v>50</v>
      </c>
      <c r="Q413" s="13" t="s">
        <v>38</v>
      </c>
      <c r="R413" s="13" t="s">
        <v>365</v>
      </c>
      <c r="S413" s="13" t="s">
        <v>52</v>
      </c>
      <c r="T413" s="28">
        <v>33.14</v>
      </c>
      <c r="U413" s="13" t="s">
        <v>28</v>
      </c>
      <c r="V413" s="13" t="s">
        <v>53</v>
      </c>
      <c r="W413" s="13" t="s">
        <v>48</v>
      </c>
      <c r="X413" s="17">
        <f t="shared" si="30"/>
        <v>45062</v>
      </c>
      <c r="Y413" s="3"/>
    </row>
    <row r="414" spans="1:25" ht="45" customHeight="1">
      <c r="A414" s="3">
        <v>412</v>
      </c>
      <c r="B414" s="13" t="s">
        <v>1827</v>
      </c>
      <c r="C414" s="13" t="s">
        <v>26</v>
      </c>
      <c r="D414" s="13" t="s">
        <v>1828</v>
      </c>
      <c r="E414" s="13" t="s">
        <v>28</v>
      </c>
      <c r="F414" s="13" t="s">
        <v>29</v>
      </c>
      <c r="G414" s="13" t="s">
        <v>62</v>
      </c>
      <c r="H414" s="13" t="s">
        <v>31</v>
      </c>
      <c r="I414" s="27" t="s">
        <v>365</v>
      </c>
      <c r="J414" s="27" t="s">
        <v>1774</v>
      </c>
      <c r="K414" s="27" t="s">
        <v>34</v>
      </c>
      <c r="L414" s="27" t="s">
        <v>1291</v>
      </c>
      <c r="M414" s="27" t="s">
        <v>1775</v>
      </c>
      <c r="N414" s="17">
        <f t="shared" si="29"/>
        <v>44973</v>
      </c>
      <c r="O414" s="13" t="s">
        <v>1776</v>
      </c>
      <c r="P414" s="13" t="s">
        <v>64</v>
      </c>
      <c r="Q414" s="13" t="s">
        <v>38</v>
      </c>
      <c r="R414" s="13" t="s">
        <v>365</v>
      </c>
      <c r="S414" s="13" t="s">
        <v>64</v>
      </c>
      <c r="T414" s="28">
        <v>42.31</v>
      </c>
      <c r="U414" s="13" t="s">
        <v>28</v>
      </c>
      <c r="V414" s="13" t="s">
        <v>40</v>
      </c>
      <c r="W414" s="13" t="s">
        <v>62</v>
      </c>
      <c r="X414" s="17">
        <f t="shared" si="30"/>
        <v>45062</v>
      </c>
      <c r="Y414" s="3"/>
    </row>
    <row r="415" spans="1:25" ht="45" customHeight="1">
      <c r="A415" s="3">
        <v>413</v>
      </c>
      <c r="B415" s="13" t="s">
        <v>1829</v>
      </c>
      <c r="C415" s="13" t="s">
        <v>26</v>
      </c>
      <c r="D415" s="13" t="s">
        <v>1830</v>
      </c>
      <c r="E415" s="13" t="s">
        <v>28</v>
      </c>
      <c r="F415" s="13" t="s">
        <v>29</v>
      </c>
      <c r="G415" s="13" t="s">
        <v>1058</v>
      </c>
      <c r="H415" s="13" t="s">
        <v>1031</v>
      </c>
      <c r="I415" s="27" t="s">
        <v>365</v>
      </c>
      <c r="J415" s="27" t="s">
        <v>1774</v>
      </c>
      <c r="K415" s="27" t="s">
        <v>34</v>
      </c>
      <c r="L415" s="27" t="s">
        <v>1291</v>
      </c>
      <c r="M415" s="27" t="s">
        <v>1775</v>
      </c>
      <c r="N415" s="17">
        <f t="shared" si="29"/>
        <v>44973</v>
      </c>
      <c r="O415" s="13" t="s">
        <v>1776</v>
      </c>
      <c r="P415" s="13" t="s">
        <v>1060</v>
      </c>
      <c r="Q415" s="13" t="s">
        <v>38</v>
      </c>
      <c r="R415" s="13" t="s">
        <v>365</v>
      </c>
      <c r="S415" s="13" t="s">
        <v>87</v>
      </c>
      <c r="T415" s="28">
        <v>27.08</v>
      </c>
      <c r="U415" s="13" t="s">
        <v>28</v>
      </c>
      <c r="V415" s="13" t="s">
        <v>53</v>
      </c>
      <c r="W415" s="13" t="s">
        <v>1058</v>
      </c>
      <c r="X415" s="17">
        <f t="shared" si="30"/>
        <v>45062</v>
      </c>
      <c r="Y415" s="3"/>
    </row>
    <row r="416" spans="1:25" ht="45" customHeight="1">
      <c r="A416" s="3">
        <v>414</v>
      </c>
      <c r="B416" s="13" t="s">
        <v>1831</v>
      </c>
      <c r="C416" s="13" t="s">
        <v>26</v>
      </c>
      <c r="D416" s="13" t="s">
        <v>1832</v>
      </c>
      <c r="E416" s="13" t="s">
        <v>28</v>
      </c>
      <c r="F416" s="13" t="s">
        <v>29</v>
      </c>
      <c r="G416" s="13" t="s">
        <v>79</v>
      </c>
      <c r="H416" s="13" t="s">
        <v>1031</v>
      </c>
      <c r="I416" s="27" t="s">
        <v>365</v>
      </c>
      <c r="J416" s="27" t="s">
        <v>1774</v>
      </c>
      <c r="K416" s="27" t="s">
        <v>34</v>
      </c>
      <c r="L416" s="27" t="s">
        <v>1291</v>
      </c>
      <c r="M416" s="27" t="s">
        <v>1775</v>
      </c>
      <c r="N416" s="17">
        <f t="shared" si="29"/>
        <v>44973</v>
      </c>
      <c r="O416" s="13" t="s">
        <v>1776</v>
      </c>
      <c r="P416" s="13" t="s">
        <v>263</v>
      </c>
      <c r="Q416" s="13" t="s">
        <v>38</v>
      </c>
      <c r="R416" s="13" t="s">
        <v>365</v>
      </c>
      <c r="S416" s="13" t="s">
        <v>81</v>
      </c>
      <c r="T416" s="28">
        <v>38.49</v>
      </c>
      <c r="U416" s="13" t="s">
        <v>28</v>
      </c>
      <c r="V416" s="13" t="s">
        <v>53</v>
      </c>
      <c r="W416" s="13" t="s">
        <v>79</v>
      </c>
      <c r="X416" s="17">
        <f t="shared" si="30"/>
        <v>45062</v>
      </c>
      <c r="Y416" s="3"/>
    </row>
    <row r="417" spans="1:25" ht="45" customHeight="1">
      <c r="A417" s="3">
        <v>415</v>
      </c>
      <c r="B417" s="13" t="s">
        <v>1833</v>
      </c>
      <c r="C417" s="13" t="s">
        <v>26</v>
      </c>
      <c r="D417" s="13" t="s">
        <v>1834</v>
      </c>
      <c r="E417" s="13" t="s">
        <v>28</v>
      </c>
      <c r="F417" s="13" t="s">
        <v>29</v>
      </c>
      <c r="G417" s="13" t="s">
        <v>79</v>
      </c>
      <c r="H417" s="13" t="s">
        <v>31</v>
      </c>
      <c r="I417" s="27" t="s">
        <v>365</v>
      </c>
      <c r="J417" s="27" t="s">
        <v>1774</v>
      </c>
      <c r="K417" s="27" t="s">
        <v>34</v>
      </c>
      <c r="L417" s="27" t="s">
        <v>1291</v>
      </c>
      <c r="M417" s="27" t="s">
        <v>1775</v>
      </c>
      <c r="N417" s="17">
        <f t="shared" si="29"/>
        <v>44973</v>
      </c>
      <c r="O417" s="13" t="s">
        <v>1776</v>
      </c>
      <c r="P417" s="13" t="s">
        <v>81</v>
      </c>
      <c r="Q417" s="13" t="s">
        <v>38</v>
      </c>
      <c r="R417" s="13" t="s">
        <v>365</v>
      </c>
      <c r="S417" s="13" t="s">
        <v>81</v>
      </c>
      <c r="T417" s="28">
        <v>21.61</v>
      </c>
      <c r="U417" s="13" t="s">
        <v>28</v>
      </c>
      <c r="V417" s="13" t="s">
        <v>76</v>
      </c>
      <c r="W417" s="13" t="s">
        <v>79</v>
      </c>
      <c r="X417" s="17">
        <f t="shared" si="30"/>
        <v>45062</v>
      </c>
      <c r="Y417" s="3"/>
    </row>
    <row r="418" spans="1:25" ht="45" customHeight="1">
      <c r="A418" s="3">
        <v>416</v>
      </c>
      <c r="B418" s="13" t="s">
        <v>1835</v>
      </c>
      <c r="C418" s="13" t="s">
        <v>26</v>
      </c>
      <c r="D418" s="13" t="s">
        <v>1836</v>
      </c>
      <c r="E418" s="13" t="s">
        <v>1064</v>
      </c>
      <c r="F418" s="13" t="s">
        <v>29</v>
      </c>
      <c r="G418" s="13" t="s">
        <v>537</v>
      </c>
      <c r="H418" s="13" t="s">
        <v>1031</v>
      </c>
      <c r="I418" s="27" t="s">
        <v>365</v>
      </c>
      <c r="J418" s="27" t="s">
        <v>1774</v>
      </c>
      <c r="K418" s="27" t="s">
        <v>34</v>
      </c>
      <c r="L418" s="27" t="s">
        <v>1291</v>
      </c>
      <c r="M418" s="27" t="s">
        <v>1775</v>
      </c>
      <c r="N418" s="17">
        <f t="shared" si="29"/>
        <v>44973</v>
      </c>
      <c r="O418" s="13" t="s">
        <v>1776</v>
      </c>
      <c r="P418" s="13" t="s">
        <v>64</v>
      </c>
      <c r="Q418" s="13" t="s">
        <v>38</v>
      </c>
      <c r="R418" s="13" t="s">
        <v>365</v>
      </c>
      <c r="S418" s="13" t="s">
        <v>64</v>
      </c>
      <c r="T418" s="28">
        <v>36.71</v>
      </c>
      <c r="U418" s="13" t="s">
        <v>365</v>
      </c>
      <c r="V418" s="13" t="s">
        <v>146</v>
      </c>
      <c r="W418" s="13" t="s">
        <v>537</v>
      </c>
      <c r="X418" s="17">
        <f t="shared" si="30"/>
        <v>45062</v>
      </c>
      <c r="Y418" s="3"/>
    </row>
    <row r="419" spans="1:25" ht="45" customHeight="1">
      <c r="A419" s="3">
        <v>417</v>
      </c>
      <c r="B419" s="13" t="s">
        <v>1837</v>
      </c>
      <c r="C419" s="13" t="s">
        <v>26</v>
      </c>
      <c r="D419" s="13" t="s">
        <v>1838</v>
      </c>
      <c r="E419" s="13" t="s">
        <v>28</v>
      </c>
      <c r="F419" s="13" t="s">
        <v>29</v>
      </c>
      <c r="G419" s="13" t="s">
        <v>79</v>
      </c>
      <c r="H419" s="13" t="s">
        <v>1031</v>
      </c>
      <c r="I419" s="27" t="s">
        <v>365</v>
      </c>
      <c r="J419" s="27" t="s">
        <v>1774</v>
      </c>
      <c r="K419" s="27" t="s">
        <v>34</v>
      </c>
      <c r="L419" s="27" t="s">
        <v>1291</v>
      </c>
      <c r="M419" s="27" t="s">
        <v>1775</v>
      </c>
      <c r="N419" s="17">
        <f t="shared" si="29"/>
        <v>44973</v>
      </c>
      <c r="O419" s="13" t="s">
        <v>1776</v>
      </c>
      <c r="P419" s="13" t="s">
        <v>1387</v>
      </c>
      <c r="Q419" s="13" t="s">
        <v>38</v>
      </c>
      <c r="R419" s="13" t="s">
        <v>365</v>
      </c>
      <c r="S419" s="13" t="s">
        <v>81</v>
      </c>
      <c r="T419" s="28">
        <v>45.11</v>
      </c>
      <c r="U419" s="13" t="s">
        <v>28</v>
      </c>
      <c r="V419" s="13" t="s">
        <v>89</v>
      </c>
      <c r="W419" s="13" t="s">
        <v>79</v>
      </c>
      <c r="X419" s="17">
        <f t="shared" si="30"/>
        <v>45062</v>
      </c>
      <c r="Y419" s="3"/>
    </row>
    <row r="420" spans="1:25" ht="45" customHeight="1">
      <c r="A420" s="3">
        <v>418</v>
      </c>
      <c r="B420" s="13" t="s">
        <v>1839</v>
      </c>
      <c r="C420" s="13" t="s">
        <v>26</v>
      </c>
      <c r="D420" s="13" t="s">
        <v>1840</v>
      </c>
      <c r="E420" s="13" t="s">
        <v>1064</v>
      </c>
      <c r="F420" s="13" t="s">
        <v>29</v>
      </c>
      <c r="G420" s="13" t="s">
        <v>537</v>
      </c>
      <c r="H420" s="13" t="s">
        <v>1031</v>
      </c>
      <c r="I420" s="27" t="s">
        <v>365</v>
      </c>
      <c r="J420" s="27" t="s">
        <v>1774</v>
      </c>
      <c r="K420" s="27" t="s">
        <v>34</v>
      </c>
      <c r="L420" s="27" t="s">
        <v>1291</v>
      </c>
      <c r="M420" s="27" t="s">
        <v>1775</v>
      </c>
      <c r="N420" s="17">
        <f t="shared" si="29"/>
        <v>44973</v>
      </c>
      <c r="O420" s="13" t="s">
        <v>1776</v>
      </c>
      <c r="P420" s="13" t="s">
        <v>64</v>
      </c>
      <c r="Q420" s="13" t="s">
        <v>38</v>
      </c>
      <c r="R420" s="13" t="s">
        <v>365</v>
      </c>
      <c r="S420" s="13" t="s">
        <v>64</v>
      </c>
      <c r="T420" s="28">
        <v>37.909999999999997</v>
      </c>
      <c r="U420" s="13" t="s">
        <v>365</v>
      </c>
      <c r="V420" s="13" t="s">
        <v>89</v>
      </c>
      <c r="W420" s="13" t="s">
        <v>537</v>
      </c>
      <c r="X420" s="17">
        <f t="shared" si="30"/>
        <v>45062</v>
      </c>
      <c r="Y420" s="3"/>
    </row>
    <row r="421" spans="1:25" ht="45" customHeight="1">
      <c r="A421" s="3">
        <v>419</v>
      </c>
      <c r="B421" s="13" t="s">
        <v>1841</v>
      </c>
      <c r="C421" s="13" t="s">
        <v>26</v>
      </c>
      <c r="D421" s="13" t="s">
        <v>1842</v>
      </c>
      <c r="E421" s="13" t="s">
        <v>28</v>
      </c>
      <c r="F421" s="13" t="s">
        <v>29</v>
      </c>
      <c r="G421" s="13" t="s">
        <v>30</v>
      </c>
      <c r="H421" s="13" t="s">
        <v>1031</v>
      </c>
      <c r="I421" s="27" t="s">
        <v>365</v>
      </c>
      <c r="J421" s="27" t="s">
        <v>1774</v>
      </c>
      <c r="K421" s="27" t="s">
        <v>34</v>
      </c>
      <c r="L421" s="27" t="s">
        <v>1291</v>
      </c>
      <c r="M421" s="27" t="s">
        <v>1775</v>
      </c>
      <c r="N421" s="17">
        <f t="shared" si="29"/>
        <v>44973</v>
      </c>
      <c r="O421" s="13" t="s">
        <v>1776</v>
      </c>
      <c r="P421" s="13" t="s">
        <v>1154</v>
      </c>
      <c r="Q421" s="13" t="s">
        <v>38</v>
      </c>
      <c r="R421" s="13" t="s">
        <v>365</v>
      </c>
      <c r="S421" s="13" t="s">
        <v>37</v>
      </c>
      <c r="T421" s="28">
        <v>33.6</v>
      </c>
      <c r="U421" s="13" t="s">
        <v>28</v>
      </c>
      <c r="V421" s="13" t="s">
        <v>146</v>
      </c>
      <c r="W421" s="13" t="s">
        <v>30</v>
      </c>
      <c r="X421" s="17">
        <f t="shared" si="30"/>
        <v>45062</v>
      </c>
      <c r="Y421" s="3"/>
    </row>
    <row r="422" spans="1:25" ht="45" customHeight="1">
      <c r="A422" s="3">
        <v>420</v>
      </c>
      <c r="B422" s="13" t="s">
        <v>1843</v>
      </c>
      <c r="C422" s="13" t="s">
        <v>26</v>
      </c>
      <c r="D422" s="13" t="s">
        <v>1844</v>
      </c>
      <c r="E422" s="13" t="s">
        <v>1064</v>
      </c>
      <c r="F422" s="13" t="s">
        <v>29</v>
      </c>
      <c r="G422" s="13" t="s">
        <v>30</v>
      </c>
      <c r="H422" s="13" t="s">
        <v>1031</v>
      </c>
      <c r="I422" s="27" t="s">
        <v>365</v>
      </c>
      <c r="J422" s="27" t="s">
        <v>1774</v>
      </c>
      <c r="K422" s="27" t="s">
        <v>34</v>
      </c>
      <c r="L422" s="27" t="s">
        <v>1291</v>
      </c>
      <c r="M422" s="27" t="s">
        <v>1775</v>
      </c>
      <c r="N422" s="17">
        <f t="shared" si="29"/>
        <v>44973</v>
      </c>
      <c r="O422" s="13" t="s">
        <v>1776</v>
      </c>
      <c r="P422" s="13" t="s">
        <v>1606</v>
      </c>
      <c r="Q422" s="13" t="s">
        <v>38</v>
      </c>
      <c r="R422" s="13" t="s">
        <v>365</v>
      </c>
      <c r="S422" s="13" t="s">
        <v>37</v>
      </c>
      <c r="T422" s="28">
        <v>33.700000000000003</v>
      </c>
      <c r="U422" s="13" t="s">
        <v>365</v>
      </c>
      <c r="V422" s="13" t="s">
        <v>89</v>
      </c>
      <c r="W422" s="13" t="s">
        <v>30</v>
      </c>
      <c r="X422" s="17">
        <f t="shared" si="30"/>
        <v>45062</v>
      </c>
      <c r="Y422" s="3"/>
    </row>
    <row r="423" spans="1:25" ht="45" customHeight="1">
      <c r="A423" s="3">
        <v>421</v>
      </c>
      <c r="B423" s="13" t="s">
        <v>1845</v>
      </c>
      <c r="C423" s="13" t="s">
        <v>26</v>
      </c>
      <c r="D423" s="13" t="s">
        <v>1846</v>
      </c>
      <c r="E423" s="13" t="s">
        <v>1064</v>
      </c>
      <c r="F423" s="13" t="s">
        <v>29</v>
      </c>
      <c r="G423" s="13" t="s">
        <v>537</v>
      </c>
      <c r="H423" s="13" t="s">
        <v>1031</v>
      </c>
      <c r="I423" s="27" t="s">
        <v>365</v>
      </c>
      <c r="J423" s="27" t="s">
        <v>1774</v>
      </c>
      <c r="K423" s="27" t="s">
        <v>34</v>
      </c>
      <c r="L423" s="27" t="s">
        <v>1291</v>
      </c>
      <c r="M423" s="27" t="s">
        <v>1775</v>
      </c>
      <c r="N423" s="17">
        <f t="shared" si="29"/>
        <v>44973</v>
      </c>
      <c r="O423" s="13" t="s">
        <v>1776</v>
      </c>
      <c r="P423" s="13" t="s">
        <v>549</v>
      </c>
      <c r="Q423" s="13" t="s">
        <v>38</v>
      </c>
      <c r="R423" s="13" t="s">
        <v>365</v>
      </c>
      <c r="S423" s="13" t="s">
        <v>64</v>
      </c>
      <c r="T423" s="28">
        <v>33.97</v>
      </c>
      <c r="U423" s="13" t="s">
        <v>365</v>
      </c>
      <c r="V423" s="13" t="s">
        <v>53</v>
      </c>
      <c r="W423" s="13" t="s">
        <v>537</v>
      </c>
      <c r="X423" s="17">
        <f t="shared" si="30"/>
        <v>45062</v>
      </c>
      <c r="Y423" s="3"/>
    </row>
    <row r="424" spans="1:25" ht="45" customHeight="1">
      <c r="A424" s="3">
        <v>422</v>
      </c>
      <c r="B424" s="13" t="s">
        <v>1847</v>
      </c>
      <c r="C424" s="13" t="s">
        <v>26</v>
      </c>
      <c r="D424" s="13" t="s">
        <v>1848</v>
      </c>
      <c r="E424" s="13" t="s">
        <v>1064</v>
      </c>
      <c r="F424" s="13" t="s">
        <v>29</v>
      </c>
      <c r="G424" s="13" t="s">
        <v>62</v>
      </c>
      <c r="H424" s="13" t="s">
        <v>1031</v>
      </c>
      <c r="I424" s="27" t="s">
        <v>365</v>
      </c>
      <c r="J424" s="27" t="s">
        <v>1774</v>
      </c>
      <c r="K424" s="27" t="s">
        <v>34</v>
      </c>
      <c r="L424" s="27" t="s">
        <v>1291</v>
      </c>
      <c r="M424" s="27" t="s">
        <v>1775</v>
      </c>
      <c r="N424" s="17">
        <f t="shared" si="29"/>
        <v>44973</v>
      </c>
      <c r="O424" s="13" t="s">
        <v>1776</v>
      </c>
      <c r="P424" s="13" t="s">
        <v>1816</v>
      </c>
      <c r="Q424" s="13" t="s">
        <v>38</v>
      </c>
      <c r="R424" s="13" t="s">
        <v>365</v>
      </c>
      <c r="S424" s="13" t="s">
        <v>64</v>
      </c>
      <c r="T424" s="28">
        <v>29.52</v>
      </c>
      <c r="U424" s="13" t="s">
        <v>28</v>
      </c>
      <c r="V424" s="13" t="s">
        <v>89</v>
      </c>
      <c r="W424" s="13" t="s">
        <v>62</v>
      </c>
      <c r="X424" s="17">
        <f t="shared" si="30"/>
        <v>45062</v>
      </c>
      <c r="Y424" s="3"/>
    </row>
    <row r="425" spans="1:25" ht="45" customHeight="1">
      <c r="A425" s="3">
        <v>423</v>
      </c>
      <c r="B425" s="13" t="s">
        <v>1849</v>
      </c>
      <c r="C425" s="13" t="s">
        <v>26</v>
      </c>
      <c r="D425" s="13" t="s">
        <v>1850</v>
      </c>
      <c r="E425" s="13" t="s">
        <v>28</v>
      </c>
      <c r="F425" s="13" t="s">
        <v>29</v>
      </c>
      <c r="G425" s="13" t="s">
        <v>85</v>
      </c>
      <c r="H425" s="13" t="s">
        <v>31</v>
      </c>
      <c r="I425" s="27" t="s">
        <v>365</v>
      </c>
      <c r="J425" s="27" t="s">
        <v>1774</v>
      </c>
      <c r="K425" s="27" t="s">
        <v>34</v>
      </c>
      <c r="L425" s="27" t="s">
        <v>1291</v>
      </c>
      <c r="M425" s="27" t="s">
        <v>1775</v>
      </c>
      <c r="N425" s="17">
        <f t="shared" si="29"/>
        <v>44973</v>
      </c>
      <c r="O425" s="13" t="s">
        <v>1776</v>
      </c>
      <c r="P425" s="13" t="s">
        <v>87</v>
      </c>
      <c r="Q425" s="13" t="s">
        <v>38</v>
      </c>
      <c r="R425" s="13" t="s">
        <v>365</v>
      </c>
      <c r="S425" s="13" t="s">
        <v>87</v>
      </c>
      <c r="T425" s="28">
        <v>22.84</v>
      </c>
      <c r="U425" s="13" t="s">
        <v>28</v>
      </c>
      <c r="V425" s="13" t="s">
        <v>53</v>
      </c>
      <c r="W425" s="13" t="s">
        <v>85</v>
      </c>
      <c r="X425" s="17">
        <f t="shared" si="30"/>
        <v>45062</v>
      </c>
      <c r="Y425" s="3"/>
    </row>
    <row r="426" spans="1:25" ht="45" customHeight="1">
      <c r="A426" s="3">
        <v>424</v>
      </c>
      <c r="B426" s="13" t="s">
        <v>1851</v>
      </c>
      <c r="C426" s="13" t="s">
        <v>26</v>
      </c>
      <c r="D426" s="13" t="s">
        <v>1852</v>
      </c>
      <c r="E426" s="13" t="s">
        <v>1064</v>
      </c>
      <c r="F426" s="13" t="s">
        <v>608</v>
      </c>
      <c r="G426" s="13" t="s">
        <v>609</v>
      </c>
      <c r="H426" s="13" t="s">
        <v>406</v>
      </c>
      <c r="I426" s="27" t="s">
        <v>365</v>
      </c>
      <c r="J426" s="27" t="s">
        <v>1774</v>
      </c>
      <c r="K426" s="27" t="s">
        <v>34</v>
      </c>
      <c r="L426" s="27" t="s">
        <v>1291</v>
      </c>
      <c r="M426" s="27" t="s">
        <v>1775</v>
      </c>
      <c r="N426" s="17">
        <f t="shared" si="29"/>
        <v>44973</v>
      </c>
      <c r="O426" s="13" t="s">
        <v>1776</v>
      </c>
      <c r="P426" s="13" t="s">
        <v>607</v>
      </c>
      <c r="Q426" s="13" t="s">
        <v>38</v>
      </c>
      <c r="R426" s="13" t="s">
        <v>365</v>
      </c>
      <c r="S426" s="13" t="s">
        <v>611</v>
      </c>
      <c r="T426" s="28">
        <v>25.74</v>
      </c>
      <c r="U426" s="13" t="s">
        <v>28</v>
      </c>
      <c r="V426" s="13" t="s">
        <v>146</v>
      </c>
      <c r="W426" s="13" t="s">
        <v>609</v>
      </c>
      <c r="X426" s="17">
        <f t="shared" si="30"/>
        <v>45062</v>
      </c>
      <c r="Y426" s="3"/>
    </row>
    <row r="427" spans="1:25" ht="45" customHeight="1">
      <c r="A427" s="3">
        <v>425</v>
      </c>
      <c r="B427" s="13" t="s">
        <v>1853</v>
      </c>
      <c r="C427" s="13" t="s">
        <v>26</v>
      </c>
      <c r="D427" s="13" t="s">
        <v>1854</v>
      </c>
      <c r="E427" s="13" t="s">
        <v>28</v>
      </c>
      <c r="F427" s="13" t="s">
        <v>29</v>
      </c>
      <c r="G427" s="13" t="s">
        <v>48</v>
      </c>
      <c r="H427" s="13" t="s">
        <v>1031</v>
      </c>
      <c r="I427" s="27" t="s">
        <v>365</v>
      </c>
      <c r="J427" s="27" t="s">
        <v>1774</v>
      </c>
      <c r="K427" s="27" t="s">
        <v>34</v>
      </c>
      <c r="L427" s="27" t="s">
        <v>1291</v>
      </c>
      <c r="M427" s="27" t="s">
        <v>1775</v>
      </c>
      <c r="N427" s="17">
        <f t="shared" si="29"/>
        <v>44973</v>
      </c>
      <c r="O427" s="13" t="s">
        <v>1776</v>
      </c>
      <c r="P427" s="13" t="s">
        <v>182</v>
      </c>
      <c r="Q427" s="13" t="s">
        <v>38</v>
      </c>
      <c r="R427" s="13" t="s">
        <v>365</v>
      </c>
      <c r="S427" s="13" t="s">
        <v>52</v>
      </c>
      <c r="T427" s="28">
        <v>32.1</v>
      </c>
      <c r="U427" s="13" t="s">
        <v>28</v>
      </c>
      <c r="V427" s="13" t="s">
        <v>89</v>
      </c>
      <c r="W427" s="13" t="s">
        <v>48</v>
      </c>
      <c r="X427" s="17">
        <f t="shared" si="30"/>
        <v>45062</v>
      </c>
      <c r="Y427" s="3"/>
    </row>
    <row r="428" spans="1:25" ht="45" customHeight="1">
      <c r="A428" s="3">
        <v>426</v>
      </c>
      <c r="B428" s="13" t="s">
        <v>1855</v>
      </c>
      <c r="C428" s="13" t="s">
        <v>26</v>
      </c>
      <c r="D428" s="13" t="s">
        <v>1856</v>
      </c>
      <c r="E428" s="13" t="s">
        <v>1064</v>
      </c>
      <c r="F428" s="13" t="s">
        <v>29</v>
      </c>
      <c r="G428" s="13" t="s">
        <v>85</v>
      </c>
      <c r="H428" s="13" t="s">
        <v>1031</v>
      </c>
      <c r="I428" s="27" t="s">
        <v>365</v>
      </c>
      <c r="J428" s="27" t="s">
        <v>1774</v>
      </c>
      <c r="K428" s="27" t="s">
        <v>34</v>
      </c>
      <c r="L428" s="27" t="s">
        <v>1291</v>
      </c>
      <c r="M428" s="27" t="s">
        <v>1775</v>
      </c>
      <c r="N428" s="17">
        <f t="shared" si="29"/>
        <v>44973</v>
      </c>
      <c r="O428" s="13" t="s">
        <v>1776</v>
      </c>
      <c r="P428" s="13" t="s">
        <v>87</v>
      </c>
      <c r="Q428" s="13" t="s">
        <v>38</v>
      </c>
      <c r="R428" s="13" t="s">
        <v>365</v>
      </c>
      <c r="S428" s="13" t="s">
        <v>87</v>
      </c>
      <c r="T428" s="28">
        <v>45.4</v>
      </c>
      <c r="U428" s="13" t="s">
        <v>365</v>
      </c>
      <c r="V428" s="13" t="s">
        <v>89</v>
      </c>
      <c r="W428" s="13" t="s">
        <v>85</v>
      </c>
      <c r="X428" s="17">
        <f t="shared" si="30"/>
        <v>45062</v>
      </c>
      <c r="Y428" s="3"/>
    </row>
    <row r="429" spans="1:25" ht="45" customHeight="1">
      <c r="A429" s="3">
        <v>427</v>
      </c>
      <c r="B429" s="13" t="s">
        <v>1857</v>
      </c>
      <c r="C429" s="13" t="s">
        <v>26</v>
      </c>
      <c r="D429" s="13" t="s">
        <v>1858</v>
      </c>
      <c r="E429" s="13" t="s">
        <v>1064</v>
      </c>
      <c r="F429" s="13" t="s">
        <v>29</v>
      </c>
      <c r="G429" s="13" t="s">
        <v>43</v>
      </c>
      <c r="H429" s="13" t="s">
        <v>1031</v>
      </c>
      <c r="I429" s="27" t="s">
        <v>365</v>
      </c>
      <c r="J429" s="27" t="s">
        <v>1774</v>
      </c>
      <c r="K429" s="27" t="s">
        <v>34</v>
      </c>
      <c r="L429" s="27" t="s">
        <v>1291</v>
      </c>
      <c r="M429" s="27" t="s">
        <v>1775</v>
      </c>
      <c r="N429" s="17">
        <f t="shared" si="29"/>
        <v>44973</v>
      </c>
      <c r="O429" s="13" t="s">
        <v>1776</v>
      </c>
      <c r="P429" s="13" t="s">
        <v>1095</v>
      </c>
      <c r="Q429" s="13" t="s">
        <v>38</v>
      </c>
      <c r="R429" s="13" t="s">
        <v>365</v>
      </c>
      <c r="S429" s="13" t="s">
        <v>37</v>
      </c>
      <c r="T429" s="28">
        <v>24.12</v>
      </c>
      <c r="U429" s="13" t="s">
        <v>365</v>
      </c>
      <c r="V429" s="13" t="s">
        <v>53</v>
      </c>
      <c r="W429" s="13" t="s">
        <v>43</v>
      </c>
      <c r="X429" s="17">
        <f t="shared" si="30"/>
        <v>45062</v>
      </c>
      <c r="Y429" s="3"/>
    </row>
    <row r="430" spans="1:25" ht="45" customHeight="1">
      <c r="A430" s="3">
        <v>428</v>
      </c>
      <c r="B430" s="13" t="s">
        <v>1859</v>
      </c>
      <c r="C430" s="13" t="s">
        <v>26</v>
      </c>
      <c r="D430" s="13" t="s">
        <v>1860</v>
      </c>
      <c r="E430" s="13" t="s">
        <v>1064</v>
      </c>
      <c r="F430" s="13" t="s">
        <v>29</v>
      </c>
      <c r="G430" s="13" t="s">
        <v>85</v>
      </c>
      <c r="H430" s="13" t="s">
        <v>1031</v>
      </c>
      <c r="I430" s="27" t="s">
        <v>365</v>
      </c>
      <c r="J430" s="27" t="s">
        <v>1774</v>
      </c>
      <c r="K430" s="27" t="s">
        <v>34</v>
      </c>
      <c r="L430" s="27" t="s">
        <v>1291</v>
      </c>
      <c r="M430" s="27" t="s">
        <v>1775</v>
      </c>
      <c r="N430" s="17">
        <f t="shared" si="29"/>
        <v>44973</v>
      </c>
      <c r="O430" s="13" t="s">
        <v>1776</v>
      </c>
      <c r="P430" s="13" t="s">
        <v>87</v>
      </c>
      <c r="Q430" s="13" t="s">
        <v>38</v>
      </c>
      <c r="R430" s="13" t="s">
        <v>365</v>
      </c>
      <c r="S430" s="13" t="s">
        <v>87</v>
      </c>
      <c r="T430" s="28">
        <v>34.68</v>
      </c>
      <c r="U430" s="13" t="s">
        <v>365</v>
      </c>
      <c r="V430" s="13" t="s">
        <v>89</v>
      </c>
      <c r="W430" s="13" t="s">
        <v>85</v>
      </c>
      <c r="X430" s="17">
        <f t="shared" si="30"/>
        <v>45062</v>
      </c>
      <c r="Y430" s="3"/>
    </row>
    <row r="431" spans="1:25" ht="45" customHeight="1">
      <c r="A431" s="3">
        <v>429</v>
      </c>
      <c r="B431" s="13" t="s">
        <v>1861</v>
      </c>
      <c r="C431" s="13" t="s">
        <v>26</v>
      </c>
      <c r="D431" s="13" t="s">
        <v>1862</v>
      </c>
      <c r="E431" s="13" t="s">
        <v>1064</v>
      </c>
      <c r="F431" s="13" t="s">
        <v>29</v>
      </c>
      <c r="G431" s="13" t="s">
        <v>85</v>
      </c>
      <c r="H431" s="13" t="s">
        <v>1031</v>
      </c>
      <c r="I431" s="27" t="s">
        <v>365</v>
      </c>
      <c r="J431" s="27" t="s">
        <v>1774</v>
      </c>
      <c r="K431" s="27" t="s">
        <v>34</v>
      </c>
      <c r="L431" s="27" t="s">
        <v>1291</v>
      </c>
      <c r="M431" s="27" t="s">
        <v>1775</v>
      </c>
      <c r="N431" s="17">
        <f t="shared" si="29"/>
        <v>44973</v>
      </c>
      <c r="O431" s="13" t="s">
        <v>1776</v>
      </c>
      <c r="P431" s="13" t="s">
        <v>230</v>
      </c>
      <c r="Q431" s="13" t="s">
        <v>38</v>
      </c>
      <c r="R431" s="13" t="s">
        <v>365</v>
      </c>
      <c r="S431" s="13" t="s">
        <v>87</v>
      </c>
      <c r="T431" s="28">
        <v>33.36</v>
      </c>
      <c r="U431" s="13" t="s">
        <v>365</v>
      </c>
      <c r="V431" s="13" t="s">
        <v>146</v>
      </c>
      <c r="W431" s="13" t="s">
        <v>85</v>
      </c>
      <c r="X431" s="17">
        <f t="shared" si="30"/>
        <v>45062</v>
      </c>
      <c r="Y431" s="3"/>
    </row>
    <row r="432" spans="1:25" ht="45" customHeight="1">
      <c r="A432" s="3">
        <v>430</v>
      </c>
      <c r="B432" s="13" t="s">
        <v>1863</v>
      </c>
      <c r="C432" s="13" t="s">
        <v>26</v>
      </c>
      <c r="D432" s="13" t="s">
        <v>1864</v>
      </c>
      <c r="E432" s="13" t="s">
        <v>28</v>
      </c>
      <c r="F432" s="13" t="s">
        <v>29</v>
      </c>
      <c r="G432" s="13" t="s">
        <v>30</v>
      </c>
      <c r="H432" s="13" t="s">
        <v>31</v>
      </c>
      <c r="I432" s="27" t="s">
        <v>365</v>
      </c>
      <c r="J432" s="27" t="s">
        <v>1774</v>
      </c>
      <c r="K432" s="27" t="s">
        <v>34</v>
      </c>
      <c r="L432" s="27" t="s">
        <v>1291</v>
      </c>
      <c r="M432" s="27" t="s">
        <v>1775</v>
      </c>
      <c r="N432" s="17">
        <f t="shared" si="29"/>
        <v>44973</v>
      </c>
      <c r="O432" s="13" t="s">
        <v>1776</v>
      </c>
      <c r="P432" s="13" t="s">
        <v>37</v>
      </c>
      <c r="Q432" s="13" t="s">
        <v>38</v>
      </c>
      <c r="R432" s="13" t="s">
        <v>365</v>
      </c>
      <c r="S432" s="13" t="s">
        <v>37</v>
      </c>
      <c r="T432" s="28">
        <v>28.16</v>
      </c>
      <c r="U432" s="13" t="s">
        <v>28</v>
      </c>
      <c r="V432" s="13" t="s">
        <v>40</v>
      </c>
      <c r="W432" s="13" t="s">
        <v>30</v>
      </c>
      <c r="X432" s="17">
        <f t="shared" si="30"/>
        <v>45062</v>
      </c>
      <c r="Y432" s="3"/>
    </row>
    <row r="433" spans="1:25" ht="45" customHeight="1">
      <c r="A433" s="3">
        <v>431</v>
      </c>
      <c r="B433" s="13" t="s">
        <v>1865</v>
      </c>
      <c r="C433" s="13" t="s">
        <v>26</v>
      </c>
      <c r="D433" s="13" t="s">
        <v>1866</v>
      </c>
      <c r="E433" s="13" t="s">
        <v>28</v>
      </c>
      <c r="F433" s="13" t="s">
        <v>29</v>
      </c>
      <c r="G433" s="13" t="s">
        <v>48</v>
      </c>
      <c r="H433" s="13" t="s">
        <v>1031</v>
      </c>
      <c r="I433" s="27" t="s">
        <v>365</v>
      </c>
      <c r="J433" s="27" t="s">
        <v>1774</v>
      </c>
      <c r="K433" s="27" t="s">
        <v>34</v>
      </c>
      <c r="L433" s="27" t="s">
        <v>1291</v>
      </c>
      <c r="M433" s="27" t="s">
        <v>1775</v>
      </c>
      <c r="N433" s="17">
        <f t="shared" si="29"/>
        <v>44973</v>
      </c>
      <c r="O433" s="13" t="s">
        <v>1776</v>
      </c>
      <c r="P433" s="13" t="s">
        <v>52</v>
      </c>
      <c r="Q433" s="13" t="s">
        <v>38</v>
      </c>
      <c r="R433" s="13" t="s">
        <v>365</v>
      </c>
      <c r="S433" s="13" t="s">
        <v>52</v>
      </c>
      <c r="T433" s="28">
        <v>35.21</v>
      </c>
      <c r="U433" s="13" t="s">
        <v>28</v>
      </c>
      <c r="V433" s="13" t="s">
        <v>146</v>
      </c>
      <c r="W433" s="13" t="s">
        <v>48</v>
      </c>
      <c r="X433" s="17">
        <f t="shared" si="30"/>
        <v>45062</v>
      </c>
      <c r="Y433" s="3"/>
    </row>
    <row r="434" spans="1:25" ht="45" customHeight="1">
      <c r="A434" s="3">
        <v>432</v>
      </c>
      <c r="B434" s="13" t="s">
        <v>1867</v>
      </c>
      <c r="C434" s="13" t="s">
        <v>26</v>
      </c>
      <c r="D434" s="13" t="s">
        <v>1868</v>
      </c>
      <c r="E434" s="13" t="s">
        <v>1064</v>
      </c>
      <c r="F434" s="13" t="s">
        <v>29</v>
      </c>
      <c r="G434" s="13" t="s">
        <v>43</v>
      </c>
      <c r="H434" s="13" t="s">
        <v>1031</v>
      </c>
      <c r="I434" s="27" t="s">
        <v>365</v>
      </c>
      <c r="J434" s="27" t="s">
        <v>1774</v>
      </c>
      <c r="K434" s="27" t="s">
        <v>34</v>
      </c>
      <c r="L434" s="27" t="s">
        <v>1291</v>
      </c>
      <c r="M434" s="27" t="s">
        <v>1775</v>
      </c>
      <c r="N434" s="17">
        <f t="shared" si="29"/>
        <v>44973</v>
      </c>
      <c r="O434" s="13" t="s">
        <v>1776</v>
      </c>
      <c r="P434" s="13" t="s">
        <v>37</v>
      </c>
      <c r="Q434" s="13" t="s">
        <v>38</v>
      </c>
      <c r="R434" s="13" t="s">
        <v>365</v>
      </c>
      <c r="S434" s="13" t="s">
        <v>37</v>
      </c>
      <c r="T434" s="28">
        <v>30.91</v>
      </c>
      <c r="U434" s="13" t="s">
        <v>365</v>
      </c>
      <c r="V434" s="13" t="s">
        <v>89</v>
      </c>
      <c r="W434" s="13" t="s">
        <v>43</v>
      </c>
      <c r="X434" s="17">
        <f t="shared" si="30"/>
        <v>45062</v>
      </c>
      <c r="Y434" s="3"/>
    </row>
    <row r="435" spans="1:25" ht="45" customHeight="1">
      <c r="A435" s="3">
        <v>433</v>
      </c>
      <c r="B435" s="13" t="s">
        <v>1869</v>
      </c>
      <c r="C435" s="13" t="s">
        <v>26</v>
      </c>
      <c r="D435" s="13" t="s">
        <v>1870</v>
      </c>
      <c r="E435" s="13" t="s">
        <v>1064</v>
      </c>
      <c r="F435" s="13" t="s">
        <v>29</v>
      </c>
      <c r="G435" s="13" t="s">
        <v>1216</v>
      </c>
      <c r="H435" s="13" t="s">
        <v>1031</v>
      </c>
      <c r="I435" s="27" t="s">
        <v>365</v>
      </c>
      <c r="J435" s="27" t="s">
        <v>1774</v>
      </c>
      <c r="K435" s="27" t="s">
        <v>34</v>
      </c>
      <c r="L435" s="27" t="s">
        <v>1291</v>
      </c>
      <c r="M435" s="27" t="s">
        <v>1775</v>
      </c>
      <c r="N435" s="17">
        <f t="shared" si="29"/>
        <v>44973</v>
      </c>
      <c r="O435" s="13" t="s">
        <v>1776</v>
      </c>
      <c r="P435" s="13" t="s">
        <v>1215</v>
      </c>
      <c r="Q435" s="13" t="s">
        <v>38</v>
      </c>
      <c r="R435" s="13" t="s">
        <v>365</v>
      </c>
      <c r="S435" s="13" t="s">
        <v>1215</v>
      </c>
      <c r="T435" s="28">
        <v>36.090000000000003</v>
      </c>
      <c r="U435" s="13" t="s">
        <v>365</v>
      </c>
      <c r="V435" s="13" t="s">
        <v>146</v>
      </c>
      <c r="W435" s="13" t="s">
        <v>1219</v>
      </c>
      <c r="X435" s="17">
        <f t="shared" si="30"/>
        <v>45062</v>
      </c>
      <c r="Y435" s="3"/>
    </row>
    <row r="436" spans="1:25" ht="45" customHeight="1">
      <c r="A436" s="3">
        <v>434</v>
      </c>
      <c r="B436" s="13" t="s">
        <v>1871</v>
      </c>
      <c r="C436" s="13" t="s">
        <v>26</v>
      </c>
      <c r="D436" s="13" t="s">
        <v>1789</v>
      </c>
      <c r="E436" s="13" t="s">
        <v>28</v>
      </c>
      <c r="F436" s="13" t="s">
        <v>29</v>
      </c>
      <c r="G436" s="13" t="s">
        <v>85</v>
      </c>
      <c r="H436" s="13" t="s">
        <v>1031</v>
      </c>
      <c r="I436" s="27" t="s">
        <v>365</v>
      </c>
      <c r="J436" s="27" t="s">
        <v>1774</v>
      </c>
      <c r="K436" s="27" t="s">
        <v>34</v>
      </c>
      <c r="L436" s="27" t="s">
        <v>1291</v>
      </c>
      <c r="M436" s="27" t="s">
        <v>1775</v>
      </c>
      <c r="N436" s="17">
        <f t="shared" si="29"/>
        <v>44973</v>
      </c>
      <c r="O436" s="13" t="s">
        <v>1776</v>
      </c>
      <c r="P436" s="13" t="s">
        <v>1060</v>
      </c>
      <c r="Q436" s="13" t="s">
        <v>38</v>
      </c>
      <c r="R436" s="13" t="s">
        <v>365</v>
      </c>
      <c r="S436" s="13" t="s">
        <v>87</v>
      </c>
      <c r="T436" s="28">
        <v>33.950000000000003</v>
      </c>
      <c r="U436" s="13" t="s">
        <v>28</v>
      </c>
      <c r="V436" s="13" t="s">
        <v>53</v>
      </c>
      <c r="W436" s="13" t="s">
        <v>85</v>
      </c>
      <c r="X436" s="17">
        <f t="shared" si="30"/>
        <v>45062</v>
      </c>
      <c r="Y436" s="3"/>
    </row>
    <row r="437" spans="1:25" ht="45" customHeight="1">
      <c r="A437" s="3">
        <v>435</v>
      </c>
      <c r="B437" s="13" t="s">
        <v>1872</v>
      </c>
      <c r="C437" s="13" t="s">
        <v>26</v>
      </c>
      <c r="D437" s="13" t="s">
        <v>1873</v>
      </c>
      <c r="E437" s="13" t="s">
        <v>592</v>
      </c>
      <c r="F437" s="13" t="s">
        <v>446</v>
      </c>
      <c r="G437" s="13" t="s">
        <v>860</v>
      </c>
      <c r="H437" s="13" t="s">
        <v>406</v>
      </c>
      <c r="I437" s="27" t="s">
        <v>1874</v>
      </c>
      <c r="J437" s="27" t="s">
        <v>33</v>
      </c>
      <c r="K437" s="27" t="s">
        <v>34</v>
      </c>
      <c r="L437" s="27" t="s">
        <v>35</v>
      </c>
      <c r="M437" s="27" t="s">
        <v>36</v>
      </c>
      <c r="N437" s="17">
        <f>DATE(2023,2,20)</f>
        <v>44977</v>
      </c>
      <c r="O437" s="13" t="s">
        <v>107</v>
      </c>
      <c r="P437" s="13" t="s">
        <v>449</v>
      </c>
      <c r="Q437" s="13" t="s">
        <v>431</v>
      </c>
      <c r="R437" s="13" t="s">
        <v>1875</v>
      </c>
      <c r="S437" s="13" t="s">
        <v>403</v>
      </c>
      <c r="T437" s="28">
        <v>49.57</v>
      </c>
      <c r="U437" s="13" t="s">
        <v>427</v>
      </c>
      <c r="V437" s="13" t="s">
        <v>413</v>
      </c>
      <c r="W437" s="13" t="s">
        <v>860</v>
      </c>
      <c r="X437" s="17">
        <f>DATE(2023,5,5)</f>
        <v>45051</v>
      </c>
      <c r="Y437" s="3"/>
    </row>
    <row r="438" spans="1:25" ht="45" customHeight="1">
      <c r="A438" s="3">
        <v>436</v>
      </c>
      <c r="B438" s="13" t="s">
        <v>1876</v>
      </c>
      <c r="C438" s="13" t="s">
        <v>26</v>
      </c>
      <c r="D438" s="13" t="s">
        <v>1877</v>
      </c>
      <c r="E438" s="13" t="s">
        <v>762</v>
      </c>
      <c r="F438" s="13" t="s">
        <v>706</v>
      </c>
      <c r="G438" s="13" t="s">
        <v>707</v>
      </c>
      <c r="H438" s="13" t="s">
        <v>706</v>
      </c>
      <c r="I438" s="27" t="s">
        <v>1878</v>
      </c>
      <c r="J438" s="27" t="s">
        <v>33</v>
      </c>
      <c r="K438" s="27" t="s">
        <v>34</v>
      </c>
      <c r="L438" s="27" t="s">
        <v>35</v>
      </c>
      <c r="M438" s="27" t="s">
        <v>36</v>
      </c>
      <c r="N438" s="17">
        <f>DATE(2023,2,20)</f>
        <v>44977</v>
      </c>
      <c r="O438" s="13" t="s">
        <v>107</v>
      </c>
      <c r="P438" s="13" t="s">
        <v>709</v>
      </c>
      <c r="Q438" s="13" t="s">
        <v>670</v>
      </c>
      <c r="R438" s="13" t="s">
        <v>1879</v>
      </c>
      <c r="S438" s="13" t="s">
        <v>458</v>
      </c>
      <c r="T438" s="28">
        <v>28.69</v>
      </c>
      <c r="U438" s="13" t="s">
        <v>765</v>
      </c>
      <c r="V438" s="13" t="s">
        <v>89</v>
      </c>
      <c r="W438" s="13" t="s">
        <v>711</v>
      </c>
      <c r="X438" s="17">
        <f>DATE(2023,5,20)</f>
        <v>45066</v>
      </c>
      <c r="Y438" s="3"/>
    </row>
    <row r="439" spans="1:25" ht="45" customHeight="1">
      <c r="A439" s="3">
        <v>437</v>
      </c>
      <c r="B439" s="13" t="s">
        <v>1880</v>
      </c>
      <c r="C439" s="13" t="s">
        <v>103</v>
      </c>
      <c r="D439" s="13" t="s">
        <v>1881</v>
      </c>
      <c r="E439" s="13" t="s">
        <v>660</v>
      </c>
      <c r="F439" s="13" t="s">
        <v>1882</v>
      </c>
      <c r="G439" s="13" t="s">
        <v>1882</v>
      </c>
      <c r="H439" s="13" t="s">
        <v>1883</v>
      </c>
      <c r="I439" s="27" t="s">
        <v>1884</v>
      </c>
      <c r="J439" s="27" t="s">
        <v>33</v>
      </c>
      <c r="K439" s="27" t="s">
        <v>106</v>
      </c>
      <c r="L439" s="27" t="s">
        <v>35</v>
      </c>
      <c r="M439" s="27" t="s">
        <v>36</v>
      </c>
      <c r="N439" s="17">
        <f>DATE(2023,2,20)</f>
        <v>44977</v>
      </c>
      <c r="O439" s="13" t="s">
        <v>107</v>
      </c>
      <c r="P439" s="13" t="s">
        <v>1885</v>
      </c>
      <c r="Q439" s="13" t="s">
        <v>431</v>
      </c>
      <c r="R439" s="13" t="s">
        <v>1886</v>
      </c>
      <c r="S439" s="13" t="s">
        <v>570</v>
      </c>
      <c r="T439" s="28">
        <v>31.25</v>
      </c>
      <c r="U439" s="13" t="s">
        <v>445</v>
      </c>
      <c r="V439" s="13" t="s">
        <v>413</v>
      </c>
      <c r="W439" s="13" t="s">
        <v>1887</v>
      </c>
      <c r="X439" s="17">
        <f>DATE(2023,5,20)</f>
        <v>45066</v>
      </c>
      <c r="Y439" s="3"/>
    </row>
    <row r="440" spans="1:25" ht="45" customHeight="1">
      <c r="A440" s="3">
        <v>438</v>
      </c>
      <c r="B440" s="13" t="s">
        <v>1888</v>
      </c>
      <c r="C440" s="13" t="s">
        <v>103</v>
      </c>
      <c r="D440" s="13" t="s">
        <v>1889</v>
      </c>
      <c r="E440" s="13" t="s">
        <v>427</v>
      </c>
      <c r="F440" s="13" t="s">
        <v>1882</v>
      </c>
      <c r="G440" s="13" t="s">
        <v>1882</v>
      </c>
      <c r="H440" s="13" t="s">
        <v>1883</v>
      </c>
      <c r="I440" s="27" t="s">
        <v>1890</v>
      </c>
      <c r="J440" s="27" t="s">
        <v>33</v>
      </c>
      <c r="K440" s="27" t="s">
        <v>106</v>
      </c>
      <c r="L440" s="27" t="s">
        <v>35</v>
      </c>
      <c r="M440" s="27" t="s">
        <v>36</v>
      </c>
      <c r="N440" s="17">
        <f>DATE(2023,2,20)</f>
        <v>44977</v>
      </c>
      <c r="O440" s="13" t="s">
        <v>107</v>
      </c>
      <c r="P440" s="13" t="s">
        <v>1885</v>
      </c>
      <c r="Q440" s="13" t="s">
        <v>431</v>
      </c>
      <c r="R440" s="13" t="s">
        <v>1891</v>
      </c>
      <c r="S440" s="13" t="s">
        <v>570</v>
      </c>
      <c r="T440" s="28">
        <v>31.56</v>
      </c>
      <c r="U440" s="13" t="s">
        <v>427</v>
      </c>
      <c r="V440" s="13" t="s">
        <v>413</v>
      </c>
      <c r="W440" s="13" t="s">
        <v>1887</v>
      </c>
      <c r="X440" s="17">
        <f>DATE(2023,5,20)</f>
        <v>45066</v>
      </c>
      <c r="Y440" s="3"/>
    </row>
    <row r="441" spans="1:25" ht="45" customHeight="1">
      <c r="A441" s="3">
        <v>439</v>
      </c>
      <c r="B441" s="13" t="s">
        <v>1892</v>
      </c>
      <c r="C441" s="13" t="s">
        <v>103</v>
      </c>
      <c r="D441" s="13" t="s">
        <v>1893</v>
      </c>
      <c r="E441" s="13" t="s">
        <v>461</v>
      </c>
      <c r="F441" s="13" t="s">
        <v>417</v>
      </c>
      <c r="G441" s="13" t="s">
        <v>531</v>
      </c>
      <c r="H441" s="13" t="s">
        <v>419</v>
      </c>
      <c r="I441" s="27" t="s">
        <v>1894</v>
      </c>
      <c r="J441" s="27" t="s">
        <v>33</v>
      </c>
      <c r="K441" s="27" t="s">
        <v>106</v>
      </c>
      <c r="L441" s="27" t="s">
        <v>408</v>
      </c>
      <c r="M441" s="27" t="s">
        <v>409</v>
      </c>
      <c r="N441" s="17">
        <f>DATE(2023,2,27)</f>
        <v>44984</v>
      </c>
      <c r="O441" s="13" t="s">
        <v>107</v>
      </c>
      <c r="P441" s="13" t="s">
        <v>464</v>
      </c>
      <c r="Q441" s="13" t="s">
        <v>465</v>
      </c>
      <c r="R441" s="13" t="s">
        <v>1895</v>
      </c>
      <c r="S441" s="13" t="s">
        <v>423</v>
      </c>
      <c r="T441" s="28">
        <v>43.46</v>
      </c>
      <c r="U441" s="13" t="s">
        <v>461</v>
      </c>
      <c r="V441" s="13" t="s">
        <v>413</v>
      </c>
      <c r="W441" s="13" t="s">
        <v>534</v>
      </c>
      <c r="X441" s="17">
        <f>DATE(2023,5,27)</f>
        <v>45073</v>
      </c>
      <c r="Y441" s="3"/>
    </row>
    <row r="442" spans="1:25" ht="45" customHeight="1">
      <c r="A442" s="3">
        <v>440</v>
      </c>
      <c r="B442" s="13" t="s">
        <v>1896</v>
      </c>
      <c r="C442" s="13" t="s">
        <v>103</v>
      </c>
      <c r="D442" s="13" t="s">
        <v>1897</v>
      </c>
      <c r="E442" s="13" t="s">
        <v>1064</v>
      </c>
      <c r="F442" s="13" t="s">
        <v>29</v>
      </c>
      <c r="G442" s="13" t="s">
        <v>680</v>
      </c>
      <c r="H442" s="13" t="s">
        <v>1031</v>
      </c>
      <c r="I442" s="27" t="s">
        <v>365</v>
      </c>
      <c r="J442" s="27" t="s">
        <v>1898</v>
      </c>
      <c r="K442" s="27" t="s">
        <v>106</v>
      </c>
      <c r="L442" s="27" t="s">
        <v>1899</v>
      </c>
      <c r="M442" s="27" t="s">
        <v>1775</v>
      </c>
      <c r="N442" s="17">
        <f t="shared" ref="N442:N471" si="31">DATE(2023,2,28)</f>
        <v>44985</v>
      </c>
      <c r="O442" s="13" t="s">
        <v>1776</v>
      </c>
      <c r="P442" s="13" t="s">
        <v>52</v>
      </c>
      <c r="Q442" s="13" t="s">
        <v>38</v>
      </c>
      <c r="R442" s="13" t="s">
        <v>365</v>
      </c>
      <c r="S442" s="13" t="s">
        <v>52</v>
      </c>
      <c r="T442" s="28">
        <v>23.45</v>
      </c>
      <c r="U442" s="13" t="s">
        <v>365</v>
      </c>
      <c r="V442" s="13" t="s">
        <v>146</v>
      </c>
      <c r="W442" s="13" t="s">
        <v>683</v>
      </c>
      <c r="X442" s="17">
        <f t="shared" ref="X442:X453" si="32">DATE(2023,5,28)</f>
        <v>45074</v>
      </c>
      <c r="Y442" s="3"/>
    </row>
    <row r="443" spans="1:25" ht="45" customHeight="1">
      <c r="A443" s="3">
        <v>441</v>
      </c>
      <c r="B443" s="13" t="s">
        <v>1900</v>
      </c>
      <c r="C443" s="13" t="s">
        <v>103</v>
      </c>
      <c r="D443" s="13" t="s">
        <v>1901</v>
      </c>
      <c r="E443" s="13" t="s">
        <v>1064</v>
      </c>
      <c r="F443" s="13" t="s">
        <v>29</v>
      </c>
      <c r="G443" s="13" t="s">
        <v>1216</v>
      </c>
      <c r="H443" s="13" t="s">
        <v>1031</v>
      </c>
      <c r="I443" s="27" t="s">
        <v>365</v>
      </c>
      <c r="J443" s="27" t="s">
        <v>1898</v>
      </c>
      <c r="K443" s="27" t="s">
        <v>106</v>
      </c>
      <c r="L443" s="27" t="s">
        <v>1899</v>
      </c>
      <c r="M443" s="27" t="s">
        <v>1775</v>
      </c>
      <c r="N443" s="17">
        <f t="shared" si="31"/>
        <v>44985</v>
      </c>
      <c r="O443" s="13" t="s">
        <v>1776</v>
      </c>
      <c r="P443" s="13" t="s">
        <v>1221</v>
      </c>
      <c r="Q443" s="13" t="s">
        <v>38</v>
      </c>
      <c r="R443" s="13" t="s">
        <v>365</v>
      </c>
      <c r="S443" s="13" t="s">
        <v>1215</v>
      </c>
      <c r="T443" s="28">
        <v>22.24</v>
      </c>
      <c r="U443" s="13" t="s">
        <v>365</v>
      </c>
      <c r="V443" s="13" t="s">
        <v>53</v>
      </c>
      <c r="W443" s="13" t="s">
        <v>1219</v>
      </c>
      <c r="X443" s="17">
        <f t="shared" si="32"/>
        <v>45074</v>
      </c>
      <c r="Y443" s="3"/>
    </row>
    <row r="444" spans="1:25" ht="45" customHeight="1">
      <c r="A444" s="3">
        <v>442</v>
      </c>
      <c r="B444" s="13" t="s">
        <v>1902</v>
      </c>
      <c r="C444" s="13" t="s">
        <v>103</v>
      </c>
      <c r="D444" s="13" t="s">
        <v>1903</v>
      </c>
      <c r="E444" s="13" t="s">
        <v>1064</v>
      </c>
      <c r="F444" s="13" t="s">
        <v>29</v>
      </c>
      <c r="G444" s="13" t="s">
        <v>680</v>
      </c>
      <c r="H444" s="13" t="s">
        <v>1031</v>
      </c>
      <c r="I444" s="27" t="s">
        <v>365</v>
      </c>
      <c r="J444" s="27" t="s">
        <v>1898</v>
      </c>
      <c r="K444" s="27" t="s">
        <v>106</v>
      </c>
      <c r="L444" s="27" t="s">
        <v>1899</v>
      </c>
      <c r="M444" s="27" t="s">
        <v>1775</v>
      </c>
      <c r="N444" s="17">
        <f t="shared" si="31"/>
        <v>44985</v>
      </c>
      <c r="O444" s="13" t="s">
        <v>1776</v>
      </c>
      <c r="P444" s="13" t="s">
        <v>182</v>
      </c>
      <c r="Q444" s="13" t="s">
        <v>38</v>
      </c>
      <c r="R444" s="13" t="s">
        <v>365</v>
      </c>
      <c r="S444" s="13" t="s">
        <v>52</v>
      </c>
      <c r="T444" s="28">
        <v>26.36</v>
      </c>
      <c r="U444" s="13" t="s">
        <v>365</v>
      </c>
      <c r="V444" s="13" t="s">
        <v>89</v>
      </c>
      <c r="W444" s="13" t="s">
        <v>683</v>
      </c>
      <c r="X444" s="17">
        <f t="shared" si="32"/>
        <v>45074</v>
      </c>
      <c r="Y444" s="3"/>
    </row>
    <row r="445" spans="1:25" ht="45" customHeight="1">
      <c r="A445" s="3">
        <v>443</v>
      </c>
      <c r="B445" s="13" t="s">
        <v>1904</v>
      </c>
      <c r="C445" s="13" t="s">
        <v>103</v>
      </c>
      <c r="D445" s="13" t="s">
        <v>1905</v>
      </c>
      <c r="E445" s="13" t="s">
        <v>1064</v>
      </c>
      <c r="F445" s="13" t="s">
        <v>29</v>
      </c>
      <c r="G445" s="13" t="s">
        <v>1216</v>
      </c>
      <c r="H445" s="13" t="s">
        <v>1031</v>
      </c>
      <c r="I445" s="27" t="s">
        <v>365</v>
      </c>
      <c r="J445" s="27" t="s">
        <v>1898</v>
      </c>
      <c r="K445" s="27" t="s">
        <v>106</v>
      </c>
      <c r="L445" s="27" t="s">
        <v>1899</v>
      </c>
      <c r="M445" s="27" t="s">
        <v>1775</v>
      </c>
      <c r="N445" s="17">
        <f t="shared" si="31"/>
        <v>44985</v>
      </c>
      <c r="O445" s="13" t="s">
        <v>1776</v>
      </c>
      <c r="P445" s="13" t="s">
        <v>1231</v>
      </c>
      <c r="Q445" s="13" t="s">
        <v>38</v>
      </c>
      <c r="R445" s="13" t="s">
        <v>365</v>
      </c>
      <c r="S445" s="13" t="s">
        <v>1215</v>
      </c>
      <c r="T445" s="28">
        <v>25.16</v>
      </c>
      <c r="U445" s="13" t="s">
        <v>365</v>
      </c>
      <c r="V445" s="13" t="s">
        <v>89</v>
      </c>
      <c r="W445" s="13" t="s">
        <v>1219</v>
      </c>
      <c r="X445" s="17">
        <f t="shared" si="32"/>
        <v>45074</v>
      </c>
      <c r="Y445" s="3"/>
    </row>
    <row r="446" spans="1:25" ht="45" customHeight="1">
      <c r="A446" s="3">
        <v>444</v>
      </c>
      <c r="B446" s="13" t="s">
        <v>1906</v>
      </c>
      <c r="C446" s="13" t="s">
        <v>103</v>
      </c>
      <c r="D446" s="13" t="s">
        <v>1907</v>
      </c>
      <c r="E446" s="13" t="s">
        <v>1064</v>
      </c>
      <c r="F446" s="13" t="s">
        <v>29</v>
      </c>
      <c r="G446" s="13" t="s">
        <v>537</v>
      </c>
      <c r="H446" s="13" t="s">
        <v>1031</v>
      </c>
      <c r="I446" s="27" t="s">
        <v>365</v>
      </c>
      <c r="J446" s="27" t="s">
        <v>1898</v>
      </c>
      <c r="K446" s="27" t="s">
        <v>106</v>
      </c>
      <c r="L446" s="27" t="s">
        <v>1899</v>
      </c>
      <c r="M446" s="27" t="s">
        <v>1775</v>
      </c>
      <c r="N446" s="17">
        <f t="shared" si="31"/>
        <v>44985</v>
      </c>
      <c r="O446" s="13" t="s">
        <v>1776</v>
      </c>
      <c r="P446" s="13" t="s">
        <v>549</v>
      </c>
      <c r="Q446" s="13" t="s">
        <v>38</v>
      </c>
      <c r="R446" s="13" t="s">
        <v>365</v>
      </c>
      <c r="S446" s="13" t="s">
        <v>64</v>
      </c>
      <c r="T446" s="28">
        <v>22.18</v>
      </c>
      <c r="U446" s="13" t="s">
        <v>365</v>
      </c>
      <c r="V446" s="13" t="s">
        <v>53</v>
      </c>
      <c r="W446" s="13" t="s">
        <v>537</v>
      </c>
      <c r="X446" s="17">
        <f t="shared" si="32"/>
        <v>45074</v>
      </c>
      <c r="Y446" s="3"/>
    </row>
    <row r="447" spans="1:25" ht="45" customHeight="1">
      <c r="A447" s="3">
        <v>445</v>
      </c>
      <c r="B447" s="13" t="s">
        <v>1908</v>
      </c>
      <c r="C447" s="13" t="s">
        <v>103</v>
      </c>
      <c r="D447" s="13" t="s">
        <v>1909</v>
      </c>
      <c r="E447" s="13" t="s">
        <v>1064</v>
      </c>
      <c r="F447" s="13" t="s">
        <v>29</v>
      </c>
      <c r="G447" s="13" t="s">
        <v>1216</v>
      </c>
      <c r="H447" s="13" t="s">
        <v>1031</v>
      </c>
      <c r="I447" s="27" t="s">
        <v>365</v>
      </c>
      <c r="J447" s="27" t="s">
        <v>1898</v>
      </c>
      <c r="K447" s="27" t="s">
        <v>106</v>
      </c>
      <c r="L447" s="27" t="s">
        <v>1899</v>
      </c>
      <c r="M447" s="27" t="s">
        <v>1775</v>
      </c>
      <c r="N447" s="17">
        <f t="shared" si="31"/>
        <v>44985</v>
      </c>
      <c r="O447" s="13" t="s">
        <v>1776</v>
      </c>
      <c r="P447" s="13" t="s">
        <v>1221</v>
      </c>
      <c r="Q447" s="13" t="s">
        <v>38</v>
      </c>
      <c r="R447" s="13" t="s">
        <v>365</v>
      </c>
      <c r="S447" s="13" t="s">
        <v>1215</v>
      </c>
      <c r="T447" s="28">
        <v>26.47</v>
      </c>
      <c r="U447" s="13" t="s">
        <v>365</v>
      </c>
      <c r="V447" s="13" t="s">
        <v>53</v>
      </c>
      <c r="W447" s="13" t="s">
        <v>1219</v>
      </c>
      <c r="X447" s="17">
        <f t="shared" si="32"/>
        <v>45074</v>
      </c>
      <c r="Y447" s="3"/>
    </row>
    <row r="448" spans="1:25" ht="45" customHeight="1">
      <c r="A448" s="3">
        <v>446</v>
      </c>
      <c r="B448" s="13" t="s">
        <v>1910</v>
      </c>
      <c r="C448" s="13" t="s">
        <v>103</v>
      </c>
      <c r="D448" s="13" t="s">
        <v>1911</v>
      </c>
      <c r="E448" s="13" t="s">
        <v>1064</v>
      </c>
      <c r="F448" s="13" t="s">
        <v>29</v>
      </c>
      <c r="G448" s="13" t="s">
        <v>1216</v>
      </c>
      <c r="H448" s="13" t="s">
        <v>1031</v>
      </c>
      <c r="I448" s="27" t="s">
        <v>365</v>
      </c>
      <c r="J448" s="27" t="s">
        <v>1898</v>
      </c>
      <c r="K448" s="27" t="s">
        <v>106</v>
      </c>
      <c r="L448" s="27" t="s">
        <v>1899</v>
      </c>
      <c r="M448" s="27" t="s">
        <v>1775</v>
      </c>
      <c r="N448" s="17">
        <f t="shared" si="31"/>
        <v>44985</v>
      </c>
      <c r="O448" s="13" t="s">
        <v>1776</v>
      </c>
      <c r="P448" s="13" t="s">
        <v>1221</v>
      </c>
      <c r="Q448" s="13" t="s">
        <v>38</v>
      </c>
      <c r="R448" s="13" t="s">
        <v>365</v>
      </c>
      <c r="S448" s="13" t="s">
        <v>1215</v>
      </c>
      <c r="T448" s="28">
        <v>26.3</v>
      </c>
      <c r="U448" s="13" t="s">
        <v>365</v>
      </c>
      <c r="V448" s="13" t="s">
        <v>53</v>
      </c>
      <c r="W448" s="13" t="s">
        <v>1219</v>
      </c>
      <c r="X448" s="17">
        <f t="shared" si="32"/>
        <v>45074</v>
      </c>
      <c r="Y448" s="3"/>
    </row>
    <row r="449" spans="1:25" ht="45" customHeight="1">
      <c r="A449" s="3">
        <v>447</v>
      </c>
      <c r="B449" s="13" t="s">
        <v>1912</v>
      </c>
      <c r="C449" s="13" t="s">
        <v>103</v>
      </c>
      <c r="D449" s="13" t="s">
        <v>1913</v>
      </c>
      <c r="E449" s="13" t="s">
        <v>1064</v>
      </c>
      <c r="F449" s="13" t="s">
        <v>29</v>
      </c>
      <c r="G449" s="13" t="s">
        <v>56</v>
      </c>
      <c r="H449" s="13" t="s">
        <v>1031</v>
      </c>
      <c r="I449" s="27" t="s">
        <v>365</v>
      </c>
      <c r="J449" s="27" t="s">
        <v>1898</v>
      </c>
      <c r="K449" s="27" t="s">
        <v>106</v>
      </c>
      <c r="L449" s="27" t="s">
        <v>1899</v>
      </c>
      <c r="M449" s="27" t="s">
        <v>1775</v>
      </c>
      <c r="N449" s="17">
        <f t="shared" si="31"/>
        <v>44985</v>
      </c>
      <c r="O449" s="13" t="s">
        <v>1776</v>
      </c>
      <c r="P449" s="13" t="s">
        <v>58</v>
      </c>
      <c r="Q449" s="13" t="s">
        <v>38</v>
      </c>
      <c r="R449" s="13" t="s">
        <v>365</v>
      </c>
      <c r="S449" s="13" t="s">
        <v>58</v>
      </c>
      <c r="T449" s="28">
        <v>21.52</v>
      </c>
      <c r="U449" s="13" t="s">
        <v>365</v>
      </c>
      <c r="V449" s="13" t="s">
        <v>53</v>
      </c>
      <c r="W449" s="13" t="s">
        <v>56</v>
      </c>
      <c r="X449" s="17">
        <f t="shared" si="32"/>
        <v>45074</v>
      </c>
      <c r="Y449" s="3"/>
    </row>
    <row r="450" spans="1:25" ht="45" customHeight="1">
      <c r="A450" s="3">
        <v>448</v>
      </c>
      <c r="B450" s="13" t="s">
        <v>1914</v>
      </c>
      <c r="C450" s="13" t="s">
        <v>103</v>
      </c>
      <c r="D450" s="13" t="s">
        <v>1915</v>
      </c>
      <c r="E450" s="13" t="s">
        <v>28</v>
      </c>
      <c r="F450" s="13" t="s">
        <v>29</v>
      </c>
      <c r="G450" s="13" t="s">
        <v>1216</v>
      </c>
      <c r="H450" s="13" t="s">
        <v>1031</v>
      </c>
      <c r="I450" s="27" t="s">
        <v>365</v>
      </c>
      <c r="J450" s="27" t="s">
        <v>1898</v>
      </c>
      <c r="K450" s="27" t="s">
        <v>106</v>
      </c>
      <c r="L450" s="27" t="s">
        <v>1899</v>
      </c>
      <c r="M450" s="27" t="s">
        <v>1775</v>
      </c>
      <c r="N450" s="17">
        <f t="shared" si="31"/>
        <v>44985</v>
      </c>
      <c r="O450" s="13" t="s">
        <v>1776</v>
      </c>
      <c r="P450" s="13" t="s">
        <v>1221</v>
      </c>
      <c r="Q450" s="13" t="s">
        <v>38</v>
      </c>
      <c r="R450" s="13" t="s">
        <v>365</v>
      </c>
      <c r="S450" s="13" t="s">
        <v>1215</v>
      </c>
      <c r="T450" s="28">
        <v>29.35</v>
      </c>
      <c r="U450" s="13" t="s">
        <v>28</v>
      </c>
      <c r="V450" s="13" t="s">
        <v>53</v>
      </c>
      <c r="W450" s="13" t="s">
        <v>1219</v>
      </c>
      <c r="X450" s="17">
        <f t="shared" si="32"/>
        <v>45074</v>
      </c>
      <c r="Y450" s="3"/>
    </row>
    <row r="451" spans="1:25" ht="45" customHeight="1">
      <c r="A451" s="3">
        <v>449</v>
      </c>
      <c r="B451" s="13" t="s">
        <v>1916</v>
      </c>
      <c r="C451" s="13" t="s">
        <v>103</v>
      </c>
      <c r="D451" s="13" t="s">
        <v>1917</v>
      </c>
      <c r="E451" s="13" t="s">
        <v>1064</v>
      </c>
      <c r="F451" s="13" t="s">
        <v>29</v>
      </c>
      <c r="G451" s="13" t="s">
        <v>1216</v>
      </c>
      <c r="H451" s="13" t="s">
        <v>1031</v>
      </c>
      <c r="I451" s="27" t="s">
        <v>365</v>
      </c>
      <c r="J451" s="27" t="s">
        <v>1898</v>
      </c>
      <c r="K451" s="27" t="s">
        <v>106</v>
      </c>
      <c r="L451" s="27" t="s">
        <v>1899</v>
      </c>
      <c r="M451" s="27" t="s">
        <v>1775</v>
      </c>
      <c r="N451" s="17">
        <f t="shared" si="31"/>
        <v>44985</v>
      </c>
      <c r="O451" s="13" t="s">
        <v>1776</v>
      </c>
      <c r="P451" s="13" t="s">
        <v>1221</v>
      </c>
      <c r="Q451" s="13" t="s">
        <v>38</v>
      </c>
      <c r="R451" s="13" t="s">
        <v>365</v>
      </c>
      <c r="S451" s="13" t="s">
        <v>1215</v>
      </c>
      <c r="T451" s="28">
        <v>24.64</v>
      </c>
      <c r="U451" s="13" t="s">
        <v>365</v>
      </c>
      <c r="V451" s="13" t="s">
        <v>53</v>
      </c>
      <c r="W451" s="13" t="s">
        <v>1219</v>
      </c>
      <c r="X451" s="17">
        <f t="shared" si="32"/>
        <v>45074</v>
      </c>
      <c r="Y451" s="3"/>
    </row>
    <row r="452" spans="1:25" ht="45" customHeight="1">
      <c r="A452" s="3">
        <v>450</v>
      </c>
      <c r="B452" s="13" t="s">
        <v>1918</v>
      </c>
      <c r="C452" s="13" t="s">
        <v>103</v>
      </c>
      <c r="D452" s="13" t="s">
        <v>1919</v>
      </c>
      <c r="E452" s="13" t="s">
        <v>1064</v>
      </c>
      <c r="F452" s="13" t="s">
        <v>29</v>
      </c>
      <c r="G452" s="13" t="s">
        <v>1216</v>
      </c>
      <c r="H452" s="13" t="s">
        <v>1031</v>
      </c>
      <c r="I452" s="27" t="s">
        <v>365</v>
      </c>
      <c r="J452" s="27" t="s">
        <v>1898</v>
      </c>
      <c r="K452" s="27" t="s">
        <v>106</v>
      </c>
      <c r="L452" s="27" t="s">
        <v>1899</v>
      </c>
      <c r="M452" s="27" t="s">
        <v>1775</v>
      </c>
      <c r="N452" s="17">
        <f t="shared" si="31"/>
        <v>44985</v>
      </c>
      <c r="O452" s="13" t="s">
        <v>1776</v>
      </c>
      <c r="P452" s="13" t="s">
        <v>1231</v>
      </c>
      <c r="Q452" s="13" t="s">
        <v>38</v>
      </c>
      <c r="R452" s="13" t="s">
        <v>365</v>
      </c>
      <c r="S452" s="13" t="s">
        <v>1215</v>
      </c>
      <c r="T452" s="28">
        <v>32.61</v>
      </c>
      <c r="U452" s="13" t="s">
        <v>365</v>
      </c>
      <c r="V452" s="13" t="s">
        <v>89</v>
      </c>
      <c r="W452" s="13" t="s">
        <v>1219</v>
      </c>
      <c r="X452" s="17">
        <f t="shared" si="32"/>
        <v>45074</v>
      </c>
      <c r="Y452" s="3"/>
    </row>
    <row r="453" spans="1:25" ht="45" customHeight="1">
      <c r="A453" s="3">
        <v>451</v>
      </c>
      <c r="B453" s="13" t="s">
        <v>1920</v>
      </c>
      <c r="C453" s="13" t="s">
        <v>103</v>
      </c>
      <c r="D453" s="13" t="s">
        <v>1921</v>
      </c>
      <c r="E453" s="13" t="s">
        <v>28</v>
      </c>
      <c r="F453" s="13" t="s">
        <v>29</v>
      </c>
      <c r="G453" s="13" t="s">
        <v>79</v>
      </c>
      <c r="H453" s="13" t="s">
        <v>1031</v>
      </c>
      <c r="I453" s="27" t="s">
        <v>365</v>
      </c>
      <c r="J453" s="27" t="s">
        <v>1898</v>
      </c>
      <c r="K453" s="27" t="s">
        <v>106</v>
      </c>
      <c r="L453" s="27" t="s">
        <v>1899</v>
      </c>
      <c r="M453" s="27" t="s">
        <v>1775</v>
      </c>
      <c r="N453" s="17">
        <f t="shared" si="31"/>
        <v>44985</v>
      </c>
      <c r="O453" s="13" t="s">
        <v>1776</v>
      </c>
      <c r="P453" s="13" t="s">
        <v>498</v>
      </c>
      <c r="Q453" s="13" t="s">
        <v>38</v>
      </c>
      <c r="R453" s="13" t="s">
        <v>365</v>
      </c>
      <c r="S453" s="13" t="s">
        <v>81</v>
      </c>
      <c r="T453" s="28">
        <v>25.04</v>
      </c>
      <c r="U453" s="13" t="s">
        <v>28</v>
      </c>
      <c r="V453" s="13" t="s">
        <v>146</v>
      </c>
      <c r="W453" s="13" t="s">
        <v>79</v>
      </c>
      <c r="X453" s="17">
        <f t="shared" si="32"/>
        <v>45074</v>
      </c>
      <c r="Y453" s="3"/>
    </row>
    <row r="454" spans="1:25" ht="45" customHeight="1">
      <c r="A454" s="3">
        <v>452</v>
      </c>
      <c r="B454" s="13" t="s">
        <v>1922</v>
      </c>
      <c r="C454" s="13" t="s">
        <v>103</v>
      </c>
      <c r="D454" s="13" t="s">
        <v>1923</v>
      </c>
      <c r="E454" s="13" t="s">
        <v>1064</v>
      </c>
      <c r="F454" s="13" t="s">
        <v>29</v>
      </c>
      <c r="G454" s="13" t="s">
        <v>1216</v>
      </c>
      <c r="H454" s="13" t="s">
        <v>1031</v>
      </c>
      <c r="I454" s="27" t="s">
        <v>365</v>
      </c>
      <c r="J454" s="27" t="s">
        <v>1898</v>
      </c>
      <c r="K454" s="27" t="s">
        <v>106</v>
      </c>
      <c r="L454" s="27" t="s">
        <v>1899</v>
      </c>
      <c r="M454" s="27" t="s">
        <v>1775</v>
      </c>
      <c r="N454" s="17">
        <f t="shared" si="31"/>
        <v>44985</v>
      </c>
      <c r="O454" s="13" t="s">
        <v>1776</v>
      </c>
      <c r="P454" s="13" t="s">
        <v>1231</v>
      </c>
      <c r="Q454" s="13" t="s">
        <v>38</v>
      </c>
      <c r="R454" s="13" t="s">
        <v>365</v>
      </c>
      <c r="S454" s="13" t="s">
        <v>1215</v>
      </c>
      <c r="T454" s="28">
        <v>22.08</v>
      </c>
      <c r="U454" s="13" t="s">
        <v>365</v>
      </c>
      <c r="V454" s="13" t="s">
        <v>89</v>
      </c>
      <c r="W454" s="13" t="s">
        <v>1219</v>
      </c>
      <c r="X454" s="17">
        <f>DATE(2023,3,28)</f>
        <v>45013</v>
      </c>
      <c r="Y454" s="3"/>
    </row>
    <row r="455" spans="1:25" ht="45" customHeight="1">
      <c r="A455" s="3">
        <v>453</v>
      </c>
      <c r="B455" s="13" t="s">
        <v>1924</v>
      </c>
      <c r="C455" s="13" t="s">
        <v>103</v>
      </c>
      <c r="D455" s="13" t="s">
        <v>1925</v>
      </c>
      <c r="E455" s="13" t="s">
        <v>1064</v>
      </c>
      <c r="F455" s="13" t="s">
        <v>29</v>
      </c>
      <c r="G455" s="13" t="s">
        <v>537</v>
      </c>
      <c r="H455" s="13" t="s">
        <v>1031</v>
      </c>
      <c r="I455" s="27" t="s">
        <v>365</v>
      </c>
      <c r="J455" s="27" t="s">
        <v>1898</v>
      </c>
      <c r="K455" s="27" t="s">
        <v>106</v>
      </c>
      <c r="L455" s="27" t="s">
        <v>1899</v>
      </c>
      <c r="M455" s="27" t="s">
        <v>1775</v>
      </c>
      <c r="N455" s="17">
        <f t="shared" si="31"/>
        <v>44985</v>
      </c>
      <c r="O455" s="13" t="s">
        <v>1776</v>
      </c>
      <c r="P455" s="13" t="s">
        <v>64</v>
      </c>
      <c r="Q455" s="13" t="s">
        <v>38</v>
      </c>
      <c r="R455" s="13" t="s">
        <v>365</v>
      </c>
      <c r="S455" s="13" t="s">
        <v>64</v>
      </c>
      <c r="T455" s="28">
        <v>20.75</v>
      </c>
      <c r="U455" s="13" t="s">
        <v>365</v>
      </c>
      <c r="V455" s="13" t="s">
        <v>146</v>
      </c>
      <c r="W455" s="13" t="s">
        <v>537</v>
      </c>
      <c r="X455" s="17">
        <f t="shared" ref="X455:X464" si="33">DATE(2023,5,28)</f>
        <v>45074</v>
      </c>
      <c r="Y455" s="3"/>
    </row>
    <row r="456" spans="1:25" ht="45" customHeight="1">
      <c r="A456" s="3">
        <v>454</v>
      </c>
      <c r="B456" s="13" t="s">
        <v>1926</v>
      </c>
      <c r="C456" s="13" t="s">
        <v>103</v>
      </c>
      <c r="D456" s="13" t="s">
        <v>1927</v>
      </c>
      <c r="E456" s="13" t="s">
        <v>1064</v>
      </c>
      <c r="F456" s="13" t="s">
        <v>29</v>
      </c>
      <c r="G456" s="13" t="s">
        <v>85</v>
      </c>
      <c r="H456" s="13" t="s">
        <v>1031</v>
      </c>
      <c r="I456" s="27" t="s">
        <v>365</v>
      </c>
      <c r="J456" s="27" t="s">
        <v>1898</v>
      </c>
      <c r="K456" s="27" t="s">
        <v>106</v>
      </c>
      <c r="L456" s="27" t="s">
        <v>1899</v>
      </c>
      <c r="M456" s="27" t="s">
        <v>1775</v>
      </c>
      <c r="N456" s="17">
        <f t="shared" si="31"/>
        <v>44985</v>
      </c>
      <c r="O456" s="13" t="s">
        <v>1776</v>
      </c>
      <c r="P456" s="13" t="s">
        <v>87</v>
      </c>
      <c r="Q456" s="13" t="s">
        <v>38</v>
      </c>
      <c r="R456" s="13" t="s">
        <v>365</v>
      </c>
      <c r="S456" s="13" t="s">
        <v>87</v>
      </c>
      <c r="T456" s="28">
        <v>20.72</v>
      </c>
      <c r="U456" s="13" t="s">
        <v>365</v>
      </c>
      <c r="V456" s="13" t="s">
        <v>89</v>
      </c>
      <c r="W456" s="13" t="s">
        <v>85</v>
      </c>
      <c r="X456" s="17">
        <f t="shared" si="33"/>
        <v>45074</v>
      </c>
      <c r="Y456" s="3"/>
    </row>
    <row r="457" spans="1:25" ht="45" customHeight="1">
      <c r="A457" s="3">
        <v>455</v>
      </c>
      <c r="B457" s="13" t="s">
        <v>1928</v>
      </c>
      <c r="C457" s="13" t="s">
        <v>103</v>
      </c>
      <c r="D457" s="13" t="s">
        <v>1929</v>
      </c>
      <c r="E457" s="13" t="s">
        <v>1064</v>
      </c>
      <c r="F457" s="13" t="s">
        <v>29</v>
      </c>
      <c r="G457" s="13" t="s">
        <v>56</v>
      </c>
      <c r="H457" s="13" t="s">
        <v>1031</v>
      </c>
      <c r="I457" s="27" t="s">
        <v>365</v>
      </c>
      <c r="J457" s="27" t="s">
        <v>1898</v>
      </c>
      <c r="K457" s="27" t="s">
        <v>106</v>
      </c>
      <c r="L457" s="27" t="s">
        <v>1899</v>
      </c>
      <c r="M457" s="27" t="s">
        <v>1775</v>
      </c>
      <c r="N457" s="17">
        <f t="shared" si="31"/>
        <v>44985</v>
      </c>
      <c r="O457" s="13" t="s">
        <v>1776</v>
      </c>
      <c r="P457" s="13" t="s">
        <v>203</v>
      </c>
      <c r="Q457" s="13" t="s">
        <v>38</v>
      </c>
      <c r="R457" s="13" t="s">
        <v>365</v>
      </c>
      <c r="S457" s="13" t="s">
        <v>58</v>
      </c>
      <c r="T457" s="28">
        <v>23.89</v>
      </c>
      <c r="U457" s="13" t="s">
        <v>365</v>
      </c>
      <c r="V457" s="13" t="s">
        <v>89</v>
      </c>
      <c r="W457" s="13" t="s">
        <v>56</v>
      </c>
      <c r="X457" s="17">
        <f t="shared" si="33"/>
        <v>45074</v>
      </c>
      <c r="Y457" s="3"/>
    </row>
    <row r="458" spans="1:25" ht="45" customHeight="1">
      <c r="A458" s="3">
        <v>456</v>
      </c>
      <c r="B458" s="13" t="s">
        <v>1930</v>
      </c>
      <c r="C458" s="13" t="s">
        <v>103</v>
      </c>
      <c r="D458" s="13" t="s">
        <v>1931</v>
      </c>
      <c r="E458" s="13" t="s">
        <v>28</v>
      </c>
      <c r="F458" s="13" t="s">
        <v>29</v>
      </c>
      <c r="G458" s="13" t="s">
        <v>79</v>
      </c>
      <c r="H458" s="13" t="s">
        <v>31</v>
      </c>
      <c r="I458" s="27" t="s">
        <v>365</v>
      </c>
      <c r="J458" s="27" t="s">
        <v>1898</v>
      </c>
      <c r="K458" s="27" t="s">
        <v>106</v>
      </c>
      <c r="L458" s="27" t="s">
        <v>1899</v>
      </c>
      <c r="M458" s="27" t="s">
        <v>1775</v>
      </c>
      <c r="N458" s="17">
        <f t="shared" si="31"/>
        <v>44985</v>
      </c>
      <c r="O458" s="13" t="s">
        <v>1776</v>
      </c>
      <c r="P458" s="13" t="s">
        <v>81</v>
      </c>
      <c r="Q458" s="13" t="s">
        <v>38</v>
      </c>
      <c r="R458" s="13" t="s">
        <v>365</v>
      </c>
      <c r="S458" s="13" t="s">
        <v>81</v>
      </c>
      <c r="T458" s="28">
        <v>29.83</v>
      </c>
      <c r="U458" s="13" t="s">
        <v>28</v>
      </c>
      <c r="V458" s="13" t="s">
        <v>76</v>
      </c>
      <c r="W458" s="13" t="s">
        <v>79</v>
      </c>
      <c r="X458" s="17">
        <f t="shared" si="33"/>
        <v>45074</v>
      </c>
      <c r="Y458" s="3"/>
    </row>
    <row r="459" spans="1:25" ht="45" customHeight="1">
      <c r="A459" s="3">
        <v>457</v>
      </c>
      <c r="B459" s="13" t="s">
        <v>1932</v>
      </c>
      <c r="C459" s="13" t="s">
        <v>103</v>
      </c>
      <c r="D459" s="13" t="s">
        <v>1933</v>
      </c>
      <c r="E459" s="13" t="s">
        <v>1064</v>
      </c>
      <c r="F459" s="13" t="s">
        <v>29</v>
      </c>
      <c r="G459" s="13" t="s">
        <v>1216</v>
      </c>
      <c r="H459" s="13" t="s">
        <v>1031</v>
      </c>
      <c r="I459" s="27" t="s">
        <v>365</v>
      </c>
      <c r="J459" s="27" t="s">
        <v>1898</v>
      </c>
      <c r="K459" s="27" t="s">
        <v>106</v>
      </c>
      <c r="L459" s="27" t="s">
        <v>1899</v>
      </c>
      <c r="M459" s="27" t="s">
        <v>1775</v>
      </c>
      <c r="N459" s="17">
        <f t="shared" si="31"/>
        <v>44985</v>
      </c>
      <c r="O459" s="13" t="s">
        <v>1776</v>
      </c>
      <c r="P459" s="13" t="s">
        <v>1221</v>
      </c>
      <c r="Q459" s="13" t="s">
        <v>38</v>
      </c>
      <c r="R459" s="13" t="s">
        <v>365</v>
      </c>
      <c r="S459" s="13" t="s">
        <v>1215</v>
      </c>
      <c r="T459" s="28">
        <v>21.61</v>
      </c>
      <c r="U459" s="13" t="s">
        <v>365</v>
      </c>
      <c r="V459" s="13" t="s">
        <v>53</v>
      </c>
      <c r="W459" s="13" t="s">
        <v>1219</v>
      </c>
      <c r="X459" s="17">
        <f t="shared" si="33"/>
        <v>45074</v>
      </c>
      <c r="Y459" s="3"/>
    </row>
    <row r="460" spans="1:25" ht="45" customHeight="1">
      <c r="A460" s="3">
        <v>458</v>
      </c>
      <c r="B460" s="13" t="s">
        <v>1934</v>
      </c>
      <c r="C460" s="13" t="s">
        <v>103</v>
      </c>
      <c r="D460" s="13" t="s">
        <v>1935</v>
      </c>
      <c r="E460" s="13" t="s">
        <v>1064</v>
      </c>
      <c r="F460" s="13" t="s">
        <v>29</v>
      </c>
      <c r="G460" s="13" t="s">
        <v>1216</v>
      </c>
      <c r="H460" s="13" t="s">
        <v>1031</v>
      </c>
      <c r="I460" s="27" t="s">
        <v>365</v>
      </c>
      <c r="J460" s="27" t="s">
        <v>1898</v>
      </c>
      <c r="K460" s="27" t="s">
        <v>106</v>
      </c>
      <c r="L460" s="27" t="s">
        <v>1899</v>
      </c>
      <c r="M460" s="27" t="s">
        <v>1775</v>
      </c>
      <c r="N460" s="17">
        <f t="shared" si="31"/>
        <v>44985</v>
      </c>
      <c r="O460" s="13" t="s">
        <v>1776</v>
      </c>
      <c r="P460" s="13" t="s">
        <v>1231</v>
      </c>
      <c r="Q460" s="13" t="s">
        <v>38</v>
      </c>
      <c r="R460" s="13" t="s">
        <v>1936</v>
      </c>
      <c r="S460" s="13" t="s">
        <v>1215</v>
      </c>
      <c r="T460" s="28">
        <v>26.18</v>
      </c>
      <c r="U460" s="13" t="s">
        <v>365</v>
      </c>
      <c r="V460" s="13" t="s">
        <v>89</v>
      </c>
      <c r="W460" s="13" t="s">
        <v>1219</v>
      </c>
      <c r="X460" s="17">
        <f t="shared" si="33"/>
        <v>45074</v>
      </c>
      <c r="Y460" s="3"/>
    </row>
    <row r="461" spans="1:25" ht="45" customHeight="1">
      <c r="A461" s="3">
        <v>459</v>
      </c>
      <c r="B461" s="13" t="s">
        <v>1937</v>
      </c>
      <c r="C461" s="13" t="s">
        <v>103</v>
      </c>
      <c r="D461" s="13" t="s">
        <v>1938</v>
      </c>
      <c r="E461" s="13" t="s">
        <v>1064</v>
      </c>
      <c r="F461" s="13" t="s">
        <v>29</v>
      </c>
      <c r="G461" s="13" t="s">
        <v>1216</v>
      </c>
      <c r="H461" s="13" t="s">
        <v>1031</v>
      </c>
      <c r="I461" s="27" t="s">
        <v>365</v>
      </c>
      <c r="J461" s="27" t="s">
        <v>1898</v>
      </c>
      <c r="K461" s="27" t="s">
        <v>106</v>
      </c>
      <c r="L461" s="27" t="s">
        <v>1899</v>
      </c>
      <c r="M461" s="27" t="s">
        <v>1775</v>
      </c>
      <c r="N461" s="17">
        <f t="shared" si="31"/>
        <v>44985</v>
      </c>
      <c r="O461" s="13" t="s">
        <v>1776</v>
      </c>
      <c r="P461" s="13" t="s">
        <v>1215</v>
      </c>
      <c r="Q461" s="13" t="s">
        <v>38</v>
      </c>
      <c r="R461" s="13" t="s">
        <v>365</v>
      </c>
      <c r="S461" s="13" t="s">
        <v>1215</v>
      </c>
      <c r="T461" s="28">
        <v>24.86</v>
      </c>
      <c r="U461" s="13" t="s">
        <v>365</v>
      </c>
      <c r="V461" s="13" t="s">
        <v>146</v>
      </c>
      <c r="W461" s="13" t="s">
        <v>1219</v>
      </c>
      <c r="X461" s="17">
        <f t="shared" si="33"/>
        <v>45074</v>
      </c>
      <c r="Y461" s="3"/>
    </row>
    <row r="462" spans="1:25" ht="45" customHeight="1">
      <c r="A462" s="3">
        <v>460</v>
      </c>
      <c r="B462" s="13" t="s">
        <v>1939</v>
      </c>
      <c r="C462" s="13" t="s">
        <v>103</v>
      </c>
      <c r="D462" s="13" t="s">
        <v>1940</v>
      </c>
      <c r="E462" s="13" t="s">
        <v>1064</v>
      </c>
      <c r="F462" s="13" t="s">
        <v>29</v>
      </c>
      <c r="G462" s="13" t="s">
        <v>72</v>
      </c>
      <c r="H462" s="13" t="s">
        <v>1031</v>
      </c>
      <c r="I462" s="27" t="s">
        <v>365</v>
      </c>
      <c r="J462" s="27" t="s">
        <v>1898</v>
      </c>
      <c r="K462" s="27" t="s">
        <v>106</v>
      </c>
      <c r="L462" s="27" t="s">
        <v>1899</v>
      </c>
      <c r="M462" s="27" t="s">
        <v>1775</v>
      </c>
      <c r="N462" s="17">
        <f t="shared" si="31"/>
        <v>44985</v>
      </c>
      <c r="O462" s="13" t="s">
        <v>1776</v>
      </c>
      <c r="P462" s="13" t="s">
        <v>1144</v>
      </c>
      <c r="Q462" s="13" t="s">
        <v>38</v>
      </c>
      <c r="R462" s="13" t="s">
        <v>365</v>
      </c>
      <c r="S462" s="13" t="s">
        <v>74</v>
      </c>
      <c r="T462" s="28">
        <v>26.52</v>
      </c>
      <c r="U462" s="13" t="s">
        <v>365</v>
      </c>
      <c r="V462" s="13" t="s">
        <v>53</v>
      </c>
      <c r="W462" s="13" t="s">
        <v>72</v>
      </c>
      <c r="X462" s="17">
        <f t="shared" si="33"/>
        <v>45074</v>
      </c>
      <c r="Y462" s="3"/>
    </row>
    <row r="463" spans="1:25" ht="45" customHeight="1">
      <c r="A463" s="3">
        <v>461</v>
      </c>
      <c r="B463" s="13" t="s">
        <v>1941</v>
      </c>
      <c r="C463" s="13" t="s">
        <v>103</v>
      </c>
      <c r="D463" s="13" t="s">
        <v>1942</v>
      </c>
      <c r="E463" s="13" t="s">
        <v>1064</v>
      </c>
      <c r="F463" s="13" t="s">
        <v>29</v>
      </c>
      <c r="G463" s="13" t="s">
        <v>43</v>
      </c>
      <c r="H463" s="13" t="s">
        <v>1031</v>
      </c>
      <c r="I463" s="27" t="s">
        <v>365</v>
      </c>
      <c r="J463" s="27" t="s">
        <v>1898</v>
      </c>
      <c r="K463" s="27" t="s">
        <v>106</v>
      </c>
      <c r="L463" s="27" t="s">
        <v>1899</v>
      </c>
      <c r="M463" s="27" t="s">
        <v>1775</v>
      </c>
      <c r="N463" s="17">
        <f t="shared" si="31"/>
        <v>44985</v>
      </c>
      <c r="O463" s="13" t="s">
        <v>1776</v>
      </c>
      <c r="P463" s="13" t="s">
        <v>1134</v>
      </c>
      <c r="Q463" s="13" t="s">
        <v>38</v>
      </c>
      <c r="R463" s="13" t="s">
        <v>365</v>
      </c>
      <c r="S463" s="13" t="s">
        <v>37</v>
      </c>
      <c r="T463" s="28">
        <v>29.25</v>
      </c>
      <c r="U463" s="13" t="s">
        <v>365</v>
      </c>
      <c r="V463" s="13" t="s">
        <v>146</v>
      </c>
      <c r="W463" s="13" t="s">
        <v>43</v>
      </c>
      <c r="X463" s="17">
        <f t="shared" si="33"/>
        <v>45074</v>
      </c>
      <c r="Y463" s="3"/>
    </row>
    <row r="464" spans="1:25" ht="45" customHeight="1">
      <c r="A464" s="3">
        <v>462</v>
      </c>
      <c r="B464" s="13" t="s">
        <v>1943</v>
      </c>
      <c r="C464" s="13" t="s">
        <v>103</v>
      </c>
      <c r="D464" s="13" t="s">
        <v>1944</v>
      </c>
      <c r="E464" s="13" t="s">
        <v>28</v>
      </c>
      <c r="F464" s="13" t="s">
        <v>29</v>
      </c>
      <c r="G464" s="13" t="s">
        <v>1216</v>
      </c>
      <c r="H464" s="13" t="s">
        <v>1031</v>
      </c>
      <c r="I464" s="27" t="s">
        <v>365</v>
      </c>
      <c r="J464" s="27" t="s">
        <v>1898</v>
      </c>
      <c r="K464" s="27" t="s">
        <v>106</v>
      </c>
      <c r="L464" s="27" t="s">
        <v>1899</v>
      </c>
      <c r="M464" s="27" t="s">
        <v>1775</v>
      </c>
      <c r="N464" s="17">
        <f t="shared" si="31"/>
        <v>44985</v>
      </c>
      <c r="O464" s="13" t="s">
        <v>1776</v>
      </c>
      <c r="P464" s="13" t="s">
        <v>1215</v>
      </c>
      <c r="Q464" s="13" t="s">
        <v>38</v>
      </c>
      <c r="R464" s="13" t="s">
        <v>365</v>
      </c>
      <c r="S464" s="13" t="s">
        <v>1215</v>
      </c>
      <c r="T464" s="28">
        <v>22.3</v>
      </c>
      <c r="U464" s="13" t="s">
        <v>28</v>
      </c>
      <c r="V464" s="13" t="s">
        <v>146</v>
      </c>
      <c r="W464" s="13" t="s">
        <v>1219</v>
      </c>
      <c r="X464" s="17">
        <f t="shared" si="33"/>
        <v>45074</v>
      </c>
      <c r="Y464" s="3"/>
    </row>
    <row r="465" spans="1:25" ht="45" customHeight="1">
      <c r="A465" s="3">
        <v>463</v>
      </c>
      <c r="B465" s="13" t="s">
        <v>1945</v>
      </c>
      <c r="C465" s="13" t="s">
        <v>103</v>
      </c>
      <c r="D465" s="13" t="s">
        <v>1946</v>
      </c>
      <c r="E465" s="13" t="s">
        <v>1064</v>
      </c>
      <c r="F465" s="13" t="s">
        <v>29</v>
      </c>
      <c r="G465" s="13" t="s">
        <v>72</v>
      </c>
      <c r="H465" s="13" t="s">
        <v>1031</v>
      </c>
      <c r="I465" s="27" t="s">
        <v>365</v>
      </c>
      <c r="J465" s="27" t="s">
        <v>1898</v>
      </c>
      <c r="K465" s="27" t="s">
        <v>106</v>
      </c>
      <c r="L465" s="27" t="s">
        <v>1899</v>
      </c>
      <c r="M465" s="27" t="s">
        <v>1775</v>
      </c>
      <c r="N465" s="17">
        <f t="shared" si="31"/>
        <v>44985</v>
      </c>
      <c r="O465" s="13" t="s">
        <v>1776</v>
      </c>
      <c r="P465" s="13" t="s">
        <v>1100</v>
      </c>
      <c r="Q465" s="13" t="s">
        <v>38</v>
      </c>
      <c r="R465" s="13" t="s">
        <v>365</v>
      </c>
      <c r="S465" s="13" t="s">
        <v>74</v>
      </c>
      <c r="T465" s="28">
        <v>22.8</v>
      </c>
      <c r="U465" s="13" t="s">
        <v>365</v>
      </c>
      <c r="V465" s="13" t="s">
        <v>89</v>
      </c>
      <c r="W465" s="13" t="s">
        <v>72</v>
      </c>
      <c r="X465" s="17">
        <f>DATE(2023,5,27)</f>
        <v>45073</v>
      </c>
      <c r="Y465" s="3"/>
    </row>
    <row r="466" spans="1:25" ht="45" customHeight="1">
      <c r="A466" s="3">
        <v>464</v>
      </c>
      <c r="B466" s="13" t="s">
        <v>1947</v>
      </c>
      <c r="C466" s="13" t="s">
        <v>103</v>
      </c>
      <c r="D466" s="13" t="s">
        <v>1948</v>
      </c>
      <c r="E466" s="13" t="s">
        <v>1064</v>
      </c>
      <c r="F466" s="13" t="s">
        <v>29</v>
      </c>
      <c r="G466" s="13" t="s">
        <v>72</v>
      </c>
      <c r="H466" s="13" t="s">
        <v>1031</v>
      </c>
      <c r="I466" s="27" t="s">
        <v>365</v>
      </c>
      <c r="J466" s="27" t="s">
        <v>1898</v>
      </c>
      <c r="K466" s="27" t="s">
        <v>106</v>
      </c>
      <c r="L466" s="27" t="s">
        <v>1899</v>
      </c>
      <c r="M466" s="27" t="s">
        <v>1775</v>
      </c>
      <c r="N466" s="17">
        <f t="shared" si="31"/>
        <v>44985</v>
      </c>
      <c r="O466" s="13" t="s">
        <v>1776</v>
      </c>
      <c r="P466" s="13" t="s">
        <v>1144</v>
      </c>
      <c r="Q466" s="13" t="s">
        <v>38</v>
      </c>
      <c r="R466" s="13" t="s">
        <v>365</v>
      </c>
      <c r="S466" s="13" t="s">
        <v>74</v>
      </c>
      <c r="T466" s="28">
        <v>21.11</v>
      </c>
      <c r="U466" s="13" t="s">
        <v>365</v>
      </c>
      <c r="V466" s="13" t="s">
        <v>53</v>
      </c>
      <c r="W466" s="13" t="s">
        <v>72</v>
      </c>
      <c r="X466" s="17">
        <f t="shared" ref="X466:X471" si="34">DATE(2023,5,28)</f>
        <v>45074</v>
      </c>
      <c r="Y466" s="3"/>
    </row>
    <row r="467" spans="1:25" ht="45" customHeight="1">
      <c r="A467" s="3">
        <v>465</v>
      </c>
      <c r="B467" s="13" t="s">
        <v>1949</v>
      </c>
      <c r="C467" s="13" t="s">
        <v>103</v>
      </c>
      <c r="D467" s="13" t="s">
        <v>1950</v>
      </c>
      <c r="E467" s="13" t="s">
        <v>28</v>
      </c>
      <c r="F467" s="13" t="s">
        <v>29</v>
      </c>
      <c r="G467" s="13" t="s">
        <v>1216</v>
      </c>
      <c r="H467" s="13" t="s">
        <v>1031</v>
      </c>
      <c r="I467" s="27" t="s">
        <v>365</v>
      </c>
      <c r="J467" s="27" t="s">
        <v>1898</v>
      </c>
      <c r="K467" s="27" t="s">
        <v>106</v>
      </c>
      <c r="L467" s="27" t="s">
        <v>1899</v>
      </c>
      <c r="M467" s="27" t="s">
        <v>1775</v>
      </c>
      <c r="N467" s="17">
        <f t="shared" si="31"/>
        <v>44985</v>
      </c>
      <c r="O467" s="13" t="s">
        <v>1776</v>
      </c>
      <c r="P467" s="13" t="s">
        <v>1221</v>
      </c>
      <c r="Q467" s="13" t="s">
        <v>38</v>
      </c>
      <c r="R467" s="13" t="s">
        <v>365</v>
      </c>
      <c r="S467" s="13" t="s">
        <v>1215</v>
      </c>
      <c r="T467" s="28">
        <v>23.29</v>
      </c>
      <c r="U467" s="13" t="s">
        <v>28</v>
      </c>
      <c r="V467" s="13" t="s">
        <v>53</v>
      </c>
      <c r="W467" s="13" t="s">
        <v>1219</v>
      </c>
      <c r="X467" s="17">
        <f t="shared" si="34"/>
        <v>45074</v>
      </c>
      <c r="Y467" s="3"/>
    </row>
    <row r="468" spans="1:25" ht="45" customHeight="1">
      <c r="A468" s="3">
        <v>466</v>
      </c>
      <c r="B468" s="13" t="s">
        <v>1951</v>
      </c>
      <c r="C468" s="13" t="s">
        <v>103</v>
      </c>
      <c r="D468" s="13" t="s">
        <v>1952</v>
      </c>
      <c r="E468" s="13" t="s">
        <v>1064</v>
      </c>
      <c r="F468" s="13" t="s">
        <v>29</v>
      </c>
      <c r="G468" s="13" t="s">
        <v>85</v>
      </c>
      <c r="H468" s="13" t="s">
        <v>1031</v>
      </c>
      <c r="I468" s="27" t="s">
        <v>365</v>
      </c>
      <c r="J468" s="27" t="s">
        <v>1898</v>
      </c>
      <c r="K468" s="27" t="s">
        <v>106</v>
      </c>
      <c r="L468" s="27" t="s">
        <v>1899</v>
      </c>
      <c r="M468" s="27" t="s">
        <v>1775</v>
      </c>
      <c r="N468" s="17">
        <f t="shared" si="31"/>
        <v>44985</v>
      </c>
      <c r="O468" s="13" t="s">
        <v>1776</v>
      </c>
      <c r="P468" s="13" t="s">
        <v>230</v>
      </c>
      <c r="Q468" s="13" t="s">
        <v>38</v>
      </c>
      <c r="R468" s="13" t="s">
        <v>365</v>
      </c>
      <c r="S468" s="13" t="s">
        <v>87</v>
      </c>
      <c r="T468" s="28">
        <v>27.35</v>
      </c>
      <c r="U468" s="13" t="s">
        <v>365</v>
      </c>
      <c r="V468" s="13" t="s">
        <v>146</v>
      </c>
      <c r="W468" s="13" t="s">
        <v>85</v>
      </c>
      <c r="X468" s="17">
        <f t="shared" si="34"/>
        <v>45074</v>
      </c>
      <c r="Y468" s="3"/>
    </row>
    <row r="469" spans="1:25" ht="45" customHeight="1">
      <c r="A469" s="3">
        <v>467</v>
      </c>
      <c r="B469" s="13" t="s">
        <v>1953</v>
      </c>
      <c r="C469" s="13" t="s">
        <v>103</v>
      </c>
      <c r="D469" s="13" t="s">
        <v>1954</v>
      </c>
      <c r="E469" s="13" t="s">
        <v>28</v>
      </c>
      <c r="F469" s="13" t="s">
        <v>29</v>
      </c>
      <c r="G469" s="13" t="s">
        <v>1216</v>
      </c>
      <c r="H469" s="13" t="s">
        <v>1031</v>
      </c>
      <c r="I469" s="27" t="s">
        <v>365</v>
      </c>
      <c r="J469" s="27" t="s">
        <v>1898</v>
      </c>
      <c r="K469" s="27" t="s">
        <v>106</v>
      </c>
      <c r="L469" s="27" t="s">
        <v>1899</v>
      </c>
      <c r="M469" s="27" t="s">
        <v>1775</v>
      </c>
      <c r="N469" s="17">
        <f t="shared" si="31"/>
        <v>44985</v>
      </c>
      <c r="O469" s="13" t="s">
        <v>1776</v>
      </c>
      <c r="P469" s="13" t="s">
        <v>1215</v>
      </c>
      <c r="Q469" s="13" t="s">
        <v>38</v>
      </c>
      <c r="R469" s="13" t="s">
        <v>365</v>
      </c>
      <c r="S469" s="13" t="s">
        <v>1215</v>
      </c>
      <c r="T469" s="28">
        <v>23.18</v>
      </c>
      <c r="U469" s="13" t="s">
        <v>28</v>
      </c>
      <c r="V469" s="13" t="s">
        <v>146</v>
      </c>
      <c r="W469" s="13" t="s">
        <v>1219</v>
      </c>
      <c r="X469" s="17">
        <f t="shared" si="34"/>
        <v>45074</v>
      </c>
      <c r="Y469" s="3"/>
    </row>
    <row r="470" spans="1:25" ht="45" customHeight="1">
      <c r="A470" s="3">
        <v>468</v>
      </c>
      <c r="B470" s="13" t="s">
        <v>1955</v>
      </c>
      <c r="C470" s="13" t="s">
        <v>103</v>
      </c>
      <c r="D470" s="13" t="s">
        <v>1956</v>
      </c>
      <c r="E470" s="13" t="s">
        <v>28</v>
      </c>
      <c r="F470" s="13" t="s">
        <v>29</v>
      </c>
      <c r="G470" s="13" t="s">
        <v>1216</v>
      </c>
      <c r="H470" s="13" t="s">
        <v>1031</v>
      </c>
      <c r="I470" s="27" t="s">
        <v>365</v>
      </c>
      <c r="J470" s="27" t="s">
        <v>1898</v>
      </c>
      <c r="K470" s="27" t="s">
        <v>106</v>
      </c>
      <c r="L470" s="27" t="s">
        <v>1899</v>
      </c>
      <c r="M470" s="27" t="s">
        <v>1775</v>
      </c>
      <c r="N470" s="17">
        <f t="shared" si="31"/>
        <v>44985</v>
      </c>
      <c r="O470" s="13" t="s">
        <v>1776</v>
      </c>
      <c r="P470" s="13" t="s">
        <v>1231</v>
      </c>
      <c r="Q470" s="13" t="s">
        <v>38</v>
      </c>
      <c r="R470" s="13" t="s">
        <v>1957</v>
      </c>
      <c r="S470" s="13" t="s">
        <v>1215</v>
      </c>
      <c r="T470" s="28">
        <v>21.63</v>
      </c>
      <c r="U470" s="13" t="s">
        <v>28</v>
      </c>
      <c r="V470" s="13" t="s">
        <v>89</v>
      </c>
      <c r="W470" s="13" t="s">
        <v>1219</v>
      </c>
      <c r="X470" s="17">
        <f t="shared" si="34"/>
        <v>45074</v>
      </c>
      <c r="Y470" s="3"/>
    </row>
    <row r="471" spans="1:25" ht="45" customHeight="1">
      <c r="A471" s="3">
        <v>469</v>
      </c>
      <c r="B471" s="13" t="s">
        <v>1958</v>
      </c>
      <c r="C471" s="13" t="s">
        <v>103</v>
      </c>
      <c r="D471" s="13" t="s">
        <v>1959</v>
      </c>
      <c r="E471" s="13" t="s">
        <v>1064</v>
      </c>
      <c r="F471" s="13" t="s">
        <v>29</v>
      </c>
      <c r="G471" s="13" t="s">
        <v>56</v>
      </c>
      <c r="H471" s="13" t="s">
        <v>31</v>
      </c>
      <c r="I471" s="27" t="s">
        <v>365</v>
      </c>
      <c r="J471" s="27" t="s">
        <v>1898</v>
      </c>
      <c r="K471" s="27" t="s">
        <v>106</v>
      </c>
      <c r="L471" s="27" t="s">
        <v>1899</v>
      </c>
      <c r="M471" s="27" t="s">
        <v>1775</v>
      </c>
      <c r="N471" s="17">
        <f t="shared" si="31"/>
        <v>44985</v>
      </c>
      <c r="O471" s="13" t="s">
        <v>1776</v>
      </c>
      <c r="P471" s="13" t="s">
        <v>58</v>
      </c>
      <c r="Q471" s="13" t="s">
        <v>38</v>
      </c>
      <c r="R471" s="13" t="s">
        <v>365</v>
      </c>
      <c r="S471" s="13" t="s">
        <v>58</v>
      </c>
      <c r="T471" s="28">
        <v>24.63</v>
      </c>
      <c r="U471" s="13" t="s">
        <v>28</v>
      </c>
      <c r="V471" s="13" t="s">
        <v>40</v>
      </c>
      <c r="W471" s="13" t="s">
        <v>56</v>
      </c>
      <c r="X471" s="17">
        <f t="shared" si="34"/>
        <v>45074</v>
      </c>
      <c r="Y471" s="3"/>
    </row>
    <row r="472" spans="1:25" ht="45" customHeight="1">
      <c r="A472" s="3">
        <v>470</v>
      </c>
      <c r="B472" s="13" t="s">
        <v>1960</v>
      </c>
      <c r="C472" s="13" t="s">
        <v>103</v>
      </c>
      <c r="D472" s="13" t="s">
        <v>819</v>
      </c>
      <c r="E472" s="13" t="s">
        <v>1961</v>
      </c>
      <c r="F472" s="13" t="s">
        <v>816</v>
      </c>
      <c r="G472" s="13" t="s">
        <v>817</v>
      </c>
      <c r="H472" s="13" t="s">
        <v>817</v>
      </c>
      <c r="I472" s="27" t="s">
        <v>1962</v>
      </c>
      <c r="J472" s="27" t="s">
        <v>33</v>
      </c>
      <c r="K472" s="27" t="s">
        <v>106</v>
      </c>
      <c r="L472" s="27" t="s">
        <v>208</v>
      </c>
      <c r="M472" s="27" t="s">
        <v>209</v>
      </c>
      <c r="N472" s="17">
        <f>DATE(2023,3,6)</f>
        <v>44991</v>
      </c>
      <c r="O472" s="13" t="s">
        <v>107</v>
      </c>
      <c r="P472" s="13" t="s">
        <v>821</v>
      </c>
      <c r="Q472" s="13" t="s">
        <v>411</v>
      </c>
      <c r="R472" s="13" t="s">
        <v>1963</v>
      </c>
      <c r="S472" s="13" t="s">
        <v>821</v>
      </c>
      <c r="T472" s="28">
        <v>43.73</v>
      </c>
      <c r="U472" s="13" t="s">
        <v>1961</v>
      </c>
      <c r="V472" s="13" t="s">
        <v>413</v>
      </c>
      <c r="W472" s="13" t="s">
        <v>817</v>
      </c>
      <c r="X472" s="17">
        <f>DATE(2023,9,6)</f>
        <v>45175</v>
      </c>
      <c r="Y472" s="3"/>
    </row>
    <row r="473" spans="1:25" ht="45" customHeight="1">
      <c r="A473" s="3">
        <v>471</v>
      </c>
      <c r="B473" s="13" t="s">
        <v>1964</v>
      </c>
      <c r="C473" s="13" t="s">
        <v>103</v>
      </c>
      <c r="D473" s="13" t="s">
        <v>1965</v>
      </c>
      <c r="E473" s="13" t="s">
        <v>660</v>
      </c>
      <c r="F473" s="13" t="s">
        <v>744</v>
      </c>
      <c r="G473" s="13" t="s">
        <v>745</v>
      </c>
      <c r="H473" s="13" t="s">
        <v>744</v>
      </c>
      <c r="I473" s="27" t="s">
        <v>1966</v>
      </c>
      <c r="J473" s="27" t="s">
        <v>33</v>
      </c>
      <c r="K473" s="27" t="s">
        <v>106</v>
      </c>
      <c r="L473" s="27" t="s">
        <v>35</v>
      </c>
      <c r="M473" s="27" t="s">
        <v>36</v>
      </c>
      <c r="N473" s="17">
        <f>DATE(2023,3,7)</f>
        <v>44992</v>
      </c>
      <c r="O473" s="13" t="s">
        <v>107</v>
      </c>
      <c r="P473" s="13" t="s">
        <v>456</v>
      </c>
      <c r="Q473" s="13" t="s">
        <v>431</v>
      </c>
      <c r="R473" s="13" t="s">
        <v>1967</v>
      </c>
      <c r="S473" s="13" t="s">
        <v>458</v>
      </c>
      <c r="T473" s="28">
        <v>26.64</v>
      </c>
      <c r="U473" s="13" t="s">
        <v>445</v>
      </c>
      <c r="V473" s="13" t="s">
        <v>413</v>
      </c>
      <c r="W473" s="13" t="s">
        <v>745</v>
      </c>
      <c r="X473" s="17">
        <f>DATE(2023,5,23)</f>
        <v>45069</v>
      </c>
      <c r="Y473" s="3"/>
    </row>
    <row r="474" spans="1:25" ht="45" customHeight="1">
      <c r="A474" s="3">
        <v>472</v>
      </c>
      <c r="B474" s="13" t="s">
        <v>1968</v>
      </c>
      <c r="C474" s="13" t="s">
        <v>26</v>
      </c>
      <c r="D474" s="13" t="s">
        <v>494</v>
      </c>
      <c r="E474" s="13" t="s">
        <v>404</v>
      </c>
      <c r="F474" s="13" t="s">
        <v>491</v>
      </c>
      <c r="G474" s="13" t="s">
        <v>492</v>
      </c>
      <c r="H474" s="13" t="s">
        <v>406</v>
      </c>
      <c r="I474" s="27" t="s">
        <v>1969</v>
      </c>
      <c r="J474" s="27" t="s">
        <v>33</v>
      </c>
      <c r="K474" s="27" t="s">
        <v>34</v>
      </c>
      <c r="L474" s="27" t="s">
        <v>408</v>
      </c>
      <c r="M474" s="27" t="s">
        <v>409</v>
      </c>
      <c r="N474" s="17">
        <f>DATE(2023,3,7)</f>
        <v>44992</v>
      </c>
      <c r="O474" s="13" t="s">
        <v>107</v>
      </c>
      <c r="P474" s="13" t="s">
        <v>496</v>
      </c>
      <c r="Q474" s="13" t="s">
        <v>411</v>
      </c>
      <c r="R474" s="13" t="s">
        <v>1970</v>
      </c>
      <c r="S474" s="13" t="s">
        <v>496</v>
      </c>
      <c r="T474" s="28">
        <v>55.45</v>
      </c>
      <c r="U474" s="13" t="s">
        <v>404</v>
      </c>
      <c r="V474" s="13" t="s">
        <v>413</v>
      </c>
      <c r="W474" s="13" t="s">
        <v>492</v>
      </c>
      <c r="X474" s="17">
        <f>DATE(2023,9,4)</f>
        <v>45173</v>
      </c>
      <c r="Y474" s="3"/>
    </row>
    <row r="475" spans="1:25" ht="45" customHeight="1">
      <c r="A475" s="3">
        <v>473</v>
      </c>
      <c r="B475" s="13" t="s">
        <v>1971</v>
      </c>
      <c r="C475" s="13" t="s">
        <v>26</v>
      </c>
      <c r="D475" s="13" t="s">
        <v>1972</v>
      </c>
      <c r="E475" s="13" t="s">
        <v>762</v>
      </c>
      <c r="F475" s="13" t="s">
        <v>453</v>
      </c>
      <c r="G475" s="13" t="s">
        <v>454</v>
      </c>
      <c r="H475" s="13" t="s">
        <v>453</v>
      </c>
      <c r="I475" s="27" t="s">
        <v>1973</v>
      </c>
      <c r="J475" s="27" t="s">
        <v>33</v>
      </c>
      <c r="K475" s="27" t="s">
        <v>34</v>
      </c>
      <c r="L475" s="27" t="s">
        <v>35</v>
      </c>
      <c r="M475" s="27" t="s">
        <v>36</v>
      </c>
      <c r="N475" s="17">
        <f>DATE(2023,3,13)</f>
        <v>44998</v>
      </c>
      <c r="O475" s="13" t="s">
        <v>107</v>
      </c>
      <c r="P475" s="13" t="s">
        <v>456</v>
      </c>
      <c r="Q475" s="13" t="s">
        <v>670</v>
      </c>
      <c r="R475" s="13" t="s">
        <v>1974</v>
      </c>
      <c r="S475" s="13" t="s">
        <v>458</v>
      </c>
      <c r="T475" s="28">
        <v>25.88</v>
      </c>
      <c r="U475" s="13" t="s">
        <v>765</v>
      </c>
      <c r="V475" s="13" t="s">
        <v>53</v>
      </c>
      <c r="W475" s="13" t="s">
        <v>454</v>
      </c>
      <c r="X475" s="17">
        <f>DATE(2023,5,22)</f>
        <v>45068</v>
      </c>
      <c r="Y475" s="3"/>
    </row>
    <row r="476" spans="1:25" ht="45" customHeight="1">
      <c r="A476" s="3">
        <v>474</v>
      </c>
      <c r="B476" s="13" t="s">
        <v>1975</v>
      </c>
      <c r="C476" s="13" t="s">
        <v>103</v>
      </c>
      <c r="D476" s="13" t="s">
        <v>1976</v>
      </c>
      <c r="E476" s="13" t="s">
        <v>445</v>
      </c>
      <c r="F476" s="13" t="s">
        <v>621</v>
      </c>
      <c r="G476" s="13" t="s">
        <v>621</v>
      </c>
      <c r="H476" s="13" t="s">
        <v>406</v>
      </c>
      <c r="I476" s="27" t="s">
        <v>1977</v>
      </c>
      <c r="J476" s="27" t="s">
        <v>33</v>
      </c>
      <c r="K476" s="27" t="s">
        <v>106</v>
      </c>
      <c r="L476" s="27" t="s">
        <v>35</v>
      </c>
      <c r="M476" s="27" t="s">
        <v>36</v>
      </c>
      <c r="N476" s="17">
        <f>DATE(2023,3,13)</f>
        <v>44998</v>
      </c>
      <c r="O476" s="13" t="s">
        <v>107</v>
      </c>
      <c r="P476" s="13" t="s">
        <v>623</v>
      </c>
      <c r="Q476" s="13" t="s">
        <v>431</v>
      </c>
      <c r="R476" s="13" t="s">
        <v>1978</v>
      </c>
      <c r="S476" s="13" t="s">
        <v>403</v>
      </c>
      <c r="T476" s="28">
        <v>27.95</v>
      </c>
      <c r="U476" s="13" t="s">
        <v>445</v>
      </c>
      <c r="V476" s="13" t="s">
        <v>413</v>
      </c>
      <c r="W476" s="13" t="s">
        <v>625</v>
      </c>
      <c r="X476" s="17">
        <f>DATE(2023,6,13)</f>
        <v>45090</v>
      </c>
      <c r="Y476" s="3"/>
    </row>
    <row r="477" spans="1:25" ht="45" customHeight="1">
      <c r="A477" s="3">
        <v>475</v>
      </c>
      <c r="B477" s="13" t="s">
        <v>1979</v>
      </c>
      <c r="C477" s="13" t="s">
        <v>26</v>
      </c>
      <c r="D477" s="13" t="s">
        <v>1980</v>
      </c>
      <c r="E477" s="13" t="s">
        <v>660</v>
      </c>
      <c r="F477" s="13" t="s">
        <v>428</v>
      </c>
      <c r="G477" s="13" t="s">
        <v>85</v>
      </c>
      <c r="H477" s="13" t="s">
        <v>406</v>
      </c>
      <c r="I477" s="27" t="s">
        <v>1981</v>
      </c>
      <c r="J477" s="27" t="s">
        <v>33</v>
      </c>
      <c r="K477" s="27" t="s">
        <v>34</v>
      </c>
      <c r="L477" s="27" t="s">
        <v>35</v>
      </c>
      <c r="M477" s="27" t="s">
        <v>36</v>
      </c>
      <c r="N477" s="17">
        <f>DATE(2023,3,13)</f>
        <v>44998</v>
      </c>
      <c r="O477" s="13" t="s">
        <v>107</v>
      </c>
      <c r="P477" s="13" t="s">
        <v>430</v>
      </c>
      <c r="Q477" s="13" t="s">
        <v>431</v>
      </c>
      <c r="R477" s="13" t="s">
        <v>1982</v>
      </c>
      <c r="S477" s="13" t="s">
        <v>433</v>
      </c>
      <c r="T477" s="28">
        <v>25.55</v>
      </c>
      <c r="U477" s="13" t="s">
        <v>445</v>
      </c>
      <c r="V477" s="13" t="s">
        <v>413</v>
      </c>
      <c r="W477" s="13" t="s">
        <v>85</v>
      </c>
      <c r="X477" s="17">
        <f>DATE(2023,5,30)</f>
        <v>45076</v>
      </c>
      <c r="Y477" s="3"/>
    </row>
    <row r="478" spans="1:25" ht="45" customHeight="1">
      <c r="A478" s="3">
        <v>476</v>
      </c>
      <c r="B478" s="13" t="s">
        <v>1983</v>
      </c>
      <c r="C478" s="13" t="s">
        <v>26</v>
      </c>
      <c r="D478" s="13" t="s">
        <v>1984</v>
      </c>
      <c r="E478" s="13" t="s">
        <v>762</v>
      </c>
      <c r="F478" s="13" t="s">
        <v>446</v>
      </c>
      <c r="G478" s="13" t="s">
        <v>860</v>
      </c>
      <c r="H478" s="13" t="s">
        <v>406</v>
      </c>
      <c r="I478" s="27" t="s">
        <v>1985</v>
      </c>
      <c r="J478" s="27" t="s">
        <v>33</v>
      </c>
      <c r="K478" s="27" t="s">
        <v>34</v>
      </c>
      <c r="L478" s="27" t="s">
        <v>35</v>
      </c>
      <c r="M478" s="27" t="s">
        <v>36</v>
      </c>
      <c r="N478" s="17">
        <f>DATE(2023,3,13)</f>
        <v>44998</v>
      </c>
      <c r="O478" s="13" t="s">
        <v>107</v>
      </c>
      <c r="P478" s="13" t="s">
        <v>449</v>
      </c>
      <c r="Q478" s="13" t="s">
        <v>670</v>
      </c>
      <c r="R478" s="13" t="s">
        <v>1986</v>
      </c>
      <c r="S478" s="13" t="s">
        <v>449</v>
      </c>
      <c r="T478" s="28">
        <v>30.63</v>
      </c>
      <c r="U478" s="13" t="s">
        <v>765</v>
      </c>
      <c r="V478" s="13" t="s">
        <v>146</v>
      </c>
      <c r="W478" s="13" t="s">
        <v>860</v>
      </c>
      <c r="X478" s="17">
        <f>DATE(2023,6,13)</f>
        <v>45090</v>
      </c>
      <c r="Y478" s="3"/>
    </row>
    <row r="479" spans="1:25" ht="45" customHeight="1">
      <c r="A479" s="3">
        <v>477</v>
      </c>
      <c r="B479" s="13" t="s">
        <v>1987</v>
      </c>
      <c r="C479" s="13" t="s">
        <v>26</v>
      </c>
      <c r="D479" s="13" t="s">
        <v>1988</v>
      </c>
      <c r="E479" s="13" t="s">
        <v>762</v>
      </c>
      <c r="F479" s="13" t="s">
        <v>446</v>
      </c>
      <c r="G479" s="13" t="s">
        <v>860</v>
      </c>
      <c r="H479" s="13" t="s">
        <v>406</v>
      </c>
      <c r="I479" s="27" t="s">
        <v>1989</v>
      </c>
      <c r="J479" s="27" t="s">
        <v>33</v>
      </c>
      <c r="K479" s="27" t="s">
        <v>34</v>
      </c>
      <c r="L479" s="27" t="s">
        <v>35</v>
      </c>
      <c r="M479" s="27" t="s">
        <v>36</v>
      </c>
      <c r="N479" s="17">
        <f>DATE(2023,3,27)</f>
        <v>45012</v>
      </c>
      <c r="O479" s="13" t="s">
        <v>107</v>
      </c>
      <c r="P479" s="13" t="s">
        <v>449</v>
      </c>
      <c r="Q479" s="13" t="s">
        <v>670</v>
      </c>
      <c r="R479" s="13" t="s">
        <v>1990</v>
      </c>
      <c r="S479" s="13" t="s">
        <v>449</v>
      </c>
      <c r="T479" s="28">
        <v>22.94</v>
      </c>
      <c r="U479" s="13" t="s">
        <v>765</v>
      </c>
      <c r="V479" s="13" t="s">
        <v>146</v>
      </c>
      <c r="W479" s="13" t="s">
        <v>860</v>
      </c>
      <c r="X479" s="17">
        <f>DATE(2023,6,27)</f>
        <v>45104</v>
      </c>
      <c r="Y479" s="3"/>
    </row>
    <row r="480" spans="1:25" ht="45" customHeight="1">
      <c r="A480" s="3">
        <v>478</v>
      </c>
      <c r="B480" s="13" t="s">
        <v>1991</v>
      </c>
      <c r="C480" s="13" t="s">
        <v>103</v>
      </c>
      <c r="D480" s="13" t="s">
        <v>1992</v>
      </c>
      <c r="E480" s="13" t="s">
        <v>660</v>
      </c>
      <c r="F480" s="13" t="s">
        <v>521</v>
      </c>
      <c r="G480" s="13" t="s">
        <v>405</v>
      </c>
      <c r="H480" s="13" t="s">
        <v>406</v>
      </c>
      <c r="I480" s="27" t="s">
        <v>1993</v>
      </c>
      <c r="J480" s="27" t="s">
        <v>33</v>
      </c>
      <c r="K480" s="27" t="s">
        <v>106</v>
      </c>
      <c r="L480" s="27" t="s">
        <v>35</v>
      </c>
      <c r="M480" s="27" t="s">
        <v>36</v>
      </c>
      <c r="N480" s="17">
        <f t="shared" ref="N480:N485" si="35">DATE(2023,4,3)</f>
        <v>45019</v>
      </c>
      <c r="O480" s="13" t="s">
        <v>107</v>
      </c>
      <c r="P480" s="13" t="s">
        <v>545</v>
      </c>
      <c r="Q480" s="13" t="s">
        <v>431</v>
      </c>
      <c r="R480" s="13" t="s">
        <v>1994</v>
      </c>
      <c r="S480" s="13" t="s">
        <v>525</v>
      </c>
      <c r="T480" s="28">
        <v>33.18</v>
      </c>
      <c r="U480" s="13" t="s">
        <v>445</v>
      </c>
      <c r="V480" s="13" t="s">
        <v>413</v>
      </c>
      <c r="W480" s="13" t="s">
        <v>405</v>
      </c>
      <c r="X480" s="17">
        <f t="shared" ref="X480:X485" si="36">DATE(2023,7,3)</f>
        <v>45110</v>
      </c>
      <c r="Y480" s="3"/>
    </row>
    <row r="481" spans="1:25" ht="45" customHeight="1">
      <c r="A481" s="3">
        <v>479</v>
      </c>
      <c r="B481" s="13" t="s">
        <v>1995</v>
      </c>
      <c r="C481" s="13" t="s">
        <v>26</v>
      </c>
      <c r="D481" s="13" t="s">
        <v>1996</v>
      </c>
      <c r="E481" s="13" t="s">
        <v>668</v>
      </c>
      <c r="F481" s="13" t="s">
        <v>446</v>
      </c>
      <c r="G481" s="13" t="s">
        <v>615</v>
      </c>
      <c r="H481" s="13" t="s">
        <v>406</v>
      </c>
      <c r="I481" s="27" t="s">
        <v>1997</v>
      </c>
      <c r="J481" s="27" t="s">
        <v>33</v>
      </c>
      <c r="K481" s="27" t="s">
        <v>34</v>
      </c>
      <c r="L481" s="27" t="s">
        <v>35</v>
      </c>
      <c r="M481" s="27" t="s">
        <v>36</v>
      </c>
      <c r="N481" s="17">
        <f t="shared" si="35"/>
        <v>45019</v>
      </c>
      <c r="O481" s="13" t="s">
        <v>107</v>
      </c>
      <c r="P481" s="13" t="s">
        <v>966</v>
      </c>
      <c r="Q481" s="13" t="s">
        <v>670</v>
      </c>
      <c r="R481" s="13" t="s">
        <v>1998</v>
      </c>
      <c r="S481" s="13" t="s">
        <v>449</v>
      </c>
      <c r="T481" s="28">
        <v>30.57</v>
      </c>
      <c r="U481" s="13" t="s">
        <v>668</v>
      </c>
      <c r="V481" s="13" t="s">
        <v>53</v>
      </c>
      <c r="W481" s="13" t="s">
        <v>615</v>
      </c>
      <c r="X481" s="17">
        <f t="shared" si="36"/>
        <v>45110</v>
      </c>
      <c r="Y481" s="3"/>
    </row>
    <row r="482" spans="1:25" ht="45" customHeight="1">
      <c r="A482" s="3">
        <v>480</v>
      </c>
      <c r="B482" s="13" t="s">
        <v>1999</v>
      </c>
      <c r="C482" s="13" t="s">
        <v>26</v>
      </c>
      <c r="D482" s="13" t="s">
        <v>2000</v>
      </c>
      <c r="E482" s="13" t="s">
        <v>668</v>
      </c>
      <c r="F482" s="13" t="s">
        <v>446</v>
      </c>
      <c r="G482" s="13" t="s">
        <v>615</v>
      </c>
      <c r="H482" s="13" t="s">
        <v>406</v>
      </c>
      <c r="I482" s="27" t="s">
        <v>2001</v>
      </c>
      <c r="J482" s="27" t="s">
        <v>33</v>
      </c>
      <c r="K482" s="27" t="s">
        <v>34</v>
      </c>
      <c r="L482" s="27" t="s">
        <v>35</v>
      </c>
      <c r="M482" s="27" t="s">
        <v>36</v>
      </c>
      <c r="N482" s="17">
        <f t="shared" si="35"/>
        <v>45019</v>
      </c>
      <c r="O482" s="13" t="s">
        <v>107</v>
      </c>
      <c r="P482" s="13" t="s">
        <v>862</v>
      </c>
      <c r="Q482" s="13" t="s">
        <v>670</v>
      </c>
      <c r="R482" s="13" t="s">
        <v>2002</v>
      </c>
      <c r="S482" s="13" t="s">
        <v>449</v>
      </c>
      <c r="T482" s="28">
        <v>40.799999999999997</v>
      </c>
      <c r="U482" s="13" t="s">
        <v>668</v>
      </c>
      <c r="V482" s="13" t="s">
        <v>89</v>
      </c>
      <c r="W482" s="13" t="s">
        <v>615</v>
      </c>
      <c r="X482" s="17">
        <f t="shared" si="36"/>
        <v>45110</v>
      </c>
      <c r="Y482" s="3"/>
    </row>
    <row r="483" spans="1:25" ht="45" customHeight="1">
      <c r="A483" s="3">
        <v>481</v>
      </c>
      <c r="B483" s="13" t="s">
        <v>2003</v>
      </c>
      <c r="C483" s="13" t="s">
        <v>26</v>
      </c>
      <c r="D483" s="13" t="s">
        <v>2004</v>
      </c>
      <c r="E483" s="13" t="s">
        <v>762</v>
      </c>
      <c r="F483" s="13" t="s">
        <v>453</v>
      </c>
      <c r="G483" s="13" t="s">
        <v>454</v>
      </c>
      <c r="H483" s="13" t="s">
        <v>453</v>
      </c>
      <c r="I483" s="27" t="s">
        <v>2005</v>
      </c>
      <c r="J483" s="27" t="s">
        <v>33</v>
      </c>
      <c r="K483" s="27" t="s">
        <v>34</v>
      </c>
      <c r="L483" s="27" t="s">
        <v>35</v>
      </c>
      <c r="M483" s="27" t="s">
        <v>36</v>
      </c>
      <c r="N483" s="17">
        <f t="shared" si="35"/>
        <v>45019</v>
      </c>
      <c r="O483" s="13" t="s">
        <v>107</v>
      </c>
      <c r="P483" s="13" t="s">
        <v>456</v>
      </c>
      <c r="Q483" s="13" t="s">
        <v>670</v>
      </c>
      <c r="R483" s="13" t="s">
        <v>2006</v>
      </c>
      <c r="S483" s="13" t="s">
        <v>458</v>
      </c>
      <c r="T483" s="28">
        <v>30.42</v>
      </c>
      <c r="U483" s="13" t="s">
        <v>765</v>
      </c>
      <c r="V483" s="13" t="s">
        <v>53</v>
      </c>
      <c r="W483" s="13" t="s">
        <v>454</v>
      </c>
      <c r="X483" s="17">
        <f t="shared" si="36"/>
        <v>45110</v>
      </c>
      <c r="Y483" s="3"/>
    </row>
    <row r="484" spans="1:25" ht="45" customHeight="1">
      <c r="A484" s="3">
        <v>482</v>
      </c>
      <c r="B484" s="13" t="s">
        <v>2007</v>
      </c>
      <c r="C484" s="13" t="s">
        <v>26</v>
      </c>
      <c r="D484" s="13" t="s">
        <v>2008</v>
      </c>
      <c r="E484" s="13" t="s">
        <v>762</v>
      </c>
      <c r="F484" s="13" t="s">
        <v>453</v>
      </c>
      <c r="G484" s="13" t="s">
        <v>454</v>
      </c>
      <c r="H484" s="13" t="s">
        <v>453</v>
      </c>
      <c r="I484" s="27" t="s">
        <v>2009</v>
      </c>
      <c r="J484" s="27" t="s">
        <v>33</v>
      </c>
      <c r="K484" s="27" t="s">
        <v>34</v>
      </c>
      <c r="L484" s="27" t="s">
        <v>35</v>
      </c>
      <c r="M484" s="27" t="s">
        <v>36</v>
      </c>
      <c r="N484" s="17">
        <f t="shared" si="35"/>
        <v>45019</v>
      </c>
      <c r="O484" s="13" t="s">
        <v>107</v>
      </c>
      <c r="P484" s="13" t="s">
        <v>456</v>
      </c>
      <c r="Q484" s="13" t="s">
        <v>670</v>
      </c>
      <c r="R484" s="13" t="s">
        <v>2010</v>
      </c>
      <c r="S484" s="13" t="s">
        <v>458</v>
      </c>
      <c r="T484" s="28">
        <v>27.72</v>
      </c>
      <c r="U484" s="13" t="s">
        <v>765</v>
      </c>
      <c r="V484" s="13" t="s">
        <v>89</v>
      </c>
      <c r="W484" s="13" t="s">
        <v>454</v>
      </c>
      <c r="X484" s="17">
        <f t="shared" si="36"/>
        <v>45110</v>
      </c>
      <c r="Y484" s="3"/>
    </row>
    <row r="485" spans="1:25" ht="45" customHeight="1">
      <c r="A485" s="3">
        <v>483</v>
      </c>
      <c r="B485" s="13" t="s">
        <v>2011</v>
      </c>
      <c r="C485" s="13" t="s">
        <v>26</v>
      </c>
      <c r="D485" s="13" t="s">
        <v>2012</v>
      </c>
      <c r="E485" s="13" t="s">
        <v>762</v>
      </c>
      <c r="F485" s="13" t="s">
        <v>453</v>
      </c>
      <c r="G485" s="13" t="s">
        <v>454</v>
      </c>
      <c r="H485" s="13" t="s">
        <v>453</v>
      </c>
      <c r="I485" s="27" t="s">
        <v>2013</v>
      </c>
      <c r="J485" s="27" t="s">
        <v>33</v>
      </c>
      <c r="K485" s="27" t="s">
        <v>34</v>
      </c>
      <c r="L485" s="27" t="s">
        <v>35</v>
      </c>
      <c r="M485" s="27" t="s">
        <v>36</v>
      </c>
      <c r="N485" s="17">
        <f t="shared" si="35"/>
        <v>45019</v>
      </c>
      <c r="O485" s="13" t="s">
        <v>107</v>
      </c>
      <c r="P485" s="13" t="s">
        <v>456</v>
      </c>
      <c r="Q485" s="13" t="s">
        <v>670</v>
      </c>
      <c r="R485" s="13" t="s">
        <v>2014</v>
      </c>
      <c r="S485" s="13" t="s">
        <v>458</v>
      </c>
      <c r="T485" s="28">
        <v>31.87</v>
      </c>
      <c r="U485" s="13" t="s">
        <v>765</v>
      </c>
      <c r="V485" s="13" t="s">
        <v>146</v>
      </c>
      <c r="W485" s="13" t="s">
        <v>454</v>
      </c>
      <c r="X485" s="17">
        <f t="shared" si="36"/>
        <v>45110</v>
      </c>
      <c r="Y485" s="3"/>
    </row>
    <row r="486" spans="1:25" ht="45" customHeight="1">
      <c r="A486" s="3">
        <v>484</v>
      </c>
      <c r="B486" s="13" t="s">
        <v>2015</v>
      </c>
      <c r="C486" s="13" t="s">
        <v>103</v>
      </c>
      <c r="D486" s="13" t="s">
        <v>2016</v>
      </c>
      <c r="E486" s="13" t="s">
        <v>620</v>
      </c>
      <c r="F486" s="13" t="s">
        <v>687</v>
      </c>
      <c r="G486" s="13" t="s">
        <v>687</v>
      </c>
      <c r="H486" s="13" t="s">
        <v>406</v>
      </c>
      <c r="I486" s="27" t="s">
        <v>2017</v>
      </c>
      <c r="J486" s="27" t="s">
        <v>33</v>
      </c>
      <c r="K486" s="27" t="s">
        <v>106</v>
      </c>
      <c r="L486" s="27" t="s">
        <v>408</v>
      </c>
      <c r="M486" s="27" t="s">
        <v>409</v>
      </c>
      <c r="N486" s="17">
        <f>DATE(2023,4,10)</f>
        <v>45026</v>
      </c>
      <c r="O486" s="13" t="s">
        <v>107</v>
      </c>
      <c r="P486" s="13" t="s">
        <v>689</v>
      </c>
      <c r="Q486" s="13" t="s">
        <v>465</v>
      </c>
      <c r="R486" s="13" t="s">
        <v>2018</v>
      </c>
      <c r="S486" s="13" t="s">
        <v>403</v>
      </c>
      <c r="T486" s="28">
        <v>30.64</v>
      </c>
      <c r="U486" s="13" t="s">
        <v>620</v>
      </c>
      <c r="V486" s="13" t="s">
        <v>413</v>
      </c>
      <c r="W486" s="13" t="s">
        <v>691</v>
      </c>
      <c r="X486" s="17">
        <f>DATE(2023,6,22)</f>
        <v>45099</v>
      </c>
      <c r="Y486" s="3"/>
    </row>
    <row r="487" spans="1:25" ht="45" customHeight="1">
      <c r="A487" s="3">
        <v>485</v>
      </c>
      <c r="B487" s="13" t="s">
        <v>2019</v>
      </c>
      <c r="C487" s="13" t="s">
        <v>26</v>
      </c>
      <c r="D487" s="13" t="s">
        <v>2020</v>
      </c>
      <c r="E487" s="13" t="s">
        <v>762</v>
      </c>
      <c r="F487" s="13" t="s">
        <v>453</v>
      </c>
      <c r="G487" s="13" t="s">
        <v>454</v>
      </c>
      <c r="H487" s="13" t="s">
        <v>453</v>
      </c>
      <c r="I487" s="27" t="s">
        <v>2021</v>
      </c>
      <c r="J487" s="27" t="s">
        <v>33</v>
      </c>
      <c r="K487" s="27" t="s">
        <v>34</v>
      </c>
      <c r="L487" s="27" t="s">
        <v>35</v>
      </c>
      <c r="M487" s="27" t="s">
        <v>36</v>
      </c>
      <c r="N487" s="17">
        <f>DATE(2023,4,10)</f>
        <v>45026</v>
      </c>
      <c r="O487" s="13" t="s">
        <v>107</v>
      </c>
      <c r="P487" s="13" t="s">
        <v>456</v>
      </c>
      <c r="Q487" s="13" t="s">
        <v>670</v>
      </c>
      <c r="R487" s="13" t="s">
        <v>2022</v>
      </c>
      <c r="S487" s="13" t="s">
        <v>458</v>
      </c>
      <c r="T487" s="28">
        <v>27.42</v>
      </c>
      <c r="U487" s="13" t="s">
        <v>765</v>
      </c>
      <c r="V487" s="13" t="s">
        <v>53</v>
      </c>
      <c r="W487" s="13" t="s">
        <v>454</v>
      </c>
      <c r="X487" s="17">
        <f>DATE(2023,7,10)</f>
        <v>45117</v>
      </c>
      <c r="Y487" s="3"/>
    </row>
    <row r="488" spans="1:25" ht="45" customHeight="1">
      <c r="A488" s="3">
        <v>486</v>
      </c>
      <c r="B488" s="13" t="s">
        <v>2023</v>
      </c>
      <c r="C488" s="13" t="s">
        <v>26</v>
      </c>
      <c r="D488" s="13" t="s">
        <v>2024</v>
      </c>
      <c r="E488" s="13" t="s">
        <v>762</v>
      </c>
      <c r="F488" s="13" t="s">
        <v>446</v>
      </c>
      <c r="G488" s="13" t="s">
        <v>860</v>
      </c>
      <c r="H488" s="13" t="s">
        <v>406</v>
      </c>
      <c r="I488" s="27" t="s">
        <v>2025</v>
      </c>
      <c r="J488" s="27" t="s">
        <v>33</v>
      </c>
      <c r="K488" s="27" t="s">
        <v>34</v>
      </c>
      <c r="L488" s="27" t="s">
        <v>35</v>
      </c>
      <c r="M488" s="27" t="s">
        <v>36</v>
      </c>
      <c r="N488" s="17">
        <f>DATE(2023,4,10)</f>
        <v>45026</v>
      </c>
      <c r="O488" s="13" t="s">
        <v>107</v>
      </c>
      <c r="P488" s="13" t="s">
        <v>966</v>
      </c>
      <c r="Q488" s="13" t="s">
        <v>670</v>
      </c>
      <c r="R488" s="13" t="s">
        <v>2026</v>
      </c>
      <c r="S488" s="13" t="s">
        <v>449</v>
      </c>
      <c r="T488" s="28">
        <v>24.71</v>
      </c>
      <c r="U488" s="13" t="s">
        <v>765</v>
      </c>
      <c r="V488" s="13" t="s">
        <v>53</v>
      </c>
      <c r="W488" s="13" t="s">
        <v>860</v>
      </c>
      <c r="X488" s="17">
        <f>DATE(2023,7,10)</f>
        <v>45117</v>
      </c>
      <c r="Y488" s="3"/>
    </row>
    <row r="489" spans="1:25" ht="45" customHeight="1">
      <c r="A489" s="3">
        <v>487</v>
      </c>
      <c r="B489" s="13" t="s">
        <v>2027</v>
      </c>
      <c r="C489" s="13" t="s">
        <v>26</v>
      </c>
      <c r="D489" s="13" t="s">
        <v>2028</v>
      </c>
      <c r="E489" s="13" t="s">
        <v>762</v>
      </c>
      <c r="F489" s="13" t="s">
        <v>446</v>
      </c>
      <c r="G489" s="13" t="s">
        <v>860</v>
      </c>
      <c r="H489" s="13" t="s">
        <v>406</v>
      </c>
      <c r="I489" s="27" t="s">
        <v>2029</v>
      </c>
      <c r="J489" s="27" t="s">
        <v>33</v>
      </c>
      <c r="K489" s="27" t="s">
        <v>34</v>
      </c>
      <c r="L489" s="27" t="s">
        <v>35</v>
      </c>
      <c r="M489" s="27" t="s">
        <v>36</v>
      </c>
      <c r="N489" s="17">
        <f>DATE(2023,4,17)</f>
        <v>45033</v>
      </c>
      <c r="O489" s="13" t="s">
        <v>107</v>
      </c>
      <c r="P489" s="13" t="s">
        <v>449</v>
      </c>
      <c r="Q489" s="13" t="s">
        <v>670</v>
      </c>
      <c r="R489" s="13" t="s">
        <v>2030</v>
      </c>
      <c r="S489" s="13" t="s">
        <v>449</v>
      </c>
      <c r="T489" s="28">
        <v>29.66</v>
      </c>
      <c r="U489" s="13" t="s">
        <v>765</v>
      </c>
      <c r="V489" s="13" t="s">
        <v>146</v>
      </c>
      <c r="W489" s="13" t="s">
        <v>860</v>
      </c>
      <c r="X489" s="17">
        <f>DATE(2023,7,17)</f>
        <v>45124</v>
      </c>
      <c r="Y489" s="3"/>
    </row>
    <row r="490" spans="1:25" ht="45" customHeight="1">
      <c r="A490" s="3">
        <v>488</v>
      </c>
      <c r="B490" s="13" t="s">
        <v>2031</v>
      </c>
      <c r="C490" s="13" t="s">
        <v>103</v>
      </c>
      <c r="D490" s="13" t="s">
        <v>2032</v>
      </c>
      <c r="E490" s="13" t="s">
        <v>28</v>
      </c>
      <c r="F490" s="13" t="s">
        <v>29</v>
      </c>
      <c r="G490" s="13" t="s">
        <v>1216</v>
      </c>
      <c r="H490" s="13" t="s">
        <v>1031</v>
      </c>
      <c r="I490" s="27" t="s">
        <v>365</v>
      </c>
      <c r="J490" s="27" t="s">
        <v>1898</v>
      </c>
      <c r="K490" s="27" t="s">
        <v>106</v>
      </c>
      <c r="L490" s="27" t="s">
        <v>1899</v>
      </c>
      <c r="M490" s="27" t="s">
        <v>1775</v>
      </c>
      <c r="N490" s="17">
        <f t="shared" ref="N490:N509" si="37">DATE(2023,4,28)</f>
        <v>45044</v>
      </c>
      <c r="O490" s="13" t="s">
        <v>1776</v>
      </c>
      <c r="P490" s="13" t="s">
        <v>1221</v>
      </c>
      <c r="Q490" s="13" t="s">
        <v>38</v>
      </c>
      <c r="R490" s="13" t="s">
        <v>365</v>
      </c>
      <c r="S490" s="13" t="s">
        <v>1215</v>
      </c>
      <c r="T490" s="28">
        <v>29.26</v>
      </c>
      <c r="U490" s="13" t="s">
        <v>28</v>
      </c>
      <c r="V490" s="13" t="s">
        <v>53</v>
      </c>
      <c r="W490" s="13" t="s">
        <v>1219</v>
      </c>
      <c r="X490" s="17">
        <f t="shared" ref="X490:X497" si="38">DATE(2023,7,28)</f>
        <v>45135</v>
      </c>
      <c r="Y490" s="3"/>
    </row>
    <row r="491" spans="1:25" ht="45" customHeight="1">
      <c r="A491" s="3">
        <v>489</v>
      </c>
      <c r="B491" s="13" t="s">
        <v>2033</v>
      </c>
      <c r="C491" s="13" t="s">
        <v>103</v>
      </c>
      <c r="D491" s="13" t="s">
        <v>2034</v>
      </c>
      <c r="E491" s="13" t="s">
        <v>1064</v>
      </c>
      <c r="F491" s="13" t="s">
        <v>29</v>
      </c>
      <c r="G491" s="13" t="s">
        <v>1216</v>
      </c>
      <c r="H491" s="13" t="s">
        <v>1031</v>
      </c>
      <c r="I491" s="27" t="s">
        <v>365</v>
      </c>
      <c r="J491" s="27" t="s">
        <v>1898</v>
      </c>
      <c r="K491" s="27" t="s">
        <v>106</v>
      </c>
      <c r="L491" s="27" t="s">
        <v>1899</v>
      </c>
      <c r="M491" s="27" t="s">
        <v>1775</v>
      </c>
      <c r="N491" s="17">
        <f t="shared" si="37"/>
        <v>45044</v>
      </c>
      <c r="O491" s="13" t="s">
        <v>1776</v>
      </c>
      <c r="P491" s="13" t="s">
        <v>1221</v>
      </c>
      <c r="Q491" s="13" t="s">
        <v>38</v>
      </c>
      <c r="R491" s="13" t="s">
        <v>365</v>
      </c>
      <c r="S491" s="13" t="s">
        <v>1215</v>
      </c>
      <c r="T491" s="28">
        <v>23.24</v>
      </c>
      <c r="U491" s="13" t="s">
        <v>365</v>
      </c>
      <c r="V491" s="13" t="s">
        <v>53</v>
      </c>
      <c r="W491" s="13" t="s">
        <v>1219</v>
      </c>
      <c r="X491" s="17">
        <f t="shared" si="38"/>
        <v>45135</v>
      </c>
      <c r="Y491" s="3"/>
    </row>
    <row r="492" spans="1:25" ht="45" customHeight="1">
      <c r="A492" s="3">
        <v>490</v>
      </c>
      <c r="B492" s="13" t="s">
        <v>2035</v>
      </c>
      <c r="C492" s="13" t="s">
        <v>103</v>
      </c>
      <c r="D492" s="13" t="s">
        <v>2036</v>
      </c>
      <c r="E492" s="13" t="s">
        <v>28</v>
      </c>
      <c r="F492" s="13" t="s">
        <v>29</v>
      </c>
      <c r="G492" s="13" t="s">
        <v>1216</v>
      </c>
      <c r="H492" s="13" t="s">
        <v>1031</v>
      </c>
      <c r="I492" s="27" t="s">
        <v>365</v>
      </c>
      <c r="J492" s="27" t="s">
        <v>1898</v>
      </c>
      <c r="K492" s="27" t="s">
        <v>106</v>
      </c>
      <c r="L492" s="27" t="s">
        <v>1899</v>
      </c>
      <c r="M492" s="27" t="s">
        <v>1775</v>
      </c>
      <c r="N492" s="17">
        <f t="shared" si="37"/>
        <v>45044</v>
      </c>
      <c r="O492" s="13" t="s">
        <v>1776</v>
      </c>
      <c r="P492" s="13" t="s">
        <v>1231</v>
      </c>
      <c r="Q492" s="13" t="s">
        <v>38</v>
      </c>
      <c r="R492" s="13" t="s">
        <v>365</v>
      </c>
      <c r="S492" s="13" t="s">
        <v>1215</v>
      </c>
      <c r="T492" s="28">
        <v>26.26</v>
      </c>
      <c r="U492" s="13" t="s">
        <v>28</v>
      </c>
      <c r="V492" s="13" t="s">
        <v>89</v>
      </c>
      <c r="W492" s="13" t="s">
        <v>1219</v>
      </c>
      <c r="X492" s="17">
        <f t="shared" si="38"/>
        <v>45135</v>
      </c>
      <c r="Y492" s="3"/>
    </row>
    <row r="493" spans="1:25" ht="45" customHeight="1">
      <c r="A493" s="3">
        <v>491</v>
      </c>
      <c r="B493" s="13" t="s">
        <v>2037</v>
      </c>
      <c r="C493" s="13" t="s">
        <v>103</v>
      </c>
      <c r="D493" s="13" t="s">
        <v>2038</v>
      </c>
      <c r="E493" s="13" t="s">
        <v>1064</v>
      </c>
      <c r="F493" s="13" t="s">
        <v>29</v>
      </c>
      <c r="G493" s="13" t="s">
        <v>1216</v>
      </c>
      <c r="H493" s="13" t="s">
        <v>1031</v>
      </c>
      <c r="I493" s="27" t="s">
        <v>365</v>
      </c>
      <c r="J493" s="27" t="s">
        <v>1898</v>
      </c>
      <c r="K493" s="27" t="s">
        <v>106</v>
      </c>
      <c r="L493" s="27" t="s">
        <v>1899</v>
      </c>
      <c r="M493" s="27" t="s">
        <v>1775</v>
      </c>
      <c r="N493" s="17">
        <f t="shared" si="37"/>
        <v>45044</v>
      </c>
      <c r="O493" s="13" t="s">
        <v>1776</v>
      </c>
      <c r="P493" s="13" t="s">
        <v>1215</v>
      </c>
      <c r="Q493" s="13" t="s">
        <v>38</v>
      </c>
      <c r="R493" s="13" t="s">
        <v>365</v>
      </c>
      <c r="S493" s="13" t="s">
        <v>1215</v>
      </c>
      <c r="T493" s="28">
        <v>27.28</v>
      </c>
      <c r="U493" s="13" t="s">
        <v>365</v>
      </c>
      <c r="V493" s="13" t="s">
        <v>146</v>
      </c>
      <c r="W493" s="13" t="s">
        <v>1219</v>
      </c>
      <c r="X493" s="17">
        <f t="shared" si="38"/>
        <v>45135</v>
      </c>
      <c r="Y493" s="3"/>
    </row>
    <row r="494" spans="1:25" ht="45" customHeight="1">
      <c r="A494" s="3">
        <v>492</v>
      </c>
      <c r="B494" s="13" t="s">
        <v>2039</v>
      </c>
      <c r="C494" s="13" t="s">
        <v>103</v>
      </c>
      <c r="D494" s="13" t="s">
        <v>2040</v>
      </c>
      <c r="E494" s="13" t="s">
        <v>28</v>
      </c>
      <c r="F494" s="13" t="s">
        <v>29</v>
      </c>
      <c r="G494" s="13" t="s">
        <v>72</v>
      </c>
      <c r="H494" s="13" t="s">
        <v>1031</v>
      </c>
      <c r="I494" s="27" t="s">
        <v>365</v>
      </c>
      <c r="J494" s="27" t="s">
        <v>1898</v>
      </c>
      <c r="K494" s="27" t="s">
        <v>106</v>
      </c>
      <c r="L494" s="27" t="s">
        <v>1899</v>
      </c>
      <c r="M494" s="27" t="s">
        <v>1775</v>
      </c>
      <c r="N494" s="17">
        <f t="shared" si="37"/>
        <v>45044</v>
      </c>
      <c r="O494" s="13" t="s">
        <v>1776</v>
      </c>
      <c r="P494" s="13" t="s">
        <v>1144</v>
      </c>
      <c r="Q494" s="13" t="s">
        <v>38</v>
      </c>
      <c r="R494" s="13" t="s">
        <v>365</v>
      </c>
      <c r="S494" s="13" t="s">
        <v>74</v>
      </c>
      <c r="T494" s="28">
        <v>26.71</v>
      </c>
      <c r="U494" s="13" t="s">
        <v>28</v>
      </c>
      <c r="V494" s="13" t="s">
        <v>53</v>
      </c>
      <c r="W494" s="13" t="s">
        <v>72</v>
      </c>
      <c r="X494" s="17">
        <f t="shared" si="38"/>
        <v>45135</v>
      </c>
      <c r="Y494" s="3"/>
    </row>
    <row r="495" spans="1:25" ht="45" customHeight="1">
      <c r="A495" s="3">
        <v>493</v>
      </c>
      <c r="B495" s="13" t="s">
        <v>2041</v>
      </c>
      <c r="C495" s="13" t="s">
        <v>103</v>
      </c>
      <c r="D495" s="13" t="s">
        <v>2042</v>
      </c>
      <c r="E495" s="13" t="s">
        <v>1064</v>
      </c>
      <c r="F495" s="13" t="s">
        <v>29</v>
      </c>
      <c r="G495" s="13" t="s">
        <v>1216</v>
      </c>
      <c r="H495" s="13" t="s">
        <v>1031</v>
      </c>
      <c r="I495" s="27" t="s">
        <v>365</v>
      </c>
      <c r="J495" s="27" t="s">
        <v>1898</v>
      </c>
      <c r="K495" s="27" t="s">
        <v>106</v>
      </c>
      <c r="L495" s="27" t="s">
        <v>1899</v>
      </c>
      <c r="M495" s="27" t="s">
        <v>1775</v>
      </c>
      <c r="N495" s="17">
        <f t="shared" si="37"/>
        <v>45044</v>
      </c>
      <c r="O495" s="13" t="s">
        <v>1776</v>
      </c>
      <c r="P495" s="13" t="s">
        <v>1215</v>
      </c>
      <c r="Q495" s="13" t="s">
        <v>38</v>
      </c>
      <c r="R495" s="13" t="s">
        <v>365</v>
      </c>
      <c r="S495" s="13" t="s">
        <v>1215</v>
      </c>
      <c r="T495" s="28">
        <v>20.440000000000001</v>
      </c>
      <c r="U495" s="13" t="s">
        <v>365</v>
      </c>
      <c r="V495" s="13" t="s">
        <v>146</v>
      </c>
      <c r="W495" s="13" t="s">
        <v>1219</v>
      </c>
      <c r="X495" s="17">
        <f t="shared" si="38"/>
        <v>45135</v>
      </c>
      <c r="Y495" s="3"/>
    </row>
    <row r="496" spans="1:25" ht="45" customHeight="1">
      <c r="A496" s="3">
        <v>494</v>
      </c>
      <c r="B496" s="13" t="s">
        <v>2043</v>
      </c>
      <c r="C496" s="13" t="s">
        <v>103</v>
      </c>
      <c r="D496" s="13" t="s">
        <v>2044</v>
      </c>
      <c r="E496" s="13" t="s">
        <v>28</v>
      </c>
      <c r="F496" s="13" t="s">
        <v>29</v>
      </c>
      <c r="G496" s="13" t="s">
        <v>1216</v>
      </c>
      <c r="H496" s="13" t="s">
        <v>1031</v>
      </c>
      <c r="I496" s="27" t="s">
        <v>365</v>
      </c>
      <c r="J496" s="27" t="s">
        <v>1898</v>
      </c>
      <c r="K496" s="27" t="s">
        <v>106</v>
      </c>
      <c r="L496" s="27" t="s">
        <v>1899</v>
      </c>
      <c r="M496" s="27" t="s">
        <v>1775</v>
      </c>
      <c r="N496" s="17">
        <f t="shared" si="37"/>
        <v>45044</v>
      </c>
      <c r="O496" s="13" t="s">
        <v>1776</v>
      </c>
      <c r="P496" s="13" t="s">
        <v>1221</v>
      </c>
      <c r="Q496" s="13" t="s">
        <v>38</v>
      </c>
      <c r="R496" s="13" t="s">
        <v>365</v>
      </c>
      <c r="S496" s="13" t="s">
        <v>1215</v>
      </c>
      <c r="T496" s="28">
        <v>30.65</v>
      </c>
      <c r="U496" s="13" t="s">
        <v>28</v>
      </c>
      <c r="V496" s="13" t="s">
        <v>53</v>
      </c>
      <c r="W496" s="13" t="s">
        <v>1219</v>
      </c>
      <c r="X496" s="17">
        <f t="shared" si="38"/>
        <v>45135</v>
      </c>
      <c r="Y496" s="3"/>
    </row>
    <row r="497" spans="1:25" ht="45" customHeight="1">
      <c r="A497" s="3">
        <v>495</v>
      </c>
      <c r="B497" s="13" t="s">
        <v>2045</v>
      </c>
      <c r="C497" s="13" t="s">
        <v>103</v>
      </c>
      <c r="D497" s="13" t="s">
        <v>2046</v>
      </c>
      <c r="E497" s="13" t="s">
        <v>28</v>
      </c>
      <c r="F497" s="13" t="s">
        <v>29</v>
      </c>
      <c r="G497" s="13" t="s">
        <v>1216</v>
      </c>
      <c r="H497" s="13" t="s">
        <v>1031</v>
      </c>
      <c r="I497" s="27" t="s">
        <v>365</v>
      </c>
      <c r="J497" s="27" t="s">
        <v>1898</v>
      </c>
      <c r="K497" s="27" t="s">
        <v>106</v>
      </c>
      <c r="L497" s="27" t="s">
        <v>1899</v>
      </c>
      <c r="M497" s="27" t="s">
        <v>1775</v>
      </c>
      <c r="N497" s="17">
        <f t="shared" si="37"/>
        <v>45044</v>
      </c>
      <c r="O497" s="13" t="s">
        <v>1776</v>
      </c>
      <c r="P497" s="13" t="s">
        <v>1231</v>
      </c>
      <c r="Q497" s="13" t="s">
        <v>38</v>
      </c>
      <c r="R497" s="13" t="s">
        <v>365</v>
      </c>
      <c r="S497" s="13" t="s">
        <v>1215</v>
      </c>
      <c r="T497" s="28">
        <v>25.53</v>
      </c>
      <c r="U497" s="13" t="s">
        <v>28</v>
      </c>
      <c r="V497" s="13" t="s">
        <v>89</v>
      </c>
      <c r="W497" s="13" t="s">
        <v>1219</v>
      </c>
      <c r="X497" s="17">
        <f t="shared" si="38"/>
        <v>45135</v>
      </c>
      <c r="Y497" s="3"/>
    </row>
    <row r="498" spans="1:25" ht="45" customHeight="1">
      <c r="A498" s="3">
        <v>496</v>
      </c>
      <c r="B498" s="13" t="s">
        <v>2047</v>
      </c>
      <c r="C498" s="13" t="s">
        <v>103</v>
      </c>
      <c r="D498" s="13" t="s">
        <v>2048</v>
      </c>
      <c r="E498" s="13" t="s">
        <v>28</v>
      </c>
      <c r="F498" s="13" t="s">
        <v>29</v>
      </c>
      <c r="G498" s="13" t="s">
        <v>56</v>
      </c>
      <c r="H498" s="13" t="s">
        <v>31</v>
      </c>
      <c r="I498" s="27" t="s">
        <v>365</v>
      </c>
      <c r="J498" s="27" t="s">
        <v>1898</v>
      </c>
      <c r="K498" s="27" t="s">
        <v>106</v>
      </c>
      <c r="L498" s="27" t="s">
        <v>1899</v>
      </c>
      <c r="M498" s="27" t="s">
        <v>1775</v>
      </c>
      <c r="N498" s="17">
        <f t="shared" si="37"/>
        <v>45044</v>
      </c>
      <c r="O498" s="13" t="s">
        <v>1776</v>
      </c>
      <c r="P498" s="13" t="s">
        <v>58</v>
      </c>
      <c r="Q498" s="13" t="s">
        <v>38</v>
      </c>
      <c r="R498" s="13" t="s">
        <v>365</v>
      </c>
      <c r="S498" s="13" t="s">
        <v>58</v>
      </c>
      <c r="T498" s="28">
        <v>26.35</v>
      </c>
      <c r="U498" s="13" t="s">
        <v>28</v>
      </c>
      <c r="V498" s="13" t="s">
        <v>40</v>
      </c>
      <c r="W498" s="13" t="s">
        <v>56</v>
      </c>
      <c r="X498" s="17">
        <f>DATE(2023,7,27)</f>
        <v>45134</v>
      </c>
      <c r="Y498" s="3"/>
    </row>
    <row r="499" spans="1:25" ht="45" customHeight="1">
      <c r="A499" s="3">
        <v>497</v>
      </c>
      <c r="B499" s="13" t="s">
        <v>2049</v>
      </c>
      <c r="C499" s="13" t="s">
        <v>103</v>
      </c>
      <c r="D499" s="13" t="s">
        <v>2050</v>
      </c>
      <c r="E499" s="13" t="s">
        <v>28</v>
      </c>
      <c r="F499" s="13" t="s">
        <v>29</v>
      </c>
      <c r="G499" s="13" t="s">
        <v>1216</v>
      </c>
      <c r="H499" s="13" t="s">
        <v>1031</v>
      </c>
      <c r="I499" s="27" t="s">
        <v>365</v>
      </c>
      <c r="J499" s="27" t="s">
        <v>1898</v>
      </c>
      <c r="K499" s="27" t="s">
        <v>106</v>
      </c>
      <c r="L499" s="27" t="s">
        <v>1899</v>
      </c>
      <c r="M499" s="27" t="s">
        <v>1775</v>
      </c>
      <c r="N499" s="17">
        <f t="shared" si="37"/>
        <v>45044</v>
      </c>
      <c r="O499" s="13" t="s">
        <v>1776</v>
      </c>
      <c r="P499" s="13" t="s">
        <v>1221</v>
      </c>
      <c r="Q499" s="13" t="s">
        <v>38</v>
      </c>
      <c r="R499" s="13" t="s">
        <v>365</v>
      </c>
      <c r="S499" s="13" t="s">
        <v>1215</v>
      </c>
      <c r="T499" s="28">
        <v>31.09</v>
      </c>
      <c r="U499" s="13" t="s">
        <v>28</v>
      </c>
      <c r="V499" s="13" t="s">
        <v>53</v>
      </c>
      <c r="W499" s="13" t="s">
        <v>1219</v>
      </c>
      <c r="X499" s="17">
        <f t="shared" ref="X499:X509" si="39">DATE(2023,7,28)</f>
        <v>45135</v>
      </c>
      <c r="Y499" s="3"/>
    </row>
    <row r="500" spans="1:25" ht="45" customHeight="1">
      <c r="A500" s="3">
        <v>498</v>
      </c>
      <c r="B500" s="13" t="s">
        <v>2051</v>
      </c>
      <c r="C500" s="13" t="s">
        <v>103</v>
      </c>
      <c r="D500" s="13" t="s">
        <v>2052</v>
      </c>
      <c r="E500" s="13" t="s">
        <v>28</v>
      </c>
      <c r="F500" s="13" t="s">
        <v>29</v>
      </c>
      <c r="G500" s="13" t="s">
        <v>72</v>
      </c>
      <c r="H500" s="13" t="s">
        <v>31</v>
      </c>
      <c r="I500" s="27" t="s">
        <v>365</v>
      </c>
      <c r="J500" s="27" t="s">
        <v>1898</v>
      </c>
      <c r="K500" s="27" t="s">
        <v>106</v>
      </c>
      <c r="L500" s="27" t="s">
        <v>1899</v>
      </c>
      <c r="M500" s="27" t="s">
        <v>1775</v>
      </c>
      <c r="N500" s="17">
        <f t="shared" si="37"/>
        <v>45044</v>
      </c>
      <c r="O500" s="13" t="s">
        <v>1776</v>
      </c>
      <c r="P500" s="13" t="s">
        <v>74</v>
      </c>
      <c r="Q500" s="13" t="s">
        <v>38</v>
      </c>
      <c r="R500" s="13" t="s">
        <v>365</v>
      </c>
      <c r="S500" s="13" t="s">
        <v>74</v>
      </c>
      <c r="T500" s="28">
        <v>30.04</v>
      </c>
      <c r="U500" s="13" t="s">
        <v>28</v>
      </c>
      <c r="V500" s="13" t="s">
        <v>40</v>
      </c>
      <c r="W500" s="13" t="s">
        <v>72</v>
      </c>
      <c r="X500" s="17">
        <f t="shared" si="39"/>
        <v>45135</v>
      </c>
      <c r="Y500" s="3"/>
    </row>
    <row r="501" spans="1:25" ht="45" customHeight="1">
      <c r="A501" s="3">
        <v>499</v>
      </c>
      <c r="B501" s="13" t="s">
        <v>2053</v>
      </c>
      <c r="C501" s="13" t="s">
        <v>103</v>
      </c>
      <c r="D501" s="13" t="s">
        <v>2054</v>
      </c>
      <c r="E501" s="13" t="s">
        <v>1064</v>
      </c>
      <c r="F501" s="13" t="s">
        <v>29</v>
      </c>
      <c r="G501" s="13" t="s">
        <v>1216</v>
      </c>
      <c r="H501" s="13" t="s">
        <v>1031</v>
      </c>
      <c r="I501" s="27" t="s">
        <v>365</v>
      </c>
      <c r="J501" s="27" t="s">
        <v>1898</v>
      </c>
      <c r="K501" s="27" t="s">
        <v>106</v>
      </c>
      <c r="L501" s="27" t="s">
        <v>1899</v>
      </c>
      <c r="M501" s="27" t="s">
        <v>1775</v>
      </c>
      <c r="N501" s="17">
        <f t="shared" si="37"/>
        <v>45044</v>
      </c>
      <c r="O501" s="13" t="s">
        <v>1776</v>
      </c>
      <c r="P501" s="13" t="s">
        <v>1215</v>
      </c>
      <c r="Q501" s="13" t="s">
        <v>38</v>
      </c>
      <c r="R501" s="13" t="s">
        <v>365</v>
      </c>
      <c r="S501" s="13" t="s">
        <v>1215</v>
      </c>
      <c r="T501" s="28">
        <v>28.41</v>
      </c>
      <c r="U501" s="13" t="s">
        <v>365</v>
      </c>
      <c r="V501" s="13" t="s">
        <v>146</v>
      </c>
      <c r="W501" s="13" t="s">
        <v>1219</v>
      </c>
      <c r="X501" s="17">
        <f t="shared" si="39"/>
        <v>45135</v>
      </c>
      <c r="Y501" s="3"/>
    </row>
    <row r="502" spans="1:25" ht="45" customHeight="1">
      <c r="A502" s="3">
        <v>500</v>
      </c>
      <c r="B502" s="13" t="s">
        <v>2055</v>
      </c>
      <c r="C502" s="13" t="s">
        <v>103</v>
      </c>
      <c r="D502" s="13" t="s">
        <v>2056</v>
      </c>
      <c r="E502" s="13" t="s">
        <v>28</v>
      </c>
      <c r="F502" s="13" t="s">
        <v>29</v>
      </c>
      <c r="G502" s="13" t="s">
        <v>72</v>
      </c>
      <c r="H502" s="13" t="s">
        <v>1031</v>
      </c>
      <c r="I502" s="27" t="s">
        <v>365</v>
      </c>
      <c r="J502" s="27" t="s">
        <v>1898</v>
      </c>
      <c r="K502" s="27" t="s">
        <v>106</v>
      </c>
      <c r="L502" s="27" t="s">
        <v>2057</v>
      </c>
      <c r="M502" s="27" t="s">
        <v>1775</v>
      </c>
      <c r="N502" s="17">
        <f t="shared" si="37"/>
        <v>45044</v>
      </c>
      <c r="O502" s="13" t="s">
        <v>1776</v>
      </c>
      <c r="P502" s="13" t="s">
        <v>1149</v>
      </c>
      <c r="Q502" s="13" t="s">
        <v>38</v>
      </c>
      <c r="R502" s="13" t="s">
        <v>365</v>
      </c>
      <c r="S502" s="13" t="s">
        <v>74</v>
      </c>
      <c r="T502" s="28">
        <v>31.64</v>
      </c>
      <c r="U502" s="13" t="s">
        <v>28</v>
      </c>
      <c r="V502" s="13" t="s">
        <v>146</v>
      </c>
      <c r="W502" s="13" t="s">
        <v>72</v>
      </c>
      <c r="X502" s="17">
        <f t="shared" si="39"/>
        <v>45135</v>
      </c>
      <c r="Y502" s="3"/>
    </row>
    <row r="503" spans="1:25" ht="45" customHeight="1">
      <c r="A503" s="3">
        <v>501</v>
      </c>
      <c r="B503" s="13" t="s">
        <v>2058</v>
      </c>
      <c r="C503" s="13" t="s">
        <v>103</v>
      </c>
      <c r="D503" s="13" t="s">
        <v>2059</v>
      </c>
      <c r="E503" s="13" t="s">
        <v>28</v>
      </c>
      <c r="F503" s="13" t="s">
        <v>29</v>
      </c>
      <c r="G503" s="13" t="s">
        <v>1216</v>
      </c>
      <c r="H503" s="13" t="s">
        <v>1031</v>
      </c>
      <c r="I503" s="27" t="s">
        <v>365</v>
      </c>
      <c r="J503" s="27" t="s">
        <v>1898</v>
      </c>
      <c r="K503" s="27" t="s">
        <v>106</v>
      </c>
      <c r="L503" s="27" t="s">
        <v>2057</v>
      </c>
      <c r="M503" s="27" t="s">
        <v>1775</v>
      </c>
      <c r="N503" s="17">
        <f t="shared" si="37"/>
        <v>45044</v>
      </c>
      <c r="O503" s="13" t="s">
        <v>1776</v>
      </c>
      <c r="P503" s="13" t="s">
        <v>1231</v>
      </c>
      <c r="Q503" s="13" t="s">
        <v>38</v>
      </c>
      <c r="R503" s="13" t="s">
        <v>365</v>
      </c>
      <c r="S503" s="13" t="s">
        <v>1215</v>
      </c>
      <c r="T503" s="28">
        <v>28.3</v>
      </c>
      <c r="U503" s="13" t="s">
        <v>28</v>
      </c>
      <c r="V503" s="13" t="s">
        <v>89</v>
      </c>
      <c r="W503" s="13" t="s">
        <v>1219</v>
      </c>
      <c r="X503" s="17">
        <f t="shared" si="39"/>
        <v>45135</v>
      </c>
      <c r="Y503" s="3"/>
    </row>
    <row r="504" spans="1:25" ht="45" customHeight="1">
      <c r="A504" s="3">
        <v>502</v>
      </c>
      <c r="B504" s="13" t="s">
        <v>2060</v>
      </c>
      <c r="C504" s="13" t="s">
        <v>103</v>
      </c>
      <c r="D504" s="13" t="s">
        <v>2061</v>
      </c>
      <c r="E504" s="13" t="s">
        <v>28</v>
      </c>
      <c r="F504" s="13" t="s">
        <v>29</v>
      </c>
      <c r="G504" s="13" t="s">
        <v>1216</v>
      </c>
      <c r="H504" s="13" t="s">
        <v>1031</v>
      </c>
      <c r="I504" s="27" t="s">
        <v>365</v>
      </c>
      <c r="J504" s="27" t="s">
        <v>1898</v>
      </c>
      <c r="K504" s="27" t="s">
        <v>106</v>
      </c>
      <c r="L504" s="27" t="s">
        <v>2057</v>
      </c>
      <c r="M504" s="27" t="s">
        <v>1775</v>
      </c>
      <c r="N504" s="17">
        <f t="shared" si="37"/>
        <v>45044</v>
      </c>
      <c r="O504" s="13" t="s">
        <v>1776</v>
      </c>
      <c r="P504" s="13" t="s">
        <v>1215</v>
      </c>
      <c r="Q504" s="13" t="s">
        <v>38</v>
      </c>
      <c r="R504" s="13" t="s">
        <v>365</v>
      </c>
      <c r="S504" s="13" t="s">
        <v>1215</v>
      </c>
      <c r="T504" s="28">
        <v>30.47</v>
      </c>
      <c r="U504" s="13" t="s">
        <v>28</v>
      </c>
      <c r="V504" s="13" t="s">
        <v>146</v>
      </c>
      <c r="W504" s="13" t="s">
        <v>1219</v>
      </c>
      <c r="X504" s="17">
        <f t="shared" si="39"/>
        <v>45135</v>
      </c>
      <c r="Y504" s="3"/>
    </row>
    <row r="505" spans="1:25" ht="45" customHeight="1">
      <c r="A505" s="3">
        <v>503</v>
      </c>
      <c r="B505" s="13" t="s">
        <v>2062</v>
      </c>
      <c r="C505" s="13" t="s">
        <v>103</v>
      </c>
      <c r="D505" s="13" t="s">
        <v>2063</v>
      </c>
      <c r="E505" s="13" t="s">
        <v>1064</v>
      </c>
      <c r="F505" s="13" t="s">
        <v>29</v>
      </c>
      <c r="G505" s="13" t="s">
        <v>1216</v>
      </c>
      <c r="H505" s="13" t="s">
        <v>1031</v>
      </c>
      <c r="I505" s="27" t="s">
        <v>365</v>
      </c>
      <c r="J505" s="27" t="s">
        <v>1898</v>
      </c>
      <c r="K505" s="27" t="s">
        <v>106</v>
      </c>
      <c r="L505" s="27" t="s">
        <v>2057</v>
      </c>
      <c r="M505" s="27" t="s">
        <v>1775</v>
      </c>
      <c r="N505" s="17">
        <f t="shared" si="37"/>
        <v>45044</v>
      </c>
      <c r="O505" s="13" t="s">
        <v>1776</v>
      </c>
      <c r="P505" s="13" t="s">
        <v>1231</v>
      </c>
      <c r="Q505" s="13" t="s">
        <v>38</v>
      </c>
      <c r="R505" s="13" t="s">
        <v>365</v>
      </c>
      <c r="S505" s="13" t="s">
        <v>1215</v>
      </c>
      <c r="T505" s="28">
        <v>28.99</v>
      </c>
      <c r="U505" s="13" t="s">
        <v>365</v>
      </c>
      <c r="V505" s="13" t="s">
        <v>89</v>
      </c>
      <c r="W505" s="13" t="s">
        <v>1219</v>
      </c>
      <c r="X505" s="17">
        <f t="shared" si="39"/>
        <v>45135</v>
      </c>
      <c r="Y505" s="3"/>
    </row>
    <row r="506" spans="1:25" ht="45" customHeight="1">
      <c r="A506" s="3">
        <v>504</v>
      </c>
      <c r="B506" s="13" t="s">
        <v>2064</v>
      </c>
      <c r="C506" s="13" t="s">
        <v>103</v>
      </c>
      <c r="D506" s="13" t="s">
        <v>2065</v>
      </c>
      <c r="E506" s="13" t="s">
        <v>1064</v>
      </c>
      <c r="F506" s="13" t="s">
        <v>29</v>
      </c>
      <c r="G506" s="13" t="s">
        <v>1216</v>
      </c>
      <c r="H506" s="13" t="s">
        <v>1031</v>
      </c>
      <c r="I506" s="27" t="s">
        <v>365</v>
      </c>
      <c r="J506" s="27" t="s">
        <v>1898</v>
      </c>
      <c r="K506" s="27" t="s">
        <v>106</v>
      </c>
      <c r="L506" s="27" t="s">
        <v>2057</v>
      </c>
      <c r="M506" s="27" t="s">
        <v>1775</v>
      </c>
      <c r="N506" s="17">
        <f t="shared" si="37"/>
        <v>45044</v>
      </c>
      <c r="O506" s="13" t="s">
        <v>1776</v>
      </c>
      <c r="P506" s="13" t="s">
        <v>1221</v>
      </c>
      <c r="Q506" s="13" t="s">
        <v>38</v>
      </c>
      <c r="R506" s="13" t="s">
        <v>365</v>
      </c>
      <c r="S506" s="13" t="s">
        <v>1215</v>
      </c>
      <c r="T506" s="28">
        <v>31.74</v>
      </c>
      <c r="U506" s="13" t="s">
        <v>365</v>
      </c>
      <c r="V506" s="13" t="s">
        <v>53</v>
      </c>
      <c r="W506" s="13" t="s">
        <v>1219</v>
      </c>
      <c r="X506" s="17">
        <f t="shared" si="39"/>
        <v>45135</v>
      </c>
      <c r="Y506" s="3"/>
    </row>
    <row r="507" spans="1:25" ht="45" customHeight="1">
      <c r="A507" s="3">
        <v>505</v>
      </c>
      <c r="B507" s="13" t="s">
        <v>2066</v>
      </c>
      <c r="C507" s="13" t="s">
        <v>103</v>
      </c>
      <c r="D507" s="13" t="s">
        <v>2067</v>
      </c>
      <c r="E507" s="13" t="s">
        <v>1064</v>
      </c>
      <c r="F507" s="13" t="s">
        <v>29</v>
      </c>
      <c r="G507" s="13" t="s">
        <v>680</v>
      </c>
      <c r="H507" s="13" t="s">
        <v>1031</v>
      </c>
      <c r="I507" s="27" t="s">
        <v>365</v>
      </c>
      <c r="J507" s="27" t="s">
        <v>1898</v>
      </c>
      <c r="K507" s="27" t="s">
        <v>106</v>
      </c>
      <c r="L507" s="27" t="s">
        <v>2057</v>
      </c>
      <c r="M507" s="27" t="s">
        <v>1775</v>
      </c>
      <c r="N507" s="17">
        <f t="shared" si="37"/>
        <v>45044</v>
      </c>
      <c r="O507" s="13" t="s">
        <v>1776</v>
      </c>
      <c r="P507" s="13" t="s">
        <v>52</v>
      </c>
      <c r="Q507" s="13" t="s">
        <v>38</v>
      </c>
      <c r="R507" s="13" t="s">
        <v>365</v>
      </c>
      <c r="S507" s="13" t="s">
        <v>52</v>
      </c>
      <c r="T507" s="28">
        <v>26.64</v>
      </c>
      <c r="U507" s="13" t="s">
        <v>365</v>
      </c>
      <c r="V507" s="13" t="s">
        <v>146</v>
      </c>
      <c r="W507" s="13" t="s">
        <v>683</v>
      </c>
      <c r="X507" s="17">
        <f t="shared" si="39"/>
        <v>45135</v>
      </c>
      <c r="Y507" s="3"/>
    </row>
    <row r="508" spans="1:25" ht="45" customHeight="1">
      <c r="A508" s="3">
        <v>506</v>
      </c>
      <c r="B508" s="13" t="s">
        <v>2068</v>
      </c>
      <c r="C508" s="13" t="s">
        <v>103</v>
      </c>
      <c r="D508" s="13" t="s">
        <v>2069</v>
      </c>
      <c r="E508" s="13" t="s">
        <v>1064</v>
      </c>
      <c r="F508" s="13" t="s">
        <v>29</v>
      </c>
      <c r="G508" s="13" t="s">
        <v>1216</v>
      </c>
      <c r="H508" s="13" t="s">
        <v>1031</v>
      </c>
      <c r="I508" s="27" t="s">
        <v>365</v>
      </c>
      <c r="J508" s="27" t="s">
        <v>1898</v>
      </c>
      <c r="K508" s="27" t="s">
        <v>106</v>
      </c>
      <c r="L508" s="27" t="s">
        <v>2057</v>
      </c>
      <c r="M508" s="27" t="s">
        <v>1775</v>
      </c>
      <c r="N508" s="17">
        <f t="shared" si="37"/>
        <v>45044</v>
      </c>
      <c r="O508" s="13" t="s">
        <v>1776</v>
      </c>
      <c r="P508" s="13" t="s">
        <v>1231</v>
      </c>
      <c r="Q508" s="13" t="s">
        <v>38</v>
      </c>
      <c r="R508" s="13" t="s">
        <v>365</v>
      </c>
      <c r="S508" s="13" t="s">
        <v>1215</v>
      </c>
      <c r="T508" s="28">
        <v>25.67</v>
      </c>
      <c r="U508" s="13" t="s">
        <v>365</v>
      </c>
      <c r="V508" s="13" t="s">
        <v>89</v>
      </c>
      <c r="W508" s="13" t="s">
        <v>1219</v>
      </c>
      <c r="X508" s="17">
        <f t="shared" si="39"/>
        <v>45135</v>
      </c>
      <c r="Y508" s="3"/>
    </row>
    <row r="509" spans="1:25" ht="45" customHeight="1">
      <c r="A509" s="3">
        <v>507</v>
      </c>
      <c r="B509" s="13" t="s">
        <v>2070</v>
      </c>
      <c r="C509" s="13" t="s">
        <v>103</v>
      </c>
      <c r="D509" s="13" t="s">
        <v>2071</v>
      </c>
      <c r="E509" s="13" t="s">
        <v>28</v>
      </c>
      <c r="F509" s="13" t="s">
        <v>29</v>
      </c>
      <c r="G509" s="13" t="s">
        <v>1216</v>
      </c>
      <c r="H509" s="13" t="s">
        <v>1031</v>
      </c>
      <c r="I509" s="27" t="s">
        <v>365</v>
      </c>
      <c r="J509" s="27" t="s">
        <v>1898</v>
      </c>
      <c r="K509" s="27" t="s">
        <v>106</v>
      </c>
      <c r="L509" s="27" t="s">
        <v>2057</v>
      </c>
      <c r="M509" s="27" t="s">
        <v>1775</v>
      </c>
      <c r="N509" s="17">
        <f t="shared" si="37"/>
        <v>45044</v>
      </c>
      <c r="O509" s="13" t="s">
        <v>1776</v>
      </c>
      <c r="P509" s="13" t="s">
        <v>1221</v>
      </c>
      <c r="Q509" s="13" t="s">
        <v>38</v>
      </c>
      <c r="R509" s="13" t="s">
        <v>365</v>
      </c>
      <c r="S509" s="13" t="s">
        <v>1215</v>
      </c>
      <c r="T509" s="28">
        <v>27.09</v>
      </c>
      <c r="U509" s="13" t="s">
        <v>28</v>
      </c>
      <c r="V509" s="13" t="s">
        <v>53</v>
      </c>
      <c r="W509" s="13" t="s">
        <v>1219</v>
      </c>
      <c r="X509" s="17">
        <f t="shared" si="39"/>
        <v>45135</v>
      </c>
      <c r="Y509" s="3"/>
    </row>
    <row r="510" spans="1:25" ht="45" customHeight="1">
      <c r="A510" s="3">
        <v>508</v>
      </c>
      <c r="B510" s="13" t="s">
        <v>2072</v>
      </c>
      <c r="C510" s="13" t="s">
        <v>26</v>
      </c>
      <c r="D510" s="13" t="s">
        <v>2073</v>
      </c>
      <c r="E510" s="13" t="s">
        <v>762</v>
      </c>
      <c r="F510" s="13" t="s">
        <v>453</v>
      </c>
      <c r="G510" s="13" t="s">
        <v>454</v>
      </c>
      <c r="H510" s="13" t="s">
        <v>453</v>
      </c>
      <c r="I510" s="27" t="s">
        <v>2074</v>
      </c>
      <c r="J510" s="27" t="s">
        <v>33</v>
      </c>
      <c r="K510" s="27" t="s">
        <v>34</v>
      </c>
      <c r="L510" s="27" t="s">
        <v>35</v>
      </c>
      <c r="M510" s="27" t="s">
        <v>36</v>
      </c>
      <c r="N510" s="17">
        <f>DATE(2023,5,2)</f>
        <v>45048</v>
      </c>
      <c r="O510" s="13" t="s">
        <v>107</v>
      </c>
      <c r="P510" s="13" t="s">
        <v>456</v>
      </c>
      <c r="Q510" s="13" t="s">
        <v>670</v>
      </c>
      <c r="R510" s="13" t="s">
        <v>2075</v>
      </c>
      <c r="S510" s="13" t="s">
        <v>458</v>
      </c>
      <c r="T510" s="28">
        <v>27.56</v>
      </c>
      <c r="U510" s="13" t="s">
        <v>765</v>
      </c>
      <c r="V510" s="13" t="s">
        <v>89</v>
      </c>
      <c r="W510" s="13" t="s">
        <v>454</v>
      </c>
      <c r="X510" s="17">
        <f>DATE(2023,8,2)</f>
        <v>45140</v>
      </c>
      <c r="Y510" s="3"/>
    </row>
    <row r="511" spans="1:25" ht="45" customHeight="1">
      <c r="A511" s="3">
        <v>509</v>
      </c>
      <c r="B511" s="13" t="s">
        <v>2076</v>
      </c>
      <c r="C511" s="13" t="s">
        <v>26</v>
      </c>
      <c r="D511" s="13" t="s">
        <v>2077</v>
      </c>
      <c r="E511" s="13" t="s">
        <v>499</v>
      </c>
      <c r="F511" s="13" t="s">
        <v>491</v>
      </c>
      <c r="G511" s="13" t="s">
        <v>1042</v>
      </c>
      <c r="H511" s="13" t="s">
        <v>406</v>
      </c>
      <c r="I511" s="27" t="s">
        <v>2078</v>
      </c>
      <c r="J511" s="27" t="s">
        <v>33</v>
      </c>
      <c r="K511" s="27" t="s">
        <v>34</v>
      </c>
      <c r="L511" s="27" t="s">
        <v>35</v>
      </c>
      <c r="M511" s="27" t="s">
        <v>36</v>
      </c>
      <c r="N511" s="17">
        <f>DATE(2023,5,2)</f>
        <v>45048</v>
      </c>
      <c r="O511" s="13" t="s">
        <v>107</v>
      </c>
      <c r="P511" s="13" t="s">
        <v>717</v>
      </c>
      <c r="Q511" s="13" t="s">
        <v>501</v>
      </c>
      <c r="R511" s="13" t="s">
        <v>2079</v>
      </c>
      <c r="S511" s="13" t="s">
        <v>496</v>
      </c>
      <c r="T511" s="28">
        <v>29.35</v>
      </c>
      <c r="U511" s="13" t="s">
        <v>499</v>
      </c>
      <c r="V511" s="13" t="s">
        <v>146</v>
      </c>
      <c r="W511" s="13" t="s">
        <v>1042</v>
      </c>
      <c r="X511" s="17">
        <f>DATE(2023,8,2)</f>
        <v>45140</v>
      </c>
      <c r="Y511" s="3"/>
    </row>
    <row r="512" spans="1:25" ht="45" customHeight="1">
      <c r="A512" s="3">
        <v>510</v>
      </c>
      <c r="B512" s="13" t="s">
        <v>2080</v>
      </c>
      <c r="C512" s="13" t="s">
        <v>103</v>
      </c>
      <c r="D512" s="13" t="s">
        <v>2081</v>
      </c>
      <c r="E512" s="13" t="s">
        <v>765</v>
      </c>
      <c r="F512" s="13" t="s">
        <v>491</v>
      </c>
      <c r="G512" s="13" t="s">
        <v>1042</v>
      </c>
      <c r="H512" s="13" t="s">
        <v>406</v>
      </c>
      <c r="I512" s="27" t="s">
        <v>2082</v>
      </c>
      <c r="J512" s="27" t="s">
        <v>33</v>
      </c>
      <c r="K512" s="27" t="s">
        <v>106</v>
      </c>
      <c r="L512" s="27" t="s">
        <v>35</v>
      </c>
      <c r="M512" s="27" t="s">
        <v>36</v>
      </c>
      <c r="N512" s="17">
        <f>DATE(2023,5,2)</f>
        <v>45048</v>
      </c>
      <c r="O512" s="13" t="s">
        <v>107</v>
      </c>
      <c r="P512" s="13" t="s">
        <v>717</v>
      </c>
      <c r="Q512" s="13" t="s">
        <v>670</v>
      </c>
      <c r="R512" s="13" t="s">
        <v>2083</v>
      </c>
      <c r="S512" s="13" t="s">
        <v>496</v>
      </c>
      <c r="T512" s="28">
        <v>23.72</v>
      </c>
      <c r="U512" s="13" t="s">
        <v>765</v>
      </c>
      <c r="V512" s="13" t="s">
        <v>53</v>
      </c>
      <c r="W512" s="13" t="s">
        <v>1042</v>
      </c>
      <c r="X512" s="17">
        <f>DATE(2023,10,25)</f>
        <v>45224</v>
      </c>
      <c r="Y512" s="3"/>
    </row>
    <row r="513" spans="1:25" ht="45" customHeight="1">
      <c r="A513" s="3">
        <v>511</v>
      </c>
      <c r="B513" s="13" t="s">
        <v>2084</v>
      </c>
      <c r="C513" s="13" t="s">
        <v>26</v>
      </c>
      <c r="D513" s="13" t="s">
        <v>2085</v>
      </c>
      <c r="E513" s="13" t="s">
        <v>28</v>
      </c>
      <c r="F513" s="13" t="s">
        <v>29</v>
      </c>
      <c r="G513" s="13" t="s">
        <v>85</v>
      </c>
      <c r="H513" s="13" t="s">
        <v>31</v>
      </c>
      <c r="I513" s="27" t="s">
        <v>365</v>
      </c>
      <c r="J513" s="27" t="s">
        <v>1774</v>
      </c>
      <c r="K513" s="27" t="s">
        <v>34</v>
      </c>
      <c r="L513" s="27" t="s">
        <v>1291</v>
      </c>
      <c r="M513" s="27" t="s">
        <v>1775</v>
      </c>
      <c r="N513" s="17">
        <f t="shared" ref="N513:N565" si="40">DATE(2023,5,8)</f>
        <v>45054</v>
      </c>
      <c r="O513" s="13" t="s">
        <v>1776</v>
      </c>
      <c r="P513" s="13" t="s">
        <v>87</v>
      </c>
      <c r="Q513" s="13" t="s">
        <v>38</v>
      </c>
      <c r="R513" s="13" t="s">
        <v>365</v>
      </c>
      <c r="S513" s="13" t="s">
        <v>87</v>
      </c>
      <c r="T513" s="28">
        <v>27.81</v>
      </c>
      <c r="U513" s="13" t="s">
        <v>28</v>
      </c>
      <c r="V513" s="13" t="s">
        <v>89</v>
      </c>
      <c r="W513" s="13" t="s">
        <v>85</v>
      </c>
      <c r="X513" s="17">
        <f t="shared" ref="X513:X522" si="41">DATE(2023,8,8)</f>
        <v>45146</v>
      </c>
      <c r="Y513" s="3"/>
    </row>
    <row r="514" spans="1:25" ht="45" customHeight="1">
      <c r="A514" s="3">
        <v>512</v>
      </c>
      <c r="B514" s="13" t="s">
        <v>2086</v>
      </c>
      <c r="C514" s="13" t="s">
        <v>26</v>
      </c>
      <c r="D514" s="13" t="s">
        <v>2087</v>
      </c>
      <c r="E514" s="13" t="s">
        <v>1064</v>
      </c>
      <c r="F514" s="13" t="s">
        <v>29</v>
      </c>
      <c r="G514" s="13" t="s">
        <v>43</v>
      </c>
      <c r="H514" s="13" t="s">
        <v>1031</v>
      </c>
      <c r="I514" s="27" t="s">
        <v>365</v>
      </c>
      <c r="J514" s="27" t="s">
        <v>1774</v>
      </c>
      <c r="K514" s="27" t="s">
        <v>34</v>
      </c>
      <c r="L514" s="27" t="s">
        <v>1291</v>
      </c>
      <c r="M514" s="27" t="s">
        <v>1775</v>
      </c>
      <c r="N514" s="17">
        <f t="shared" si="40"/>
        <v>45054</v>
      </c>
      <c r="O514" s="13" t="s">
        <v>1776</v>
      </c>
      <c r="P514" s="13" t="s">
        <v>1134</v>
      </c>
      <c r="Q514" s="13" t="s">
        <v>38</v>
      </c>
      <c r="R514" s="13" t="s">
        <v>365</v>
      </c>
      <c r="S514" s="13" t="s">
        <v>37</v>
      </c>
      <c r="T514" s="28">
        <v>33.630000000000003</v>
      </c>
      <c r="U514" s="13" t="s">
        <v>365</v>
      </c>
      <c r="V514" s="13" t="s">
        <v>146</v>
      </c>
      <c r="W514" s="13" t="s">
        <v>43</v>
      </c>
      <c r="X514" s="17">
        <f t="shared" si="41"/>
        <v>45146</v>
      </c>
      <c r="Y514" s="3"/>
    </row>
    <row r="515" spans="1:25" ht="45" customHeight="1">
      <c r="A515" s="3">
        <v>513</v>
      </c>
      <c r="B515" s="13" t="s">
        <v>2088</v>
      </c>
      <c r="C515" s="13" t="s">
        <v>26</v>
      </c>
      <c r="D515" s="13" t="s">
        <v>2089</v>
      </c>
      <c r="E515" s="13" t="s">
        <v>1064</v>
      </c>
      <c r="F515" s="13" t="s">
        <v>29</v>
      </c>
      <c r="G515" s="13" t="s">
        <v>72</v>
      </c>
      <c r="H515" s="13" t="s">
        <v>1031</v>
      </c>
      <c r="I515" s="27" t="s">
        <v>365</v>
      </c>
      <c r="J515" s="27" t="s">
        <v>1774</v>
      </c>
      <c r="K515" s="27" t="s">
        <v>34</v>
      </c>
      <c r="L515" s="27" t="s">
        <v>1291</v>
      </c>
      <c r="M515" s="27" t="s">
        <v>1775</v>
      </c>
      <c r="N515" s="17">
        <f t="shared" si="40"/>
        <v>45054</v>
      </c>
      <c r="O515" s="13" t="s">
        <v>1776</v>
      </c>
      <c r="P515" s="13" t="s">
        <v>1144</v>
      </c>
      <c r="Q515" s="13" t="s">
        <v>38</v>
      </c>
      <c r="R515" s="13" t="s">
        <v>365</v>
      </c>
      <c r="S515" s="13" t="s">
        <v>74</v>
      </c>
      <c r="T515" s="28">
        <v>27.17</v>
      </c>
      <c r="U515" s="13" t="s">
        <v>365</v>
      </c>
      <c r="V515" s="13" t="s">
        <v>53</v>
      </c>
      <c r="W515" s="13" t="s">
        <v>72</v>
      </c>
      <c r="X515" s="17">
        <f t="shared" si="41"/>
        <v>45146</v>
      </c>
      <c r="Y515" s="3"/>
    </row>
    <row r="516" spans="1:25" ht="45" customHeight="1">
      <c r="A516" s="3">
        <v>514</v>
      </c>
      <c r="B516" s="13" t="s">
        <v>2090</v>
      </c>
      <c r="C516" s="13" t="s">
        <v>26</v>
      </c>
      <c r="D516" s="13" t="s">
        <v>2091</v>
      </c>
      <c r="E516" s="13" t="s">
        <v>28</v>
      </c>
      <c r="F516" s="13" t="s">
        <v>29</v>
      </c>
      <c r="G516" s="13" t="s">
        <v>79</v>
      </c>
      <c r="H516" s="13" t="s">
        <v>1031</v>
      </c>
      <c r="I516" s="27" t="s">
        <v>365</v>
      </c>
      <c r="J516" s="27" t="s">
        <v>1774</v>
      </c>
      <c r="K516" s="27" t="s">
        <v>34</v>
      </c>
      <c r="L516" s="27" t="s">
        <v>1291</v>
      </c>
      <c r="M516" s="27" t="s">
        <v>1775</v>
      </c>
      <c r="N516" s="17">
        <f t="shared" si="40"/>
        <v>45054</v>
      </c>
      <c r="O516" s="13" t="s">
        <v>1776</v>
      </c>
      <c r="P516" s="13" t="s">
        <v>1387</v>
      </c>
      <c r="Q516" s="13" t="s">
        <v>38</v>
      </c>
      <c r="R516" s="13" t="s">
        <v>365</v>
      </c>
      <c r="S516" s="13" t="s">
        <v>81</v>
      </c>
      <c r="T516" s="28">
        <v>31.52</v>
      </c>
      <c r="U516" s="13" t="s">
        <v>28</v>
      </c>
      <c r="V516" s="13" t="s">
        <v>89</v>
      </c>
      <c r="W516" s="13" t="s">
        <v>79</v>
      </c>
      <c r="X516" s="17">
        <f t="shared" si="41"/>
        <v>45146</v>
      </c>
      <c r="Y516" s="3"/>
    </row>
    <row r="517" spans="1:25" ht="45" customHeight="1">
      <c r="A517" s="3">
        <v>515</v>
      </c>
      <c r="B517" s="13" t="s">
        <v>2092</v>
      </c>
      <c r="C517" s="13" t="s">
        <v>26</v>
      </c>
      <c r="D517" s="13" t="s">
        <v>2093</v>
      </c>
      <c r="E517" s="13" t="s">
        <v>1064</v>
      </c>
      <c r="F517" s="13" t="s">
        <v>29</v>
      </c>
      <c r="G517" s="13" t="s">
        <v>72</v>
      </c>
      <c r="H517" s="13" t="s">
        <v>1031</v>
      </c>
      <c r="I517" s="27" t="s">
        <v>365</v>
      </c>
      <c r="J517" s="27" t="s">
        <v>1774</v>
      </c>
      <c r="K517" s="27" t="s">
        <v>34</v>
      </c>
      <c r="L517" s="27" t="s">
        <v>1291</v>
      </c>
      <c r="M517" s="27" t="s">
        <v>1775</v>
      </c>
      <c r="N517" s="17">
        <f t="shared" si="40"/>
        <v>45054</v>
      </c>
      <c r="O517" s="13" t="s">
        <v>1776</v>
      </c>
      <c r="P517" s="13" t="s">
        <v>1149</v>
      </c>
      <c r="Q517" s="13" t="s">
        <v>38</v>
      </c>
      <c r="R517" s="13" t="s">
        <v>365</v>
      </c>
      <c r="S517" s="13" t="s">
        <v>74</v>
      </c>
      <c r="T517" s="28">
        <v>29.43</v>
      </c>
      <c r="U517" s="13" t="s">
        <v>365</v>
      </c>
      <c r="V517" s="13" t="s">
        <v>146</v>
      </c>
      <c r="W517" s="13" t="s">
        <v>72</v>
      </c>
      <c r="X517" s="17">
        <f t="shared" si="41"/>
        <v>45146</v>
      </c>
      <c r="Y517" s="3"/>
    </row>
    <row r="518" spans="1:25" ht="45" customHeight="1">
      <c r="A518" s="3">
        <v>516</v>
      </c>
      <c r="B518" s="13" t="s">
        <v>2094</v>
      </c>
      <c r="C518" s="13" t="s">
        <v>26</v>
      </c>
      <c r="D518" s="13" t="s">
        <v>2095</v>
      </c>
      <c r="E518" s="13" t="s">
        <v>1064</v>
      </c>
      <c r="F518" s="13" t="s">
        <v>29</v>
      </c>
      <c r="G518" s="13" t="s">
        <v>62</v>
      </c>
      <c r="H518" s="13" t="s">
        <v>1031</v>
      </c>
      <c r="I518" s="27" t="s">
        <v>365</v>
      </c>
      <c r="J518" s="27" t="s">
        <v>1774</v>
      </c>
      <c r="K518" s="27" t="s">
        <v>34</v>
      </c>
      <c r="L518" s="27" t="s">
        <v>1291</v>
      </c>
      <c r="M518" s="27" t="s">
        <v>1775</v>
      </c>
      <c r="N518" s="17">
        <f t="shared" si="40"/>
        <v>45054</v>
      </c>
      <c r="O518" s="13" t="s">
        <v>1776</v>
      </c>
      <c r="P518" s="13" t="s">
        <v>1816</v>
      </c>
      <c r="Q518" s="13" t="s">
        <v>38</v>
      </c>
      <c r="R518" s="13" t="s">
        <v>365</v>
      </c>
      <c r="S518" s="13" t="s">
        <v>64</v>
      </c>
      <c r="T518" s="28">
        <v>31.6</v>
      </c>
      <c r="U518" s="13" t="s">
        <v>28</v>
      </c>
      <c r="V518" s="13" t="s">
        <v>89</v>
      </c>
      <c r="W518" s="13" t="s">
        <v>62</v>
      </c>
      <c r="X518" s="17">
        <f t="shared" si="41"/>
        <v>45146</v>
      </c>
      <c r="Y518" s="3"/>
    </row>
    <row r="519" spans="1:25" ht="45" customHeight="1">
      <c r="A519" s="3">
        <v>517</v>
      </c>
      <c r="B519" s="13" t="s">
        <v>2096</v>
      </c>
      <c r="C519" s="13" t="s">
        <v>26</v>
      </c>
      <c r="D519" s="13" t="s">
        <v>2097</v>
      </c>
      <c r="E519" s="13" t="s">
        <v>28</v>
      </c>
      <c r="F519" s="13" t="s">
        <v>29</v>
      </c>
      <c r="G519" s="13" t="s">
        <v>79</v>
      </c>
      <c r="H519" s="13" t="s">
        <v>1031</v>
      </c>
      <c r="I519" s="27" t="s">
        <v>365</v>
      </c>
      <c r="J519" s="27" t="s">
        <v>1774</v>
      </c>
      <c r="K519" s="27" t="s">
        <v>34</v>
      </c>
      <c r="L519" s="27" t="s">
        <v>1291</v>
      </c>
      <c r="M519" s="27" t="s">
        <v>1775</v>
      </c>
      <c r="N519" s="17">
        <f t="shared" si="40"/>
        <v>45054</v>
      </c>
      <c r="O519" s="13" t="s">
        <v>1776</v>
      </c>
      <c r="P519" s="13" t="s">
        <v>498</v>
      </c>
      <c r="Q519" s="13" t="s">
        <v>38</v>
      </c>
      <c r="R519" s="13" t="s">
        <v>365</v>
      </c>
      <c r="S519" s="13" t="s">
        <v>81</v>
      </c>
      <c r="T519" s="28">
        <v>33.06</v>
      </c>
      <c r="U519" s="13" t="s">
        <v>28</v>
      </c>
      <c r="V519" s="13" t="s">
        <v>146</v>
      </c>
      <c r="W519" s="13" t="s">
        <v>79</v>
      </c>
      <c r="X519" s="17">
        <f t="shared" si="41"/>
        <v>45146</v>
      </c>
      <c r="Y519" s="3"/>
    </row>
    <row r="520" spans="1:25" ht="45" customHeight="1">
      <c r="A520" s="3">
        <v>518</v>
      </c>
      <c r="B520" s="13" t="s">
        <v>2098</v>
      </c>
      <c r="C520" s="13" t="s">
        <v>26</v>
      </c>
      <c r="D520" s="13" t="s">
        <v>2099</v>
      </c>
      <c r="E520" s="13" t="s">
        <v>1064</v>
      </c>
      <c r="F520" s="13" t="s">
        <v>29</v>
      </c>
      <c r="G520" s="13" t="s">
        <v>85</v>
      </c>
      <c r="H520" s="13" t="s">
        <v>1031</v>
      </c>
      <c r="I520" s="27" t="s">
        <v>365</v>
      </c>
      <c r="J520" s="27" t="s">
        <v>1774</v>
      </c>
      <c r="K520" s="27" t="s">
        <v>34</v>
      </c>
      <c r="L520" s="27" t="s">
        <v>1291</v>
      </c>
      <c r="M520" s="27" t="s">
        <v>1775</v>
      </c>
      <c r="N520" s="17">
        <f t="shared" si="40"/>
        <v>45054</v>
      </c>
      <c r="O520" s="13" t="s">
        <v>1776</v>
      </c>
      <c r="P520" s="13" t="s">
        <v>87</v>
      </c>
      <c r="Q520" s="13" t="s">
        <v>38</v>
      </c>
      <c r="R520" s="13" t="s">
        <v>365</v>
      </c>
      <c r="S520" s="13" t="s">
        <v>87</v>
      </c>
      <c r="T520" s="28">
        <v>28.68</v>
      </c>
      <c r="U520" s="13" t="s">
        <v>365</v>
      </c>
      <c r="V520" s="13" t="s">
        <v>89</v>
      </c>
      <c r="W520" s="13" t="s">
        <v>85</v>
      </c>
      <c r="X520" s="17">
        <f t="shared" si="41"/>
        <v>45146</v>
      </c>
      <c r="Y520" s="3"/>
    </row>
    <row r="521" spans="1:25" ht="45" customHeight="1">
      <c r="A521" s="3">
        <v>519</v>
      </c>
      <c r="B521" s="13" t="s">
        <v>2100</v>
      </c>
      <c r="C521" s="13" t="s">
        <v>26</v>
      </c>
      <c r="D521" s="13" t="s">
        <v>2101</v>
      </c>
      <c r="E521" s="13" t="s">
        <v>28</v>
      </c>
      <c r="F521" s="13" t="s">
        <v>29</v>
      </c>
      <c r="G521" s="13" t="s">
        <v>79</v>
      </c>
      <c r="H521" s="13" t="s">
        <v>1031</v>
      </c>
      <c r="I521" s="27" t="s">
        <v>365</v>
      </c>
      <c r="J521" s="27" t="s">
        <v>1774</v>
      </c>
      <c r="K521" s="27" t="s">
        <v>34</v>
      </c>
      <c r="L521" s="27" t="s">
        <v>1291</v>
      </c>
      <c r="M521" s="27" t="s">
        <v>1775</v>
      </c>
      <c r="N521" s="17">
        <f t="shared" si="40"/>
        <v>45054</v>
      </c>
      <c r="O521" s="13" t="s">
        <v>1776</v>
      </c>
      <c r="P521" s="13" t="s">
        <v>498</v>
      </c>
      <c r="Q521" s="13" t="s">
        <v>38</v>
      </c>
      <c r="R521" s="13" t="s">
        <v>365</v>
      </c>
      <c r="S521" s="13" t="s">
        <v>81</v>
      </c>
      <c r="T521" s="28">
        <v>31.68</v>
      </c>
      <c r="U521" s="13" t="s">
        <v>28</v>
      </c>
      <c r="V521" s="13" t="s">
        <v>146</v>
      </c>
      <c r="W521" s="13" t="s">
        <v>79</v>
      </c>
      <c r="X521" s="17">
        <f t="shared" si="41"/>
        <v>45146</v>
      </c>
      <c r="Y521" s="3"/>
    </row>
    <row r="522" spans="1:25" ht="45" customHeight="1">
      <c r="A522" s="3">
        <v>520</v>
      </c>
      <c r="B522" s="13" t="s">
        <v>2102</v>
      </c>
      <c r="C522" s="13" t="s">
        <v>26</v>
      </c>
      <c r="D522" s="13" t="s">
        <v>2103</v>
      </c>
      <c r="E522" s="13" t="s">
        <v>1064</v>
      </c>
      <c r="F522" s="13" t="s">
        <v>29</v>
      </c>
      <c r="G522" s="13" t="s">
        <v>62</v>
      </c>
      <c r="H522" s="13" t="s">
        <v>1031</v>
      </c>
      <c r="I522" s="27" t="s">
        <v>365</v>
      </c>
      <c r="J522" s="27" t="s">
        <v>1774</v>
      </c>
      <c r="K522" s="27" t="s">
        <v>34</v>
      </c>
      <c r="L522" s="27" t="s">
        <v>1291</v>
      </c>
      <c r="M522" s="27" t="s">
        <v>1775</v>
      </c>
      <c r="N522" s="17">
        <f t="shared" si="40"/>
        <v>45054</v>
      </c>
      <c r="O522" s="13" t="s">
        <v>1776</v>
      </c>
      <c r="P522" s="13" t="s">
        <v>1809</v>
      </c>
      <c r="Q522" s="13" t="s">
        <v>38</v>
      </c>
      <c r="R522" s="13" t="s">
        <v>365</v>
      </c>
      <c r="S522" s="13" t="s">
        <v>64</v>
      </c>
      <c r="T522" s="28">
        <v>31.22</v>
      </c>
      <c r="U522" s="13" t="s">
        <v>28</v>
      </c>
      <c r="V522" s="13" t="s">
        <v>146</v>
      </c>
      <c r="W522" s="13" t="s">
        <v>62</v>
      </c>
      <c r="X522" s="17">
        <f t="shared" si="41"/>
        <v>45146</v>
      </c>
      <c r="Y522" s="3"/>
    </row>
    <row r="523" spans="1:25" ht="45" customHeight="1">
      <c r="A523" s="3">
        <v>521</v>
      </c>
      <c r="B523" s="13" t="s">
        <v>2104</v>
      </c>
      <c r="C523" s="13" t="s">
        <v>26</v>
      </c>
      <c r="D523" s="13" t="s">
        <v>2105</v>
      </c>
      <c r="E523" s="13" t="s">
        <v>1064</v>
      </c>
      <c r="F523" s="13" t="s">
        <v>29</v>
      </c>
      <c r="G523" s="13" t="s">
        <v>30</v>
      </c>
      <c r="H523" s="13" t="s">
        <v>1031</v>
      </c>
      <c r="I523" s="27" t="s">
        <v>365</v>
      </c>
      <c r="J523" s="27" t="s">
        <v>1774</v>
      </c>
      <c r="K523" s="27" t="s">
        <v>34</v>
      </c>
      <c r="L523" s="27" t="s">
        <v>1291</v>
      </c>
      <c r="M523" s="27" t="s">
        <v>1775</v>
      </c>
      <c r="N523" s="17">
        <f t="shared" si="40"/>
        <v>45054</v>
      </c>
      <c r="O523" s="13" t="s">
        <v>1776</v>
      </c>
      <c r="P523" s="13" t="s">
        <v>1606</v>
      </c>
      <c r="Q523" s="13" t="s">
        <v>38</v>
      </c>
      <c r="R523" s="13" t="s">
        <v>365</v>
      </c>
      <c r="S523" s="13" t="s">
        <v>37</v>
      </c>
      <c r="T523" s="28">
        <v>31.22</v>
      </c>
      <c r="U523" s="13" t="s">
        <v>365</v>
      </c>
      <c r="V523" s="13" t="s">
        <v>89</v>
      </c>
      <c r="W523" s="13" t="s">
        <v>30</v>
      </c>
      <c r="X523" s="17">
        <f>DATE(2023,7,27)</f>
        <v>45134</v>
      </c>
      <c r="Y523" s="3"/>
    </row>
    <row r="524" spans="1:25" ht="45" customHeight="1">
      <c r="A524" s="3">
        <v>522</v>
      </c>
      <c r="B524" s="13" t="s">
        <v>2106</v>
      </c>
      <c r="C524" s="13" t="s">
        <v>26</v>
      </c>
      <c r="D524" s="13" t="s">
        <v>2107</v>
      </c>
      <c r="E524" s="13" t="s">
        <v>28</v>
      </c>
      <c r="F524" s="13" t="s">
        <v>29</v>
      </c>
      <c r="G524" s="13" t="s">
        <v>79</v>
      </c>
      <c r="H524" s="13" t="s">
        <v>1031</v>
      </c>
      <c r="I524" s="27" t="s">
        <v>365</v>
      </c>
      <c r="J524" s="27" t="s">
        <v>1774</v>
      </c>
      <c r="K524" s="27" t="s">
        <v>34</v>
      </c>
      <c r="L524" s="27" t="s">
        <v>1291</v>
      </c>
      <c r="M524" s="27" t="s">
        <v>1775</v>
      </c>
      <c r="N524" s="17">
        <f t="shared" si="40"/>
        <v>45054</v>
      </c>
      <c r="O524" s="13" t="s">
        <v>1776</v>
      </c>
      <c r="P524" s="13" t="s">
        <v>498</v>
      </c>
      <c r="Q524" s="13" t="s">
        <v>38</v>
      </c>
      <c r="R524" s="13" t="s">
        <v>365</v>
      </c>
      <c r="S524" s="13" t="s">
        <v>81</v>
      </c>
      <c r="T524" s="28">
        <v>27.49</v>
      </c>
      <c r="U524" s="13" t="s">
        <v>28</v>
      </c>
      <c r="V524" s="13" t="s">
        <v>146</v>
      </c>
      <c r="W524" s="13" t="s">
        <v>79</v>
      </c>
      <c r="X524" s="17">
        <f>DATE(2023,8,8)</f>
        <v>45146</v>
      </c>
      <c r="Y524" s="3"/>
    </row>
    <row r="525" spans="1:25" ht="45" customHeight="1">
      <c r="A525" s="3">
        <v>523</v>
      </c>
      <c r="B525" s="13" t="s">
        <v>2108</v>
      </c>
      <c r="C525" s="13" t="s">
        <v>26</v>
      </c>
      <c r="D525" s="13" t="s">
        <v>2109</v>
      </c>
      <c r="E525" s="13" t="s">
        <v>28</v>
      </c>
      <c r="F525" s="13" t="s">
        <v>29</v>
      </c>
      <c r="G525" s="13" t="s">
        <v>79</v>
      </c>
      <c r="H525" s="13" t="s">
        <v>1031</v>
      </c>
      <c r="I525" s="27" t="s">
        <v>365</v>
      </c>
      <c r="J525" s="27" t="s">
        <v>1774</v>
      </c>
      <c r="K525" s="27" t="s">
        <v>34</v>
      </c>
      <c r="L525" s="27" t="s">
        <v>1291</v>
      </c>
      <c r="M525" s="27" t="s">
        <v>1775</v>
      </c>
      <c r="N525" s="17">
        <f t="shared" si="40"/>
        <v>45054</v>
      </c>
      <c r="O525" s="13" t="s">
        <v>1776</v>
      </c>
      <c r="P525" s="13" t="s">
        <v>263</v>
      </c>
      <c r="Q525" s="13" t="s">
        <v>38</v>
      </c>
      <c r="R525" s="13" t="s">
        <v>365</v>
      </c>
      <c r="S525" s="13" t="s">
        <v>81</v>
      </c>
      <c r="T525" s="28">
        <v>33.39</v>
      </c>
      <c r="U525" s="13" t="s">
        <v>28</v>
      </c>
      <c r="V525" s="13" t="s">
        <v>53</v>
      </c>
      <c r="W525" s="13" t="s">
        <v>79</v>
      </c>
      <c r="X525" s="17">
        <f>DATE(2023,8,8)</f>
        <v>45146</v>
      </c>
      <c r="Y525" s="3"/>
    </row>
    <row r="526" spans="1:25" ht="45" customHeight="1">
      <c r="A526" s="3">
        <v>524</v>
      </c>
      <c r="B526" s="13" t="s">
        <v>2110</v>
      </c>
      <c r="C526" s="13" t="s">
        <v>26</v>
      </c>
      <c r="D526" s="13" t="s">
        <v>2111</v>
      </c>
      <c r="E526" s="13" t="s">
        <v>1064</v>
      </c>
      <c r="F526" s="13" t="s">
        <v>29</v>
      </c>
      <c r="G526" s="13" t="s">
        <v>72</v>
      </c>
      <c r="H526" s="13" t="s">
        <v>1031</v>
      </c>
      <c r="I526" s="27" t="s">
        <v>365</v>
      </c>
      <c r="J526" s="27" t="s">
        <v>1774</v>
      </c>
      <c r="K526" s="27" t="s">
        <v>34</v>
      </c>
      <c r="L526" s="27" t="s">
        <v>1291</v>
      </c>
      <c r="M526" s="27" t="s">
        <v>1775</v>
      </c>
      <c r="N526" s="17">
        <f t="shared" si="40"/>
        <v>45054</v>
      </c>
      <c r="O526" s="13" t="s">
        <v>1776</v>
      </c>
      <c r="P526" s="13" t="s">
        <v>1100</v>
      </c>
      <c r="Q526" s="13" t="s">
        <v>38</v>
      </c>
      <c r="R526" s="13" t="s">
        <v>365</v>
      </c>
      <c r="S526" s="13" t="s">
        <v>74</v>
      </c>
      <c r="T526" s="28">
        <v>36.18</v>
      </c>
      <c r="U526" s="13" t="s">
        <v>365</v>
      </c>
      <c r="V526" s="13" t="s">
        <v>89</v>
      </c>
      <c r="W526" s="13" t="s">
        <v>72</v>
      </c>
      <c r="X526" s="17">
        <f>DATE(2023,8,8)</f>
        <v>45146</v>
      </c>
      <c r="Y526" s="3"/>
    </row>
    <row r="527" spans="1:25" ht="45" customHeight="1">
      <c r="A527" s="3">
        <v>525</v>
      </c>
      <c r="B527" s="13" t="s">
        <v>2112</v>
      </c>
      <c r="C527" s="13" t="s">
        <v>26</v>
      </c>
      <c r="D527" s="13" t="s">
        <v>2113</v>
      </c>
      <c r="E527" s="13" t="s">
        <v>28</v>
      </c>
      <c r="F527" s="13" t="s">
        <v>29</v>
      </c>
      <c r="G527" s="13" t="s">
        <v>79</v>
      </c>
      <c r="H527" s="13" t="s">
        <v>1031</v>
      </c>
      <c r="I527" s="27" t="s">
        <v>365</v>
      </c>
      <c r="J527" s="27" t="s">
        <v>1774</v>
      </c>
      <c r="K527" s="27" t="s">
        <v>34</v>
      </c>
      <c r="L527" s="27" t="s">
        <v>1291</v>
      </c>
      <c r="M527" s="27" t="s">
        <v>1775</v>
      </c>
      <c r="N527" s="17">
        <f t="shared" si="40"/>
        <v>45054</v>
      </c>
      <c r="O527" s="13" t="s">
        <v>1776</v>
      </c>
      <c r="P527" s="13" t="s">
        <v>263</v>
      </c>
      <c r="Q527" s="13" t="s">
        <v>38</v>
      </c>
      <c r="R527" s="13" t="s">
        <v>365</v>
      </c>
      <c r="S527" s="13" t="s">
        <v>81</v>
      </c>
      <c r="T527" s="28">
        <v>27.04</v>
      </c>
      <c r="U527" s="13" t="s">
        <v>28</v>
      </c>
      <c r="V527" s="13" t="s">
        <v>53</v>
      </c>
      <c r="W527" s="13" t="s">
        <v>79</v>
      </c>
      <c r="X527" s="17">
        <f>DATE(2023,8,8)</f>
        <v>45146</v>
      </c>
      <c r="Y527" s="3"/>
    </row>
    <row r="528" spans="1:25" ht="45" customHeight="1">
      <c r="A528" s="3">
        <v>526</v>
      </c>
      <c r="B528" s="13" t="s">
        <v>2114</v>
      </c>
      <c r="C528" s="13" t="s">
        <v>26</v>
      </c>
      <c r="D528" s="13" t="s">
        <v>2115</v>
      </c>
      <c r="E528" s="13" t="s">
        <v>28</v>
      </c>
      <c r="F528" s="13" t="s">
        <v>29</v>
      </c>
      <c r="G528" s="13" t="s">
        <v>79</v>
      </c>
      <c r="H528" s="13" t="s">
        <v>1031</v>
      </c>
      <c r="I528" s="27" t="s">
        <v>365</v>
      </c>
      <c r="J528" s="27" t="s">
        <v>1774</v>
      </c>
      <c r="K528" s="27" t="s">
        <v>34</v>
      </c>
      <c r="L528" s="27" t="s">
        <v>1291</v>
      </c>
      <c r="M528" s="27" t="s">
        <v>1775</v>
      </c>
      <c r="N528" s="17">
        <f t="shared" si="40"/>
        <v>45054</v>
      </c>
      <c r="O528" s="13" t="s">
        <v>1776</v>
      </c>
      <c r="P528" s="13" t="s">
        <v>81</v>
      </c>
      <c r="Q528" s="13" t="s">
        <v>38</v>
      </c>
      <c r="R528" s="13" t="s">
        <v>2116</v>
      </c>
      <c r="S528" s="13" t="s">
        <v>81</v>
      </c>
      <c r="T528" s="28">
        <v>34.97</v>
      </c>
      <c r="U528" s="13" t="s">
        <v>28</v>
      </c>
      <c r="V528" s="13" t="s">
        <v>752</v>
      </c>
      <c r="W528" s="13" t="s">
        <v>79</v>
      </c>
      <c r="X528" s="17">
        <f>DATE(2023,8,8)</f>
        <v>45146</v>
      </c>
      <c r="Y528" s="3"/>
    </row>
    <row r="529" spans="1:25" ht="45" customHeight="1">
      <c r="A529" s="3">
        <v>527</v>
      </c>
      <c r="B529" s="13" t="s">
        <v>2117</v>
      </c>
      <c r="C529" s="13" t="s">
        <v>26</v>
      </c>
      <c r="D529" s="13" t="s">
        <v>2118</v>
      </c>
      <c r="E529" s="13" t="s">
        <v>1064</v>
      </c>
      <c r="F529" s="13" t="s">
        <v>29</v>
      </c>
      <c r="G529" s="13" t="s">
        <v>56</v>
      </c>
      <c r="H529" s="13" t="s">
        <v>1031</v>
      </c>
      <c r="I529" s="27" t="s">
        <v>365</v>
      </c>
      <c r="J529" s="27" t="s">
        <v>1774</v>
      </c>
      <c r="K529" s="27" t="s">
        <v>34</v>
      </c>
      <c r="L529" s="27" t="s">
        <v>1291</v>
      </c>
      <c r="M529" s="27" t="s">
        <v>1775</v>
      </c>
      <c r="N529" s="17">
        <f t="shared" si="40"/>
        <v>45054</v>
      </c>
      <c r="O529" s="13" t="s">
        <v>1776</v>
      </c>
      <c r="P529" s="13" t="s">
        <v>203</v>
      </c>
      <c r="Q529" s="13" t="s">
        <v>38</v>
      </c>
      <c r="R529" s="13" t="s">
        <v>365</v>
      </c>
      <c r="S529" s="13" t="s">
        <v>58</v>
      </c>
      <c r="T529" s="28">
        <v>33.08</v>
      </c>
      <c r="U529" s="13" t="s">
        <v>365</v>
      </c>
      <c r="V529" s="13" t="s">
        <v>89</v>
      </c>
      <c r="W529" s="13" t="s">
        <v>56</v>
      </c>
      <c r="X529" s="17">
        <f>DATE(2023,7,27)</f>
        <v>45134</v>
      </c>
      <c r="Y529" s="3"/>
    </row>
    <row r="530" spans="1:25" ht="45" customHeight="1">
      <c r="A530" s="3">
        <v>528</v>
      </c>
      <c r="B530" s="13" t="s">
        <v>2119</v>
      </c>
      <c r="C530" s="13" t="s">
        <v>26</v>
      </c>
      <c r="D530" s="13" t="s">
        <v>2120</v>
      </c>
      <c r="E530" s="13" t="s">
        <v>28</v>
      </c>
      <c r="F530" s="13" t="s">
        <v>453</v>
      </c>
      <c r="G530" s="13" t="s">
        <v>454</v>
      </c>
      <c r="H530" s="13" t="s">
        <v>453</v>
      </c>
      <c r="I530" s="27" t="s">
        <v>365</v>
      </c>
      <c r="J530" s="27" t="s">
        <v>1774</v>
      </c>
      <c r="K530" s="27" t="s">
        <v>34</v>
      </c>
      <c r="L530" s="27" t="s">
        <v>1291</v>
      </c>
      <c r="M530" s="27" t="s">
        <v>1775</v>
      </c>
      <c r="N530" s="17">
        <f t="shared" si="40"/>
        <v>45054</v>
      </c>
      <c r="O530" s="13" t="s">
        <v>1776</v>
      </c>
      <c r="P530" s="13" t="s">
        <v>456</v>
      </c>
      <c r="Q530" s="13" t="s">
        <v>38</v>
      </c>
      <c r="R530" s="13" t="s">
        <v>365</v>
      </c>
      <c r="S530" s="13" t="s">
        <v>458</v>
      </c>
      <c r="T530" s="28">
        <v>33.83</v>
      </c>
      <c r="U530" s="13" t="s">
        <v>28</v>
      </c>
      <c r="V530" s="13" t="s">
        <v>146</v>
      </c>
      <c r="W530" s="13" t="s">
        <v>454</v>
      </c>
      <c r="X530" s="17">
        <f>DATE(2023,8,8)</f>
        <v>45146</v>
      </c>
      <c r="Y530" s="3"/>
    </row>
    <row r="531" spans="1:25" ht="45" customHeight="1">
      <c r="A531" s="3">
        <v>529</v>
      </c>
      <c r="B531" s="13" t="s">
        <v>2121</v>
      </c>
      <c r="C531" s="13" t="s">
        <v>26</v>
      </c>
      <c r="D531" s="13" t="s">
        <v>2122</v>
      </c>
      <c r="E531" s="13" t="s">
        <v>1064</v>
      </c>
      <c r="F531" s="13" t="s">
        <v>29</v>
      </c>
      <c r="G531" s="13" t="s">
        <v>85</v>
      </c>
      <c r="H531" s="13" t="s">
        <v>1031</v>
      </c>
      <c r="I531" s="27" t="s">
        <v>365</v>
      </c>
      <c r="J531" s="27" t="s">
        <v>1774</v>
      </c>
      <c r="K531" s="27" t="s">
        <v>34</v>
      </c>
      <c r="L531" s="27" t="s">
        <v>1291</v>
      </c>
      <c r="M531" s="27" t="s">
        <v>1775</v>
      </c>
      <c r="N531" s="17">
        <f t="shared" si="40"/>
        <v>45054</v>
      </c>
      <c r="O531" s="13" t="s">
        <v>1776</v>
      </c>
      <c r="P531" s="13" t="s">
        <v>1060</v>
      </c>
      <c r="Q531" s="13" t="s">
        <v>38</v>
      </c>
      <c r="R531" s="13" t="s">
        <v>365</v>
      </c>
      <c r="S531" s="13" t="s">
        <v>87</v>
      </c>
      <c r="T531" s="28">
        <v>33.75</v>
      </c>
      <c r="U531" s="13" t="s">
        <v>365</v>
      </c>
      <c r="V531" s="13" t="s">
        <v>53</v>
      </c>
      <c r="W531" s="13" t="s">
        <v>85</v>
      </c>
      <c r="X531" s="17">
        <f>DATE(2023,8,8)</f>
        <v>45146</v>
      </c>
      <c r="Y531" s="3"/>
    </row>
    <row r="532" spans="1:25" ht="45" customHeight="1">
      <c r="A532" s="3">
        <v>530</v>
      </c>
      <c r="B532" s="13" t="s">
        <v>2123</v>
      </c>
      <c r="C532" s="13" t="s">
        <v>26</v>
      </c>
      <c r="D532" s="13" t="s">
        <v>2124</v>
      </c>
      <c r="E532" s="13" t="s">
        <v>1064</v>
      </c>
      <c r="F532" s="13" t="s">
        <v>29</v>
      </c>
      <c r="G532" s="13" t="s">
        <v>30</v>
      </c>
      <c r="H532" s="13" t="s">
        <v>1031</v>
      </c>
      <c r="I532" s="27" t="s">
        <v>365</v>
      </c>
      <c r="J532" s="27" t="s">
        <v>1774</v>
      </c>
      <c r="K532" s="27" t="s">
        <v>34</v>
      </c>
      <c r="L532" s="27" t="s">
        <v>1291</v>
      </c>
      <c r="M532" s="27" t="s">
        <v>1775</v>
      </c>
      <c r="N532" s="17">
        <f t="shared" si="40"/>
        <v>45054</v>
      </c>
      <c r="O532" s="13" t="s">
        <v>1776</v>
      </c>
      <c r="P532" s="13" t="s">
        <v>1781</v>
      </c>
      <c r="Q532" s="13" t="s">
        <v>38</v>
      </c>
      <c r="R532" s="13" t="s">
        <v>365</v>
      </c>
      <c r="S532" s="13" t="s">
        <v>37</v>
      </c>
      <c r="T532" s="28">
        <v>33.43</v>
      </c>
      <c r="U532" s="13" t="s">
        <v>365</v>
      </c>
      <c r="V532" s="13" t="s">
        <v>53</v>
      </c>
      <c r="W532" s="13" t="s">
        <v>30</v>
      </c>
      <c r="X532" s="17">
        <f>DATE(2023,7,27)</f>
        <v>45134</v>
      </c>
      <c r="Y532" s="3"/>
    </row>
    <row r="533" spans="1:25" ht="45" customHeight="1">
      <c r="A533" s="3">
        <v>531</v>
      </c>
      <c r="B533" s="13" t="s">
        <v>2125</v>
      </c>
      <c r="C533" s="13" t="s">
        <v>26</v>
      </c>
      <c r="D533" s="13" t="s">
        <v>2126</v>
      </c>
      <c r="E533" s="13" t="s">
        <v>1064</v>
      </c>
      <c r="F533" s="13" t="s">
        <v>29</v>
      </c>
      <c r="G533" s="13" t="s">
        <v>30</v>
      </c>
      <c r="H533" s="13" t="s">
        <v>1031</v>
      </c>
      <c r="I533" s="27" t="s">
        <v>365</v>
      </c>
      <c r="J533" s="27" t="s">
        <v>1774</v>
      </c>
      <c r="K533" s="27" t="s">
        <v>34</v>
      </c>
      <c r="L533" s="27" t="s">
        <v>1291</v>
      </c>
      <c r="M533" s="27" t="s">
        <v>1775</v>
      </c>
      <c r="N533" s="17">
        <f t="shared" si="40"/>
        <v>45054</v>
      </c>
      <c r="O533" s="13" t="s">
        <v>1776</v>
      </c>
      <c r="P533" s="13" t="s">
        <v>1154</v>
      </c>
      <c r="Q533" s="13" t="s">
        <v>38</v>
      </c>
      <c r="R533" s="13" t="s">
        <v>365</v>
      </c>
      <c r="S533" s="13" t="s">
        <v>37</v>
      </c>
      <c r="T533" s="28">
        <v>27.06</v>
      </c>
      <c r="U533" s="13" t="s">
        <v>365</v>
      </c>
      <c r="V533" s="13" t="s">
        <v>146</v>
      </c>
      <c r="W533" s="13" t="s">
        <v>30</v>
      </c>
      <c r="X533" s="17">
        <f>DATE(2023,7,27)</f>
        <v>45134</v>
      </c>
      <c r="Y533" s="3"/>
    </row>
    <row r="534" spans="1:25" ht="45" customHeight="1">
      <c r="A534" s="3">
        <v>532</v>
      </c>
      <c r="B534" s="13" t="s">
        <v>2127</v>
      </c>
      <c r="C534" s="13" t="s">
        <v>26</v>
      </c>
      <c r="D534" s="13" t="s">
        <v>2128</v>
      </c>
      <c r="E534" s="13" t="s">
        <v>1064</v>
      </c>
      <c r="F534" s="13" t="s">
        <v>29</v>
      </c>
      <c r="G534" s="13" t="s">
        <v>30</v>
      </c>
      <c r="H534" s="13" t="s">
        <v>1031</v>
      </c>
      <c r="I534" s="27" t="s">
        <v>365</v>
      </c>
      <c r="J534" s="27" t="s">
        <v>1774</v>
      </c>
      <c r="K534" s="27" t="s">
        <v>34</v>
      </c>
      <c r="L534" s="27" t="s">
        <v>1291</v>
      </c>
      <c r="M534" s="27" t="s">
        <v>1775</v>
      </c>
      <c r="N534" s="17">
        <f t="shared" si="40"/>
        <v>45054</v>
      </c>
      <c r="O534" s="13" t="s">
        <v>1776</v>
      </c>
      <c r="P534" s="13" t="s">
        <v>1781</v>
      </c>
      <c r="Q534" s="13" t="s">
        <v>38</v>
      </c>
      <c r="R534" s="13" t="s">
        <v>365</v>
      </c>
      <c r="S534" s="13" t="s">
        <v>37</v>
      </c>
      <c r="T534" s="28">
        <v>38.83</v>
      </c>
      <c r="U534" s="13" t="s">
        <v>365</v>
      </c>
      <c r="V534" s="13" t="s">
        <v>53</v>
      </c>
      <c r="W534" s="13" t="s">
        <v>30</v>
      </c>
      <c r="X534" s="17">
        <f>DATE(2023,7,27)</f>
        <v>45134</v>
      </c>
      <c r="Y534" s="3"/>
    </row>
    <row r="535" spans="1:25" ht="45" customHeight="1">
      <c r="A535" s="3">
        <v>533</v>
      </c>
      <c r="B535" s="13" t="s">
        <v>2129</v>
      </c>
      <c r="C535" s="13" t="s">
        <v>26</v>
      </c>
      <c r="D535" s="13" t="s">
        <v>2130</v>
      </c>
      <c r="E535" s="13" t="s">
        <v>1064</v>
      </c>
      <c r="F535" s="13" t="s">
        <v>29</v>
      </c>
      <c r="G535" s="13" t="s">
        <v>85</v>
      </c>
      <c r="H535" s="13" t="s">
        <v>1031</v>
      </c>
      <c r="I535" s="27" t="s">
        <v>365</v>
      </c>
      <c r="J535" s="27" t="s">
        <v>1774</v>
      </c>
      <c r="K535" s="27" t="s">
        <v>34</v>
      </c>
      <c r="L535" s="27" t="s">
        <v>1291</v>
      </c>
      <c r="M535" s="27" t="s">
        <v>1775</v>
      </c>
      <c r="N535" s="17">
        <f t="shared" si="40"/>
        <v>45054</v>
      </c>
      <c r="O535" s="13" t="s">
        <v>1776</v>
      </c>
      <c r="P535" s="13" t="s">
        <v>1060</v>
      </c>
      <c r="Q535" s="13" t="s">
        <v>38</v>
      </c>
      <c r="R535" s="13" t="s">
        <v>365</v>
      </c>
      <c r="S535" s="13" t="s">
        <v>87</v>
      </c>
      <c r="T535" s="28">
        <v>25.92</v>
      </c>
      <c r="U535" s="13" t="s">
        <v>365</v>
      </c>
      <c r="V535" s="13" t="s">
        <v>53</v>
      </c>
      <c r="W535" s="13" t="s">
        <v>85</v>
      </c>
      <c r="X535" s="17">
        <f>DATE(2023,8,8)</f>
        <v>45146</v>
      </c>
      <c r="Y535" s="3"/>
    </row>
    <row r="536" spans="1:25" ht="45" customHeight="1">
      <c r="A536" s="3">
        <v>534</v>
      </c>
      <c r="B536" s="13" t="s">
        <v>2131</v>
      </c>
      <c r="C536" s="13" t="s">
        <v>26</v>
      </c>
      <c r="D536" s="13" t="s">
        <v>2132</v>
      </c>
      <c r="E536" s="13" t="s">
        <v>1064</v>
      </c>
      <c r="F536" s="13" t="s">
        <v>29</v>
      </c>
      <c r="G536" s="13" t="s">
        <v>85</v>
      </c>
      <c r="H536" s="13" t="s">
        <v>1031</v>
      </c>
      <c r="I536" s="27" t="s">
        <v>365</v>
      </c>
      <c r="J536" s="27" t="s">
        <v>1774</v>
      </c>
      <c r="K536" s="27" t="s">
        <v>34</v>
      </c>
      <c r="L536" s="27" t="s">
        <v>1291</v>
      </c>
      <c r="M536" s="27" t="s">
        <v>1775</v>
      </c>
      <c r="N536" s="17">
        <f t="shared" si="40"/>
        <v>45054</v>
      </c>
      <c r="O536" s="13" t="s">
        <v>1776</v>
      </c>
      <c r="P536" s="13" t="s">
        <v>1060</v>
      </c>
      <c r="Q536" s="13" t="s">
        <v>38</v>
      </c>
      <c r="R536" s="13" t="s">
        <v>365</v>
      </c>
      <c r="S536" s="13" t="s">
        <v>87</v>
      </c>
      <c r="T536" s="28">
        <v>26.67</v>
      </c>
      <c r="U536" s="13" t="s">
        <v>365</v>
      </c>
      <c r="V536" s="13" t="s">
        <v>53</v>
      </c>
      <c r="W536" s="13" t="s">
        <v>85</v>
      </c>
      <c r="X536" s="17">
        <f>DATE(2023,8,8)</f>
        <v>45146</v>
      </c>
      <c r="Y536" s="3"/>
    </row>
    <row r="537" spans="1:25" ht="45" customHeight="1">
      <c r="A537" s="3">
        <v>535</v>
      </c>
      <c r="B537" s="13" t="s">
        <v>2133</v>
      </c>
      <c r="C537" s="13" t="s">
        <v>26</v>
      </c>
      <c r="D537" s="13" t="s">
        <v>2134</v>
      </c>
      <c r="E537" s="13" t="s">
        <v>1064</v>
      </c>
      <c r="F537" s="13" t="s">
        <v>29</v>
      </c>
      <c r="G537" s="13" t="s">
        <v>85</v>
      </c>
      <c r="H537" s="13" t="s">
        <v>1031</v>
      </c>
      <c r="I537" s="27" t="s">
        <v>365</v>
      </c>
      <c r="J537" s="27" t="s">
        <v>1774</v>
      </c>
      <c r="K537" s="27" t="s">
        <v>34</v>
      </c>
      <c r="L537" s="27" t="s">
        <v>1291</v>
      </c>
      <c r="M537" s="27" t="s">
        <v>1775</v>
      </c>
      <c r="N537" s="17">
        <f t="shared" si="40"/>
        <v>45054</v>
      </c>
      <c r="O537" s="13" t="s">
        <v>1776</v>
      </c>
      <c r="P537" s="13" t="s">
        <v>87</v>
      </c>
      <c r="Q537" s="13" t="s">
        <v>38</v>
      </c>
      <c r="R537" s="13" t="s">
        <v>365</v>
      </c>
      <c r="S537" s="13" t="s">
        <v>87</v>
      </c>
      <c r="T537" s="28">
        <v>31.13</v>
      </c>
      <c r="U537" s="13" t="s">
        <v>365</v>
      </c>
      <c r="V537" s="13" t="s">
        <v>89</v>
      </c>
      <c r="W537" s="13" t="s">
        <v>85</v>
      </c>
      <c r="X537" s="17">
        <f>DATE(2023,8,8)</f>
        <v>45146</v>
      </c>
      <c r="Y537" s="3"/>
    </row>
    <row r="538" spans="1:25" ht="45" customHeight="1">
      <c r="A538" s="3">
        <v>536</v>
      </c>
      <c r="B538" s="13" t="s">
        <v>2135</v>
      </c>
      <c r="C538" s="13" t="s">
        <v>26</v>
      </c>
      <c r="D538" s="13" t="s">
        <v>2136</v>
      </c>
      <c r="E538" s="13" t="s">
        <v>1064</v>
      </c>
      <c r="F538" s="13" t="s">
        <v>29</v>
      </c>
      <c r="G538" s="13" t="s">
        <v>537</v>
      </c>
      <c r="H538" s="13" t="s">
        <v>1031</v>
      </c>
      <c r="I538" s="27" t="s">
        <v>365</v>
      </c>
      <c r="J538" s="27" t="s">
        <v>1774</v>
      </c>
      <c r="K538" s="27" t="s">
        <v>34</v>
      </c>
      <c r="L538" s="27" t="s">
        <v>1291</v>
      </c>
      <c r="M538" s="27" t="s">
        <v>1775</v>
      </c>
      <c r="N538" s="17">
        <f t="shared" si="40"/>
        <v>45054</v>
      </c>
      <c r="O538" s="13" t="s">
        <v>1776</v>
      </c>
      <c r="P538" s="13" t="s">
        <v>549</v>
      </c>
      <c r="Q538" s="13" t="s">
        <v>38</v>
      </c>
      <c r="R538" s="13" t="s">
        <v>365</v>
      </c>
      <c r="S538" s="13" t="s">
        <v>64</v>
      </c>
      <c r="T538" s="28">
        <v>27.75</v>
      </c>
      <c r="U538" s="13" t="s">
        <v>365</v>
      </c>
      <c r="V538" s="13" t="s">
        <v>53</v>
      </c>
      <c r="W538" s="13" t="s">
        <v>537</v>
      </c>
      <c r="X538" s="17">
        <f>DATE(2023,8,8)</f>
        <v>45146</v>
      </c>
      <c r="Y538" s="3"/>
    </row>
    <row r="539" spans="1:25" ht="45" customHeight="1">
      <c r="A539" s="3">
        <v>537</v>
      </c>
      <c r="B539" s="13" t="s">
        <v>2137</v>
      </c>
      <c r="C539" s="13" t="s">
        <v>26</v>
      </c>
      <c r="D539" s="13" t="s">
        <v>2138</v>
      </c>
      <c r="E539" s="13" t="s">
        <v>1064</v>
      </c>
      <c r="F539" s="13" t="s">
        <v>29</v>
      </c>
      <c r="G539" s="13" t="s">
        <v>85</v>
      </c>
      <c r="H539" s="13" t="s">
        <v>1031</v>
      </c>
      <c r="I539" s="27" t="s">
        <v>365</v>
      </c>
      <c r="J539" s="27" t="s">
        <v>1774</v>
      </c>
      <c r="K539" s="27" t="s">
        <v>34</v>
      </c>
      <c r="L539" s="27" t="s">
        <v>1291</v>
      </c>
      <c r="M539" s="27" t="s">
        <v>1775</v>
      </c>
      <c r="N539" s="17">
        <f t="shared" si="40"/>
        <v>45054</v>
      </c>
      <c r="O539" s="13" t="s">
        <v>1776</v>
      </c>
      <c r="P539" s="13" t="s">
        <v>230</v>
      </c>
      <c r="Q539" s="13" t="s">
        <v>38</v>
      </c>
      <c r="R539" s="13" t="s">
        <v>365</v>
      </c>
      <c r="S539" s="13" t="s">
        <v>87</v>
      </c>
      <c r="T539" s="28">
        <v>30.72</v>
      </c>
      <c r="U539" s="13" t="s">
        <v>365</v>
      </c>
      <c r="V539" s="13" t="s">
        <v>146</v>
      </c>
      <c r="W539" s="13" t="s">
        <v>85</v>
      </c>
      <c r="X539" s="17">
        <f>DATE(2023,7,27)</f>
        <v>45134</v>
      </c>
      <c r="Y539" s="3"/>
    </row>
    <row r="540" spans="1:25" ht="45" customHeight="1">
      <c r="A540" s="3">
        <v>538</v>
      </c>
      <c r="B540" s="13" t="s">
        <v>2139</v>
      </c>
      <c r="C540" s="13" t="s">
        <v>26</v>
      </c>
      <c r="D540" s="13" t="s">
        <v>2140</v>
      </c>
      <c r="E540" s="13" t="s">
        <v>1064</v>
      </c>
      <c r="F540" s="13" t="s">
        <v>29</v>
      </c>
      <c r="G540" s="13" t="s">
        <v>43</v>
      </c>
      <c r="H540" s="13" t="s">
        <v>1031</v>
      </c>
      <c r="I540" s="27" t="s">
        <v>365</v>
      </c>
      <c r="J540" s="27" t="s">
        <v>1774</v>
      </c>
      <c r="K540" s="27" t="s">
        <v>34</v>
      </c>
      <c r="L540" s="27" t="s">
        <v>1291</v>
      </c>
      <c r="M540" s="27" t="s">
        <v>1775</v>
      </c>
      <c r="N540" s="17">
        <f t="shared" si="40"/>
        <v>45054</v>
      </c>
      <c r="O540" s="13" t="s">
        <v>1776</v>
      </c>
      <c r="P540" s="13" t="s">
        <v>37</v>
      </c>
      <c r="Q540" s="13" t="s">
        <v>38</v>
      </c>
      <c r="R540" s="13" t="s">
        <v>365</v>
      </c>
      <c r="S540" s="13" t="s">
        <v>37</v>
      </c>
      <c r="T540" s="28">
        <v>35.799999999999997</v>
      </c>
      <c r="U540" s="13" t="s">
        <v>365</v>
      </c>
      <c r="V540" s="13" t="s">
        <v>89</v>
      </c>
      <c r="W540" s="13" t="s">
        <v>43</v>
      </c>
      <c r="X540" s="17">
        <f t="shared" ref="X540:X545" si="42">DATE(2023,8,8)</f>
        <v>45146</v>
      </c>
      <c r="Y540" s="3"/>
    </row>
    <row r="541" spans="1:25" ht="45" customHeight="1">
      <c r="A541" s="3">
        <v>539</v>
      </c>
      <c r="B541" s="13" t="s">
        <v>2141</v>
      </c>
      <c r="C541" s="13" t="s">
        <v>26</v>
      </c>
      <c r="D541" s="13" t="s">
        <v>2142</v>
      </c>
      <c r="E541" s="13" t="s">
        <v>1064</v>
      </c>
      <c r="F541" s="13" t="s">
        <v>29</v>
      </c>
      <c r="G541" s="13" t="s">
        <v>537</v>
      </c>
      <c r="H541" s="13" t="s">
        <v>1031</v>
      </c>
      <c r="I541" s="27" t="s">
        <v>365</v>
      </c>
      <c r="J541" s="27" t="s">
        <v>1774</v>
      </c>
      <c r="K541" s="27" t="s">
        <v>34</v>
      </c>
      <c r="L541" s="27" t="s">
        <v>1291</v>
      </c>
      <c r="M541" s="27" t="s">
        <v>1775</v>
      </c>
      <c r="N541" s="17">
        <f t="shared" si="40"/>
        <v>45054</v>
      </c>
      <c r="O541" s="13" t="s">
        <v>1776</v>
      </c>
      <c r="P541" s="13" t="s">
        <v>64</v>
      </c>
      <c r="Q541" s="13" t="s">
        <v>38</v>
      </c>
      <c r="R541" s="13" t="s">
        <v>365</v>
      </c>
      <c r="S541" s="13" t="s">
        <v>64</v>
      </c>
      <c r="T541" s="28">
        <v>33.51</v>
      </c>
      <c r="U541" s="13" t="s">
        <v>365</v>
      </c>
      <c r="V541" s="13" t="s">
        <v>89</v>
      </c>
      <c r="W541" s="13" t="s">
        <v>537</v>
      </c>
      <c r="X541" s="17">
        <f t="shared" si="42"/>
        <v>45146</v>
      </c>
      <c r="Y541" s="3"/>
    </row>
    <row r="542" spans="1:25" ht="45" customHeight="1">
      <c r="A542" s="3">
        <v>540</v>
      </c>
      <c r="B542" s="13" t="s">
        <v>2143</v>
      </c>
      <c r="C542" s="13" t="s">
        <v>26</v>
      </c>
      <c r="D542" s="13" t="s">
        <v>2144</v>
      </c>
      <c r="E542" s="13" t="s">
        <v>28</v>
      </c>
      <c r="F542" s="13" t="s">
        <v>453</v>
      </c>
      <c r="G542" s="13" t="s">
        <v>454</v>
      </c>
      <c r="H542" s="13" t="s">
        <v>453</v>
      </c>
      <c r="I542" s="27" t="s">
        <v>365</v>
      </c>
      <c r="J542" s="27" t="s">
        <v>1774</v>
      </c>
      <c r="K542" s="27" t="s">
        <v>34</v>
      </c>
      <c r="L542" s="27" t="s">
        <v>1291</v>
      </c>
      <c r="M542" s="27" t="s">
        <v>1775</v>
      </c>
      <c r="N542" s="17">
        <f t="shared" si="40"/>
        <v>45054</v>
      </c>
      <c r="O542" s="13" t="s">
        <v>1776</v>
      </c>
      <c r="P542" s="13" t="s">
        <v>456</v>
      </c>
      <c r="Q542" s="13" t="s">
        <v>38</v>
      </c>
      <c r="R542" s="13" t="s">
        <v>365</v>
      </c>
      <c r="S542" s="13" t="s">
        <v>458</v>
      </c>
      <c r="T542" s="28">
        <v>34.479999999999997</v>
      </c>
      <c r="U542" s="13" t="s">
        <v>28</v>
      </c>
      <c r="V542" s="13" t="s">
        <v>89</v>
      </c>
      <c r="W542" s="13" t="s">
        <v>454</v>
      </c>
      <c r="X542" s="17">
        <f t="shared" si="42"/>
        <v>45146</v>
      </c>
      <c r="Y542" s="3"/>
    </row>
    <row r="543" spans="1:25" ht="45" customHeight="1">
      <c r="A543" s="3">
        <v>541</v>
      </c>
      <c r="B543" s="13" t="s">
        <v>2145</v>
      </c>
      <c r="C543" s="13" t="s">
        <v>26</v>
      </c>
      <c r="D543" s="13" t="s">
        <v>2146</v>
      </c>
      <c r="E543" s="13" t="s">
        <v>1064</v>
      </c>
      <c r="F543" s="13" t="s">
        <v>29</v>
      </c>
      <c r="G543" s="13" t="s">
        <v>43</v>
      </c>
      <c r="H543" s="13" t="s">
        <v>1031</v>
      </c>
      <c r="I543" s="27" t="s">
        <v>365</v>
      </c>
      <c r="J543" s="27" t="s">
        <v>1774</v>
      </c>
      <c r="K543" s="27" t="s">
        <v>34</v>
      </c>
      <c r="L543" s="27" t="s">
        <v>1291</v>
      </c>
      <c r="M543" s="27" t="s">
        <v>1775</v>
      </c>
      <c r="N543" s="17">
        <f t="shared" si="40"/>
        <v>45054</v>
      </c>
      <c r="O543" s="13" t="s">
        <v>1776</v>
      </c>
      <c r="P543" s="13" t="s">
        <v>1134</v>
      </c>
      <c r="Q543" s="13" t="s">
        <v>38</v>
      </c>
      <c r="R543" s="13" t="s">
        <v>365</v>
      </c>
      <c r="S543" s="13" t="s">
        <v>37</v>
      </c>
      <c r="T543" s="28">
        <v>27.89</v>
      </c>
      <c r="U543" s="13" t="s">
        <v>365</v>
      </c>
      <c r="V543" s="13" t="s">
        <v>146</v>
      </c>
      <c r="W543" s="13" t="s">
        <v>43</v>
      </c>
      <c r="X543" s="17">
        <f t="shared" si="42"/>
        <v>45146</v>
      </c>
      <c r="Y543" s="3"/>
    </row>
    <row r="544" spans="1:25" ht="45" customHeight="1">
      <c r="A544" s="3">
        <v>542</v>
      </c>
      <c r="B544" s="13" t="s">
        <v>2147</v>
      </c>
      <c r="C544" s="13" t="s">
        <v>26</v>
      </c>
      <c r="D544" s="13" t="s">
        <v>2148</v>
      </c>
      <c r="E544" s="13" t="s">
        <v>1064</v>
      </c>
      <c r="F544" s="13" t="s">
        <v>29</v>
      </c>
      <c r="G544" s="13" t="s">
        <v>43</v>
      </c>
      <c r="H544" s="13" t="s">
        <v>1031</v>
      </c>
      <c r="I544" s="27" t="s">
        <v>365</v>
      </c>
      <c r="J544" s="27" t="s">
        <v>1774</v>
      </c>
      <c r="K544" s="27" t="s">
        <v>34</v>
      </c>
      <c r="L544" s="27" t="s">
        <v>1291</v>
      </c>
      <c r="M544" s="27" t="s">
        <v>1775</v>
      </c>
      <c r="N544" s="17">
        <f t="shared" si="40"/>
        <v>45054</v>
      </c>
      <c r="O544" s="13" t="s">
        <v>1776</v>
      </c>
      <c r="P544" s="13" t="s">
        <v>1095</v>
      </c>
      <c r="Q544" s="13" t="s">
        <v>38</v>
      </c>
      <c r="R544" s="13" t="s">
        <v>365</v>
      </c>
      <c r="S544" s="13" t="s">
        <v>37</v>
      </c>
      <c r="T544" s="28">
        <v>34.299999999999997</v>
      </c>
      <c r="U544" s="13" t="s">
        <v>365</v>
      </c>
      <c r="V544" s="13" t="s">
        <v>53</v>
      </c>
      <c r="W544" s="13" t="s">
        <v>43</v>
      </c>
      <c r="X544" s="17">
        <f t="shared" si="42"/>
        <v>45146</v>
      </c>
      <c r="Y544" s="3"/>
    </row>
    <row r="545" spans="1:25" ht="45" customHeight="1">
      <c r="A545" s="3">
        <v>543</v>
      </c>
      <c r="B545" s="13" t="s">
        <v>2149</v>
      </c>
      <c r="C545" s="13" t="s">
        <v>26</v>
      </c>
      <c r="D545" s="13" t="s">
        <v>2150</v>
      </c>
      <c r="E545" s="13" t="s">
        <v>1064</v>
      </c>
      <c r="F545" s="13" t="s">
        <v>29</v>
      </c>
      <c r="G545" s="13" t="s">
        <v>85</v>
      </c>
      <c r="H545" s="13" t="s">
        <v>1031</v>
      </c>
      <c r="I545" s="27" t="s">
        <v>365</v>
      </c>
      <c r="J545" s="27" t="s">
        <v>1774</v>
      </c>
      <c r="K545" s="27" t="s">
        <v>34</v>
      </c>
      <c r="L545" s="27" t="s">
        <v>1291</v>
      </c>
      <c r="M545" s="27" t="s">
        <v>1775</v>
      </c>
      <c r="N545" s="17">
        <f t="shared" si="40"/>
        <v>45054</v>
      </c>
      <c r="O545" s="13" t="s">
        <v>1776</v>
      </c>
      <c r="P545" s="13" t="s">
        <v>87</v>
      </c>
      <c r="Q545" s="13" t="s">
        <v>38</v>
      </c>
      <c r="R545" s="13" t="s">
        <v>365</v>
      </c>
      <c r="S545" s="13" t="s">
        <v>87</v>
      </c>
      <c r="T545" s="28">
        <v>39.26</v>
      </c>
      <c r="U545" s="13" t="s">
        <v>365</v>
      </c>
      <c r="V545" s="13" t="s">
        <v>89</v>
      </c>
      <c r="W545" s="13" t="s">
        <v>85</v>
      </c>
      <c r="X545" s="17">
        <f t="shared" si="42"/>
        <v>45146</v>
      </c>
      <c r="Y545" s="3"/>
    </row>
    <row r="546" spans="1:25" ht="45" customHeight="1">
      <c r="A546" s="3">
        <v>544</v>
      </c>
      <c r="B546" s="13" t="s">
        <v>2151</v>
      </c>
      <c r="C546" s="13" t="s">
        <v>26</v>
      </c>
      <c r="D546" s="13" t="s">
        <v>2152</v>
      </c>
      <c r="E546" s="13" t="s">
        <v>1064</v>
      </c>
      <c r="F546" s="13" t="s">
        <v>29</v>
      </c>
      <c r="G546" s="13" t="s">
        <v>56</v>
      </c>
      <c r="H546" s="13" t="s">
        <v>1031</v>
      </c>
      <c r="I546" s="27" t="s">
        <v>365</v>
      </c>
      <c r="J546" s="27" t="s">
        <v>1774</v>
      </c>
      <c r="K546" s="27" t="s">
        <v>34</v>
      </c>
      <c r="L546" s="27" t="s">
        <v>1291</v>
      </c>
      <c r="M546" s="27" t="s">
        <v>1775</v>
      </c>
      <c r="N546" s="17">
        <f t="shared" si="40"/>
        <v>45054</v>
      </c>
      <c r="O546" s="13" t="s">
        <v>1776</v>
      </c>
      <c r="P546" s="13" t="s">
        <v>1033</v>
      </c>
      <c r="Q546" s="13" t="s">
        <v>38</v>
      </c>
      <c r="R546" s="13" t="s">
        <v>365</v>
      </c>
      <c r="S546" s="13" t="s">
        <v>58</v>
      </c>
      <c r="T546" s="28">
        <v>31.11</v>
      </c>
      <c r="U546" s="13" t="s">
        <v>365</v>
      </c>
      <c r="V546" s="13" t="s">
        <v>146</v>
      </c>
      <c r="W546" s="13" t="s">
        <v>56</v>
      </c>
      <c r="X546" s="17">
        <f>DATE(2023,7,27)</f>
        <v>45134</v>
      </c>
      <c r="Y546" s="3"/>
    </row>
    <row r="547" spans="1:25" ht="45" customHeight="1">
      <c r="A547" s="3">
        <v>545</v>
      </c>
      <c r="B547" s="13" t="s">
        <v>2153</v>
      </c>
      <c r="C547" s="13" t="s">
        <v>26</v>
      </c>
      <c r="D547" s="13" t="s">
        <v>2154</v>
      </c>
      <c r="E547" s="13" t="s">
        <v>28</v>
      </c>
      <c r="F547" s="13" t="s">
        <v>29</v>
      </c>
      <c r="G547" s="13" t="s">
        <v>48</v>
      </c>
      <c r="H547" s="13" t="s">
        <v>1031</v>
      </c>
      <c r="I547" s="27" t="s">
        <v>365</v>
      </c>
      <c r="J547" s="27" t="s">
        <v>1774</v>
      </c>
      <c r="K547" s="27" t="s">
        <v>34</v>
      </c>
      <c r="L547" s="27" t="s">
        <v>1291</v>
      </c>
      <c r="M547" s="27" t="s">
        <v>1775</v>
      </c>
      <c r="N547" s="17">
        <f t="shared" si="40"/>
        <v>45054</v>
      </c>
      <c r="O547" s="13" t="s">
        <v>1776</v>
      </c>
      <c r="P547" s="13" t="s">
        <v>50</v>
      </c>
      <c r="Q547" s="13" t="s">
        <v>38</v>
      </c>
      <c r="R547" s="13" t="s">
        <v>365</v>
      </c>
      <c r="S547" s="13" t="s">
        <v>52</v>
      </c>
      <c r="T547" s="28">
        <v>34.799999999999997</v>
      </c>
      <c r="U547" s="13" t="s">
        <v>28</v>
      </c>
      <c r="V547" s="13" t="s">
        <v>53</v>
      </c>
      <c r="W547" s="13" t="s">
        <v>48</v>
      </c>
      <c r="X547" s="17">
        <f t="shared" ref="X547:X562" si="43">DATE(2023,8,8)</f>
        <v>45146</v>
      </c>
      <c r="Y547" s="3"/>
    </row>
    <row r="548" spans="1:25" ht="45" customHeight="1">
      <c r="A548" s="3">
        <v>546</v>
      </c>
      <c r="B548" s="13" t="s">
        <v>2155</v>
      </c>
      <c r="C548" s="13" t="s">
        <v>26</v>
      </c>
      <c r="D548" s="13" t="s">
        <v>2156</v>
      </c>
      <c r="E548" s="13" t="s">
        <v>1064</v>
      </c>
      <c r="F548" s="13" t="s">
        <v>491</v>
      </c>
      <c r="G548" s="13" t="s">
        <v>492</v>
      </c>
      <c r="H548" s="13" t="s">
        <v>406</v>
      </c>
      <c r="I548" s="27" t="s">
        <v>365</v>
      </c>
      <c r="J548" s="27" t="s">
        <v>1774</v>
      </c>
      <c r="K548" s="27" t="s">
        <v>34</v>
      </c>
      <c r="L548" s="27" t="s">
        <v>1291</v>
      </c>
      <c r="M548" s="27" t="s">
        <v>1775</v>
      </c>
      <c r="N548" s="17">
        <f t="shared" si="40"/>
        <v>45054</v>
      </c>
      <c r="O548" s="13" t="s">
        <v>1776</v>
      </c>
      <c r="P548" s="13" t="s">
        <v>505</v>
      </c>
      <c r="Q548" s="13" t="s">
        <v>38</v>
      </c>
      <c r="R548" s="13" t="s">
        <v>365</v>
      </c>
      <c r="S548" s="13" t="s">
        <v>496</v>
      </c>
      <c r="T548" s="28">
        <v>31.85</v>
      </c>
      <c r="U548" s="13" t="s">
        <v>28</v>
      </c>
      <c r="V548" s="13" t="s">
        <v>146</v>
      </c>
      <c r="W548" s="13" t="s">
        <v>492</v>
      </c>
      <c r="X548" s="17">
        <f t="shared" si="43"/>
        <v>45146</v>
      </c>
      <c r="Y548" s="3"/>
    </row>
    <row r="549" spans="1:25" ht="45" customHeight="1">
      <c r="A549" s="3">
        <v>547</v>
      </c>
      <c r="B549" s="13" t="s">
        <v>2157</v>
      </c>
      <c r="C549" s="13" t="s">
        <v>26</v>
      </c>
      <c r="D549" s="13" t="s">
        <v>2158</v>
      </c>
      <c r="E549" s="13" t="s">
        <v>28</v>
      </c>
      <c r="F549" s="13" t="s">
        <v>29</v>
      </c>
      <c r="G549" s="13" t="s">
        <v>48</v>
      </c>
      <c r="H549" s="13" t="s">
        <v>1031</v>
      </c>
      <c r="I549" s="27" t="s">
        <v>365</v>
      </c>
      <c r="J549" s="27" t="s">
        <v>1774</v>
      </c>
      <c r="K549" s="27" t="s">
        <v>34</v>
      </c>
      <c r="L549" s="27" t="s">
        <v>1291</v>
      </c>
      <c r="M549" s="27" t="s">
        <v>1775</v>
      </c>
      <c r="N549" s="17">
        <f t="shared" si="40"/>
        <v>45054</v>
      </c>
      <c r="O549" s="13" t="s">
        <v>1776</v>
      </c>
      <c r="P549" s="13" t="s">
        <v>52</v>
      </c>
      <c r="Q549" s="13" t="s">
        <v>38</v>
      </c>
      <c r="R549" s="13" t="s">
        <v>365</v>
      </c>
      <c r="S549" s="13" t="s">
        <v>52</v>
      </c>
      <c r="T549" s="28">
        <v>27.3</v>
      </c>
      <c r="U549" s="13" t="s">
        <v>28</v>
      </c>
      <c r="V549" s="13" t="s">
        <v>146</v>
      </c>
      <c r="W549" s="13" t="s">
        <v>48</v>
      </c>
      <c r="X549" s="17">
        <f t="shared" si="43"/>
        <v>45146</v>
      </c>
      <c r="Y549" s="3"/>
    </row>
    <row r="550" spans="1:25" ht="45" customHeight="1">
      <c r="A550" s="3">
        <v>548</v>
      </c>
      <c r="B550" s="13" t="s">
        <v>2159</v>
      </c>
      <c r="C550" s="13" t="s">
        <v>26</v>
      </c>
      <c r="D550" s="13" t="s">
        <v>2160</v>
      </c>
      <c r="E550" s="13" t="s">
        <v>28</v>
      </c>
      <c r="F550" s="13" t="s">
        <v>29</v>
      </c>
      <c r="G550" s="13" t="s">
        <v>48</v>
      </c>
      <c r="H550" s="13" t="s">
        <v>1031</v>
      </c>
      <c r="I550" s="27" t="s">
        <v>365</v>
      </c>
      <c r="J550" s="27" t="s">
        <v>1774</v>
      </c>
      <c r="K550" s="27" t="s">
        <v>34</v>
      </c>
      <c r="L550" s="27" t="s">
        <v>1291</v>
      </c>
      <c r="M550" s="27" t="s">
        <v>1775</v>
      </c>
      <c r="N550" s="17">
        <f t="shared" si="40"/>
        <v>45054</v>
      </c>
      <c r="O550" s="13" t="s">
        <v>1776</v>
      </c>
      <c r="P550" s="13" t="s">
        <v>182</v>
      </c>
      <c r="Q550" s="13" t="s">
        <v>38</v>
      </c>
      <c r="R550" s="13" t="s">
        <v>365</v>
      </c>
      <c r="S550" s="13" t="s">
        <v>52</v>
      </c>
      <c r="T550" s="28">
        <v>31.1</v>
      </c>
      <c r="U550" s="13" t="s">
        <v>28</v>
      </c>
      <c r="V550" s="13" t="s">
        <v>89</v>
      </c>
      <c r="W550" s="13" t="s">
        <v>48</v>
      </c>
      <c r="X550" s="17">
        <f t="shared" si="43"/>
        <v>45146</v>
      </c>
      <c r="Y550" s="3"/>
    </row>
    <row r="551" spans="1:25" ht="45" customHeight="1">
      <c r="A551" s="3">
        <v>549</v>
      </c>
      <c r="B551" s="13" t="s">
        <v>2161</v>
      </c>
      <c r="C551" s="13" t="s">
        <v>26</v>
      </c>
      <c r="D551" s="13" t="s">
        <v>2162</v>
      </c>
      <c r="E551" s="13" t="s">
        <v>28</v>
      </c>
      <c r="F551" s="13" t="s">
        <v>29</v>
      </c>
      <c r="G551" s="13" t="s">
        <v>48</v>
      </c>
      <c r="H551" s="13" t="s">
        <v>1031</v>
      </c>
      <c r="I551" s="27" t="s">
        <v>365</v>
      </c>
      <c r="J551" s="27" t="s">
        <v>1774</v>
      </c>
      <c r="K551" s="27" t="s">
        <v>34</v>
      </c>
      <c r="L551" s="27" t="s">
        <v>1291</v>
      </c>
      <c r="M551" s="27" t="s">
        <v>1775</v>
      </c>
      <c r="N551" s="17">
        <f t="shared" si="40"/>
        <v>45054</v>
      </c>
      <c r="O551" s="13" t="s">
        <v>1776</v>
      </c>
      <c r="P551" s="13" t="s">
        <v>182</v>
      </c>
      <c r="Q551" s="13" t="s">
        <v>38</v>
      </c>
      <c r="R551" s="13" t="s">
        <v>365</v>
      </c>
      <c r="S551" s="13" t="s">
        <v>52</v>
      </c>
      <c r="T551" s="28">
        <v>31.44</v>
      </c>
      <c r="U551" s="13" t="s">
        <v>28</v>
      </c>
      <c r="V551" s="13" t="s">
        <v>89</v>
      </c>
      <c r="W551" s="13" t="s">
        <v>48</v>
      </c>
      <c r="X551" s="17">
        <f t="shared" si="43"/>
        <v>45146</v>
      </c>
      <c r="Y551" s="3"/>
    </row>
    <row r="552" spans="1:25" ht="45" customHeight="1">
      <c r="A552" s="3">
        <v>550</v>
      </c>
      <c r="B552" s="13" t="s">
        <v>2163</v>
      </c>
      <c r="C552" s="13" t="s">
        <v>26</v>
      </c>
      <c r="D552" s="13" t="s">
        <v>2164</v>
      </c>
      <c r="E552" s="13" t="s">
        <v>1064</v>
      </c>
      <c r="F552" s="13" t="s">
        <v>29</v>
      </c>
      <c r="G552" s="13" t="s">
        <v>85</v>
      </c>
      <c r="H552" s="13" t="s">
        <v>1031</v>
      </c>
      <c r="I552" s="27" t="s">
        <v>365</v>
      </c>
      <c r="J552" s="27" t="s">
        <v>1774</v>
      </c>
      <c r="K552" s="27" t="s">
        <v>34</v>
      </c>
      <c r="L552" s="27" t="s">
        <v>1291</v>
      </c>
      <c r="M552" s="27" t="s">
        <v>1775</v>
      </c>
      <c r="N552" s="17">
        <f t="shared" si="40"/>
        <v>45054</v>
      </c>
      <c r="O552" s="13" t="s">
        <v>1776</v>
      </c>
      <c r="P552" s="13" t="s">
        <v>1060</v>
      </c>
      <c r="Q552" s="13" t="s">
        <v>38</v>
      </c>
      <c r="R552" s="13" t="s">
        <v>365</v>
      </c>
      <c r="S552" s="13" t="s">
        <v>87</v>
      </c>
      <c r="T552" s="28">
        <v>38.770000000000003</v>
      </c>
      <c r="U552" s="13" t="s">
        <v>365</v>
      </c>
      <c r="V552" s="13" t="s">
        <v>53</v>
      </c>
      <c r="W552" s="13" t="s">
        <v>85</v>
      </c>
      <c r="X552" s="17">
        <f t="shared" si="43"/>
        <v>45146</v>
      </c>
      <c r="Y552" s="3"/>
    </row>
    <row r="553" spans="1:25" ht="45" customHeight="1">
      <c r="A553" s="3">
        <v>551</v>
      </c>
      <c r="B553" s="13" t="s">
        <v>2165</v>
      </c>
      <c r="C553" s="13" t="s">
        <v>26</v>
      </c>
      <c r="D553" s="13" t="s">
        <v>2166</v>
      </c>
      <c r="E553" s="13" t="s">
        <v>1064</v>
      </c>
      <c r="F553" s="13" t="s">
        <v>29</v>
      </c>
      <c r="G553" s="13" t="s">
        <v>62</v>
      </c>
      <c r="H553" s="13" t="s">
        <v>1031</v>
      </c>
      <c r="I553" s="27" t="s">
        <v>365</v>
      </c>
      <c r="J553" s="27" t="s">
        <v>1774</v>
      </c>
      <c r="K553" s="27" t="s">
        <v>34</v>
      </c>
      <c r="L553" s="27" t="s">
        <v>1291</v>
      </c>
      <c r="M553" s="27" t="s">
        <v>1775</v>
      </c>
      <c r="N553" s="17">
        <f t="shared" si="40"/>
        <v>45054</v>
      </c>
      <c r="O553" s="13" t="s">
        <v>1776</v>
      </c>
      <c r="P553" s="13" t="s">
        <v>1809</v>
      </c>
      <c r="Q553" s="13" t="s">
        <v>38</v>
      </c>
      <c r="R553" s="13" t="s">
        <v>365</v>
      </c>
      <c r="S553" s="13" t="s">
        <v>64</v>
      </c>
      <c r="T553" s="28">
        <v>28.66</v>
      </c>
      <c r="U553" s="13" t="s">
        <v>28</v>
      </c>
      <c r="V553" s="13" t="s">
        <v>146</v>
      </c>
      <c r="W553" s="13" t="s">
        <v>62</v>
      </c>
      <c r="X553" s="17">
        <f t="shared" si="43"/>
        <v>45146</v>
      </c>
      <c r="Y553" s="3"/>
    </row>
    <row r="554" spans="1:25" ht="45" customHeight="1">
      <c r="A554" s="3">
        <v>552</v>
      </c>
      <c r="B554" s="13" t="s">
        <v>2167</v>
      </c>
      <c r="C554" s="13" t="s">
        <v>26</v>
      </c>
      <c r="D554" s="13" t="s">
        <v>2168</v>
      </c>
      <c r="E554" s="13" t="s">
        <v>1064</v>
      </c>
      <c r="F554" s="13" t="s">
        <v>29</v>
      </c>
      <c r="G554" s="13" t="s">
        <v>62</v>
      </c>
      <c r="H554" s="13" t="s">
        <v>1031</v>
      </c>
      <c r="I554" s="27" t="s">
        <v>365</v>
      </c>
      <c r="J554" s="27" t="s">
        <v>1774</v>
      </c>
      <c r="K554" s="27" t="s">
        <v>34</v>
      </c>
      <c r="L554" s="27" t="s">
        <v>1291</v>
      </c>
      <c r="M554" s="27" t="s">
        <v>1775</v>
      </c>
      <c r="N554" s="17">
        <f t="shared" si="40"/>
        <v>45054</v>
      </c>
      <c r="O554" s="13" t="s">
        <v>1776</v>
      </c>
      <c r="P554" s="13" t="s">
        <v>1816</v>
      </c>
      <c r="Q554" s="13" t="s">
        <v>38</v>
      </c>
      <c r="R554" s="13" t="s">
        <v>365</v>
      </c>
      <c r="S554" s="13" t="s">
        <v>64</v>
      </c>
      <c r="T554" s="28">
        <v>24.59</v>
      </c>
      <c r="U554" s="13" t="s">
        <v>28</v>
      </c>
      <c r="V554" s="13" t="s">
        <v>89</v>
      </c>
      <c r="W554" s="13" t="s">
        <v>62</v>
      </c>
      <c r="X554" s="17">
        <f t="shared" si="43"/>
        <v>45146</v>
      </c>
      <c r="Y554" s="3"/>
    </row>
    <row r="555" spans="1:25" ht="45" customHeight="1">
      <c r="A555" s="3">
        <v>553</v>
      </c>
      <c r="B555" s="13" t="s">
        <v>2169</v>
      </c>
      <c r="C555" s="13" t="s">
        <v>26</v>
      </c>
      <c r="D555" s="13" t="s">
        <v>2170</v>
      </c>
      <c r="E555" s="13" t="s">
        <v>28</v>
      </c>
      <c r="F555" s="13" t="s">
        <v>29</v>
      </c>
      <c r="G555" s="13" t="s">
        <v>48</v>
      </c>
      <c r="H555" s="13" t="s">
        <v>1031</v>
      </c>
      <c r="I555" s="27" t="s">
        <v>365</v>
      </c>
      <c r="J555" s="27" t="s">
        <v>1774</v>
      </c>
      <c r="K555" s="27" t="s">
        <v>34</v>
      </c>
      <c r="L555" s="27" t="s">
        <v>1291</v>
      </c>
      <c r="M555" s="27" t="s">
        <v>1775</v>
      </c>
      <c r="N555" s="17">
        <f t="shared" si="40"/>
        <v>45054</v>
      </c>
      <c r="O555" s="13" t="s">
        <v>1776</v>
      </c>
      <c r="P555" s="13" t="s">
        <v>50</v>
      </c>
      <c r="Q555" s="13" t="s">
        <v>38</v>
      </c>
      <c r="R555" s="13" t="s">
        <v>365</v>
      </c>
      <c r="S555" s="13" t="s">
        <v>52</v>
      </c>
      <c r="T555" s="28">
        <v>26.17</v>
      </c>
      <c r="U555" s="13" t="s">
        <v>28</v>
      </c>
      <c r="V555" s="13" t="s">
        <v>53</v>
      </c>
      <c r="W555" s="13" t="s">
        <v>48</v>
      </c>
      <c r="X555" s="17">
        <f t="shared" si="43"/>
        <v>45146</v>
      </c>
      <c r="Y555" s="3"/>
    </row>
    <row r="556" spans="1:25" ht="45" customHeight="1">
      <c r="A556" s="3">
        <v>554</v>
      </c>
      <c r="B556" s="13" t="s">
        <v>2171</v>
      </c>
      <c r="C556" s="13" t="s">
        <v>26</v>
      </c>
      <c r="D556" s="13" t="s">
        <v>2172</v>
      </c>
      <c r="E556" s="13" t="s">
        <v>1064</v>
      </c>
      <c r="F556" s="13" t="s">
        <v>29</v>
      </c>
      <c r="G556" s="13" t="s">
        <v>680</v>
      </c>
      <c r="H556" s="13" t="s">
        <v>1031</v>
      </c>
      <c r="I556" s="27" t="s">
        <v>365</v>
      </c>
      <c r="J556" s="27" t="s">
        <v>1774</v>
      </c>
      <c r="K556" s="27" t="s">
        <v>34</v>
      </c>
      <c r="L556" s="27" t="s">
        <v>1291</v>
      </c>
      <c r="M556" s="27" t="s">
        <v>1775</v>
      </c>
      <c r="N556" s="17">
        <f t="shared" si="40"/>
        <v>45054</v>
      </c>
      <c r="O556" s="13" t="s">
        <v>1776</v>
      </c>
      <c r="P556" s="13" t="s">
        <v>182</v>
      </c>
      <c r="Q556" s="13" t="s">
        <v>38</v>
      </c>
      <c r="R556" s="13" t="s">
        <v>365</v>
      </c>
      <c r="S556" s="13" t="s">
        <v>52</v>
      </c>
      <c r="T556" s="28">
        <v>26.65</v>
      </c>
      <c r="U556" s="13" t="s">
        <v>365</v>
      </c>
      <c r="V556" s="13" t="s">
        <v>89</v>
      </c>
      <c r="W556" s="13" t="s">
        <v>683</v>
      </c>
      <c r="X556" s="17">
        <f t="shared" si="43"/>
        <v>45146</v>
      </c>
      <c r="Y556" s="3"/>
    </row>
    <row r="557" spans="1:25" ht="45" customHeight="1">
      <c r="A557" s="3">
        <v>555</v>
      </c>
      <c r="B557" s="13" t="s">
        <v>2173</v>
      </c>
      <c r="C557" s="13" t="s">
        <v>26</v>
      </c>
      <c r="D557" s="13" t="s">
        <v>2174</v>
      </c>
      <c r="E557" s="13" t="s">
        <v>1064</v>
      </c>
      <c r="F557" s="13" t="s">
        <v>29</v>
      </c>
      <c r="G557" s="13" t="s">
        <v>62</v>
      </c>
      <c r="H557" s="13" t="s">
        <v>1031</v>
      </c>
      <c r="I557" s="27" t="s">
        <v>365</v>
      </c>
      <c r="J557" s="27" t="s">
        <v>1774</v>
      </c>
      <c r="K557" s="27" t="s">
        <v>34</v>
      </c>
      <c r="L557" s="27" t="s">
        <v>1291</v>
      </c>
      <c r="M557" s="27" t="s">
        <v>1775</v>
      </c>
      <c r="N557" s="17">
        <f t="shared" si="40"/>
        <v>45054</v>
      </c>
      <c r="O557" s="13" t="s">
        <v>1776</v>
      </c>
      <c r="P557" s="13" t="s">
        <v>1794</v>
      </c>
      <c r="Q557" s="13" t="s">
        <v>38</v>
      </c>
      <c r="R557" s="13" t="s">
        <v>365</v>
      </c>
      <c r="S557" s="13" t="s">
        <v>64</v>
      </c>
      <c r="T557" s="28">
        <v>28.33</v>
      </c>
      <c r="U557" s="13" t="s">
        <v>28</v>
      </c>
      <c r="V557" s="13" t="s">
        <v>53</v>
      </c>
      <c r="W557" s="13" t="s">
        <v>62</v>
      </c>
      <c r="X557" s="17">
        <f t="shared" si="43"/>
        <v>45146</v>
      </c>
      <c r="Y557" s="3"/>
    </row>
    <row r="558" spans="1:25" ht="45" customHeight="1">
      <c r="A558" s="3">
        <v>556</v>
      </c>
      <c r="B558" s="13" t="s">
        <v>2175</v>
      </c>
      <c r="C558" s="13" t="s">
        <v>26</v>
      </c>
      <c r="D558" s="13" t="s">
        <v>2176</v>
      </c>
      <c r="E558" s="13" t="s">
        <v>1064</v>
      </c>
      <c r="F558" s="13" t="s">
        <v>608</v>
      </c>
      <c r="G558" s="13" t="s">
        <v>609</v>
      </c>
      <c r="H558" s="13" t="s">
        <v>406</v>
      </c>
      <c r="I558" s="27" t="s">
        <v>365</v>
      </c>
      <c r="J558" s="27" t="s">
        <v>1774</v>
      </c>
      <c r="K558" s="27" t="s">
        <v>34</v>
      </c>
      <c r="L558" s="27" t="s">
        <v>1291</v>
      </c>
      <c r="M558" s="27" t="s">
        <v>1775</v>
      </c>
      <c r="N558" s="17">
        <f t="shared" si="40"/>
        <v>45054</v>
      </c>
      <c r="O558" s="13" t="s">
        <v>1776</v>
      </c>
      <c r="P558" s="13" t="s">
        <v>607</v>
      </c>
      <c r="Q558" s="13" t="s">
        <v>38</v>
      </c>
      <c r="R558" s="13" t="s">
        <v>365</v>
      </c>
      <c r="S558" s="13" t="s">
        <v>611</v>
      </c>
      <c r="T558" s="28">
        <v>30.71</v>
      </c>
      <c r="U558" s="13" t="s">
        <v>28</v>
      </c>
      <c r="V558" s="13" t="s">
        <v>89</v>
      </c>
      <c r="W558" s="13" t="s">
        <v>609</v>
      </c>
      <c r="X558" s="17">
        <f t="shared" si="43"/>
        <v>45146</v>
      </c>
      <c r="Y558" s="3"/>
    </row>
    <row r="559" spans="1:25" ht="45" customHeight="1">
      <c r="A559" s="3">
        <v>557</v>
      </c>
      <c r="B559" s="13" t="s">
        <v>2177</v>
      </c>
      <c r="C559" s="13" t="s">
        <v>26</v>
      </c>
      <c r="D559" s="13" t="s">
        <v>2178</v>
      </c>
      <c r="E559" s="13" t="s">
        <v>1064</v>
      </c>
      <c r="F559" s="13" t="s">
        <v>608</v>
      </c>
      <c r="G559" s="13" t="s">
        <v>609</v>
      </c>
      <c r="H559" s="13" t="s">
        <v>406</v>
      </c>
      <c r="I559" s="27" t="s">
        <v>365</v>
      </c>
      <c r="J559" s="27" t="s">
        <v>1774</v>
      </c>
      <c r="K559" s="27" t="s">
        <v>34</v>
      </c>
      <c r="L559" s="27" t="s">
        <v>1291</v>
      </c>
      <c r="M559" s="27" t="s">
        <v>1775</v>
      </c>
      <c r="N559" s="17">
        <f t="shared" si="40"/>
        <v>45054</v>
      </c>
      <c r="O559" s="13" t="s">
        <v>1776</v>
      </c>
      <c r="P559" s="13" t="s">
        <v>607</v>
      </c>
      <c r="Q559" s="13" t="s">
        <v>38</v>
      </c>
      <c r="R559" s="13" t="s">
        <v>365</v>
      </c>
      <c r="S559" s="13" t="s">
        <v>611</v>
      </c>
      <c r="T559" s="28">
        <v>24.09</v>
      </c>
      <c r="U559" s="13" t="s">
        <v>28</v>
      </c>
      <c r="V559" s="13" t="s">
        <v>53</v>
      </c>
      <c r="W559" s="13" t="s">
        <v>609</v>
      </c>
      <c r="X559" s="17">
        <f t="shared" si="43"/>
        <v>45146</v>
      </c>
      <c r="Y559" s="3"/>
    </row>
    <row r="560" spans="1:25" ht="45" customHeight="1">
      <c r="A560" s="3">
        <v>558</v>
      </c>
      <c r="B560" s="13" t="s">
        <v>2179</v>
      </c>
      <c r="C560" s="13" t="s">
        <v>26</v>
      </c>
      <c r="D560" s="13" t="s">
        <v>2180</v>
      </c>
      <c r="E560" s="13" t="s">
        <v>1064</v>
      </c>
      <c r="F560" s="13" t="s">
        <v>29</v>
      </c>
      <c r="G560" s="13" t="s">
        <v>85</v>
      </c>
      <c r="H560" s="13" t="s">
        <v>1031</v>
      </c>
      <c r="I560" s="27" t="s">
        <v>365</v>
      </c>
      <c r="J560" s="27" t="s">
        <v>1774</v>
      </c>
      <c r="K560" s="27" t="s">
        <v>34</v>
      </c>
      <c r="L560" s="27" t="s">
        <v>1291</v>
      </c>
      <c r="M560" s="27" t="s">
        <v>1775</v>
      </c>
      <c r="N560" s="17">
        <f t="shared" si="40"/>
        <v>45054</v>
      </c>
      <c r="O560" s="13" t="s">
        <v>1776</v>
      </c>
      <c r="P560" s="13" t="s">
        <v>1060</v>
      </c>
      <c r="Q560" s="13" t="s">
        <v>38</v>
      </c>
      <c r="R560" s="13" t="s">
        <v>365</v>
      </c>
      <c r="S560" s="13" t="s">
        <v>87</v>
      </c>
      <c r="T560" s="28">
        <v>33.24</v>
      </c>
      <c r="U560" s="13" t="s">
        <v>365</v>
      </c>
      <c r="V560" s="13" t="s">
        <v>53</v>
      </c>
      <c r="W560" s="13" t="s">
        <v>85</v>
      </c>
      <c r="X560" s="17">
        <f t="shared" si="43"/>
        <v>45146</v>
      </c>
      <c r="Y560" s="3"/>
    </row>
    <row r="561" spans="1:25" ht="45" customHeight="1">
      <c r="A561" s="3">
        <v>559</v>
      </c>
      <c r="B561" s="13" t="s">
        <v>2181</v>
      </c>
      <c r="C561" s="13" t="s">
        <v>26</v>
      </c>
      <c r="D561" s="13" t="s">
        <v>2182</v>
      </c>
      <c r="E561" s="13" t="s">
        <v>28</v>
      </c>
      <c r="F561" s="13" t="s">
        <v>29</v>
      </c>
      <c r="G561" s="13" t="s">
        <v>79</v>
      </c>
      <c r="H561" s="13" t="s">
        <v>1031</v>
      </c>
      <c r="I561" s="27" t="s">
        <v>365</v>
      </c>
      <c r="J561" s="27" t="s">
        <v>1774</v>
      </c>
      <c r="K561" s="27" t="s">
        <v>34</v>
      </c>
      <c r="L561" s="27" t="s">
        <v>1291</v>
      </c>
      <c r="M561" s="27" t="s">
        <v>1775</v>
      </c>
      <c r="N561" s="17">
        <f t="shared" si="40"/>
        <v>45054</v>
      </c>
      <c r="O561" s="13" t="s">
        <v>1776</v>
      </c>
      <c r="P561" s="13" t="s">
        <v>498</v>
      </c>
      <c r="Q561" s="13" t="s">
        <v>38</v>
      </c>
      <c r="R561" s="13" t="s">
        <v>365</v>
      </c>
      <c r="S561" s="13" t="s">
        <v>81</v>
      </c>
      <c r="T561" s="28">
        <v>31.79</v>
      </c>
      <c r="U561" s="13" t="s">
        <v>28</v>
      </c>
      <c r="V561" s="13" t="s">
        <v>146</v>
      </c>
      <c r="W561" s="13" t="s">
        <v>79</v>
      </c>
      <c r="X561" s="17">
        <f t="shared" si="43"/>
        <v>45146</v>
      </c>
      <c r="Y561" s="3"/>
    </row>
    <row r="562" spans="1:25" ht="45" customHeight="1">
      <c r="A562" s="3">
        <v>560</v>
      </c>
      <c r="B562" s="13" t="s">
        <v>2183</v>
      </c>
      <c r="C562" s="13" t="s">
        <v>26</v>
      </c>
      <c r="D562" s="13" t="s">
        <v>2184</v>
      </c>
      <c r="E562" s="13" t="s">
        <v>28</v>
      </c>
      <c r="F562" s="13" t="s">
        <v>29</v>
      </c>
      <c r="G562" s="13" t="s">
        <v>79</v>
      </c>
      <c r="H562" s="13" t="s">
        <v>1031</v>
      </c>
      <c r="I562" s="27" t="s">
        <v>365</v>
      </c>
      <c r="J562" s="27" t="s">
        <v>1774</v>
      </c>
      <c r="K562" s="27" t="s">
        <v>34</v>
      </c>
      <c r="L562" s="27" t="s">
        <v>1291</v>
      </c>
      <c r="M562" s="27" t="s">
        <v>1775</v>
      </c>
      <c r="N562" s="17">
        <f t="shared" si="40"/>
        <v>45054</v>
      </c>
      <c r="O562" s="13" t="s">
        <v>1776</v>
      </c>
      <c r="P562" s="13" t="s">
        <v>1387</v>
      </c>
      <c r="Q562" s="13" t="s">
        <v>38</v>
      </c>
      <c r="R562" s="13" t="s">
        <v>365</v>
      </c>
      <c r="S562" s="13" t="s">
        <v>81</v>
      </c>
      <c r="T562" s="28">
        <v>28.43</v>
      </c>
      <c r="U562" s="13" t="s">
        <v>28</v>
      </c>
      <c r="V562" s="13" t="s">
        <v>89</v>
      </c>
      <c r="W562" s="13" t="s">
        <v>79</v>
      </c>
      <c r="X562" s="17">
        <f t="shared" si="43"/>
        <v>45146</v>
      </c>
      <c r="Y562" s="3"/>
    </row>
    <row r="563" spans="1:25" ht="45" customHeight="1">
      <c r="A563" s="3">
        <v>561</v>
      </c>
      <c r="B563" s="13" t="s">
        <v>2185</v>
      </c>
      <c r="C563" s="13" t="s">
        <v>103</v>
      </c>
      <c r="D563" s="13" t="s">
        <v>697</v>
      </c>
      <c r="E563" s="13" t="s">
        <v>416</v>
      </c>
      <c r="F563" s="13" t="s">
        <v>417</v>
      </c>
      <c r="G563" s="13" t="s">
        <v>2186</v>
      </c>
      <c r="H563" s="13" t="s">
        <v>419</v>
      </c>
      <c r="I563" s="27" t="s">
        <v>2187</v>
      </c>
      <c r="J563" s="27" t="s">
        <v>33</v>
      </c>
      <c r="K563" s="27" t="s">
        <v>106</v>
      </c>
      <c r="L563" s="27" t="s">
        <v>408</v>
      </c>
      <c r="M563" s="27" t="s">
        <v>409</v>
      </c>
      <c r="N563" s="17">
        <f t="shared" si="40"/>
        <v>45054</v>
      </c>
      <c r="O563" s="13" t="s">
        <v>107</v>
      </c>
      <c r="P563" s="13" t="s">
        <v>421</v>
      </c>
      <c r="Q563" s="13" t="s">
        <v>411</v>
      </c>
      <c r="R563" s="13" t="s">
        <v>2188</v>
      </c>
      <c r="S563" s="13" t="s">
        <v>423</v>
      </c>
      <c r="T563" s="28">
        <v>42.38</v>
      </c>
      <c r="U563" s="13" t="s">
        <v>416</v>
      </c>
      <c r="V563" s="13" t="s">
        <v>413</v>
      </c>
      <c r="W563" s="13" t="s">
        <v>2189</v>
      </c>
      <c r="X563" s="17">
        <f>DATE(2023,11,6)</f>
        <v>45236</v>
      </c>
      <c r="Y563" s="3"/>
    </row>
    <row r="564" spans="1:25" ht="45" customHeight="1">
      <c r="A564" s="3">
        <v>562</v>
      </c>
      <c r="B564" s="13" t="s">
        <v>2190</v>
      </c>
      <c r="C564" s="13" t="s">
        <v>103</v>
      </c>
      <c r="D564" s="13" t="s">
        <v>2191</v>
      </c>
      <c r="E564" s="13" t="s">
        <v>686</v>
      </c>
      <c r="F564" s="13" t="s">
        <v>687</v>
      </c>
      <c r="G564" s="13" t="s">
        <v>687</v>
      </c>
      <c r="H564" s="13" t="s">
        <v>406</v>
      </c>
      <c r="I564" s="27" t="s">
        <v>2192</v>
      </c>
      <c r="J564" s="27" t="s">
        <v>33</v>
      </c>
      <c r="K564" s="27" t="s">
        <v>106</v>
      </c>
      <c r="L564" s="27" t="s">
        <v>35</v>
      </c>
      <c r="M564" s="27" t="s">
        <v>36</v>
      </c>
      <c r="N564" s="17">
        <f t="shared" si="40"/>
        <v>45054</v>
      </c>
      <c r="O564" s="13" t="s">
        <v>107</v>
      </c>
      <c r="P564" s="13" t="s">
        <v>689</v>
      </c>
      <c r="Q564" s="13" t="s">
        <v>465</v>
      </c>
      <c r="R564" s="13" t="s">
        <v>2193</v>
      </c>
      <c r="S564" s="13" t="s">
        <v>403</v>
      </c>
      <c r="T564" s="28">
        <v>31.45</v>
      </c>
      <c r="U564" s="13" t="s">
        <v>461</v>
      </c>
      <c r="V564" s="13" t="s">
        <v>413</v>
      </c>
      <c r="W564" s="13" t="s">
        <v>691</v>
      </c>
      <c r="X564" s="17">
        <f>DATE(2023,7,21)</f>
        <v>45128</v>
      </c>
      <c r="Y564" s="3"/>
    </row>
    <row r="565" spans="1:25" ht="45" customHeight="1">
      <c r="A565" s="3">
        <v>563</v>
      </c>
      <c r="B565" s="13" t="s">
        <v>2194</v>
      </c>
      <c r="C565" s="13" t="s">
        <v>26</v>
      </c>
      <c r="D565" s="13" t="s">
        <v>2195</v>
      </c>
      <c r="E565" s="13" t="s">
        <v>1041</v>
      </c>
      <c r="F565" s="13" t="s">
        <v>417</v>
      </c>
      <c r="G565" s="13" t="s">
        <v>756</v>
      </c>
      <c r="H565" s="13" t="s">
        <v>419</v>
      </c>
      <c r="I565" s="27" t="s">
        <v>2196</v>
      </c>
      <c r="J565" s="27" t="s">
        <v>33</v>
      </c>
      <c r="K565" s="27" t="s">
        <v>34</v>
      </c>
      <c r="L565" s="27" t="s">
        <v>35</v>
      </c>
      <c r="M565" s="27" t="s">
        <v>36</v>
      </c>
      <c r="N565" s="17">
        <f t="shared" si="40"/>
        <v>45054</v>
      </c>
      <c r="O565" s="13" t="s">
        <v>107</v>
      </c>
      <c r="P565" s="13" t="s">
        <v>693</v>
      </c>
      <c r="Q565" s="13" t="s">
        <v>501</v>
      </c>
      <c r="R565" s="13" t="s">
        <v>2197</v>
      </c>
      <c r="S565" s="13" t="s">
        <v>423</v>
      </c>
      <c r="T565" s="28">
        <v>29.02</v>
      </c>
      <c r="U565" s="13" t="s">
        <v>1041</v>
      </c>
      <c r="V565" s="13" t="s">
        <v>799</v>
      </c>
      <c r="W565" s="13" t="s">
        <v>759</v>
      </c>
      <c r="X565" s="17">
        <f>DATE(2023,7,28)</f>
        <v>45135</v>
      </c>
      <c r="Y565" s="3"/>
    </row>
    <row r="566" spans="1:25" ht="45" customHeight="1">
      <c r="A566" s="3">
        <v>564</v>
      </c>
      <c r="B566" s="13" t="s">
        <v>2198</v>
      </c>
      <c r="C566" s="13" t="s">
        <v>103</v>
      </c>
      <c r="D566" s="13" t="s">
        <v>2199</v>
      </c>
      <c r="E566" s="13" t="s">
        <v>461</v>
      </c>
      <c r="F566" s="13" t="s">
        <v>816</v>
      </c>
      <c r="G566" s="13" t="s">
        <v>817</v>
      </c>
      <c r="H566" s="13" t="s">
        <v>817</v>
      </c>
      <c r="I566" s="27" t="s">
        <v>2200</v>
      </c>
      <c r="J566" s="27" t="s">
        <v>33</v>
      </c>
      <c r="K566" s="27" t="s">
        <v>106</v>
      </c>
      <c r="L566" s="27" t="s">
        <v>35</v>
      </c>
      <c r="M566" s="27" t="s">
        <v>36</v>
      </c>
      <c r="N566" s="17">
        <f t="shared" ref="N566:N583" si="44">DATE(2023,5,15)</f>
        <v>45061</v>
      </c>
      <c r="O566" s="13" t="s">
        <v>107</v>
      </c>
      <c r="P566" s="13" t="s">
        <v>819</v>
      </c>
      <c r="Q566" s="13" t="s">
        <v>465</v>
      </c>
      <c r="R566" s="13" t="s">
        <v>2201</v>
      </c>
      <c r="S566" s="13" t="s">
        <v>821</v>
      </c>
      <c r="T566" s="28">
        <v>34.35</v>
      </c>
      <c r="U566" s="13" t="s">
        <v>461</v>
      </c>
      <c r="V566" s="13" t="s">
        <v>413</v>
      </c>
      <c r="W566" s="13" t="s">
        <v>817</v>
      </c>
      <c r="X566" s="17">
        <f>DATE(2023,8,1)</f>
        <v>45139</v>
      </c>
      <c r="Y566" s="3"/>
    </row>
    <row r="567" spans="1:25" ht="45" customHeight="1">
      <c r="A567" s="3">
        <v>565</v>
      </c>
      <c r="B567" s="13" t="s">
        <v>2202</v>
      </c>
      <c r="C567" s="13" t="s">
        <v>103</v>
      </c>
      <c r="D567" s="13" t="s">
        <v>2203</v>
      </c>
      <c r="E567" s="13" t="s">
        <v>427</v>
      </c>
      <c r="F567" s="13" t="s">
        <v>491</v>
      </c>
      <c r="G567" s="13" t="s">
        <v>899</v>
      </c>
      <c r="H567" s="13" t="s">
        <v>406</v>
      </c>
      <c r="I567" s="27" t="s">
        <v>2204</v>
      </c>
      <c r="J567" s="27" t="s">
        <v>33</v>
      </c>
      <c r="K567" s="27" t="s">
        <v>106</v>
      </c>
      <c r="L567" s="27" t="s">
        <v>35</v>
      </c>
      <c r="M567" s="27" t="s">
        <v>36</v>
      </c>
      <c r="N567" s="17">
        <f t="shared" si="44"/>
        <v>45061</v>
      </c>
      <c r="O567" s="13" t="s">
        <v>107</v>
      </c>
      <c r="P567" s="13" t="s">
        <v>898</v>
      </c>
      <c r="Q567" s="13" t="s">
        <v>431</v>
      </c>
      <c r="R567" s="13" t="s">
        <v>2205</v>
      </c>
      <c r="S567" s="13" t="s">
        <v>496</v>
      </c>
      <c r="T567" s="28">
        <v>32.61</v>
      </c>
      <c r="U567" s="13" t="s">
        <v>427</v>
      </c>
      <c r="V567" s="13" t="s">
        <v>413</v>
      </c>
      <c r="W567" s="13" t="s">
        <v>899</v>
      </c>
      <c r="X567" s="17">
        <f>DATE(2023,7,21)</f>
        <v>45128</v>
      </c>
      <c r="Y567" s="3"/>
    </row>
    <row r="568" spans="1:25" ht="45" customHeight="1">
      <c r="A568" s="3">
        <v>566</v>
      </c>
      <c r="B568" s="13" t="s">
        <v>2206</v>
      </c>
      <c r="C568" s="13" t="s">
        <v>103</v>
      </c>
      <c r="D568" s="13" t="s">
        <v>1231</v>
      </c>
      <c r="E568" s="13" t="s">
        <v>499</v>
      </c>
      <c r="F568" s="13" t="s">
        <v>29</v>
      </c>
      <c r="G568" s="13" t="s">
        <v>1216</v>
      </c>
      <c r="H568" s="13" t="s">
        <v>406</v>
      </c>
      <c r="I568" s="27" t="s">
        <v>2207</v>
      </c>
      <c r="J568" s="27" t="s">
        <v>33</v>
      </c>
      <c r="K568" s="27" t="s">
        <v>106</v>
      </c>
      <c r="L568" s="27" t="s">
        <v>35</v>
      </c>
      <c r="M568" s="27" t="s">
        <v>36</v>
      </c>
      <c r="N568" s="17">
        <f t="shared" si="44"/>
        <v>45061</v>
      </c>
      <c r="O568" s="13" t="s">
        <v>107</v>
      </c>
      <c r="P568" s="13" t="s">
        <v>1215</v>
      </c>
      <c r="Q568" s="13" t="s">
        <v>501</v>
      </c>
      <c r="R568" s="13" t="s">
        <v>2208</v>
      </c>
      <c r="S568" s="13" t="s">
        <v>503</v>
      </c>
      <c r="T568" s="28">
        <v>26.36</v>
      </c>
      <c r="U568" s="13" t="s">
        <v>499</v>
      </c>
      <c r="V568" s="13" t="s">
        <v>89</v>
      </c>
      <c r="W568" s="13" t="s">
        <v>1219</v>
      </c>
      <c r="X568" s="17">
        <f>DATE(2023,8,15)</f>
        <v>45153</v>
      </c>
      <c r="Y568" s="3"/>
    </row>
    <row r="569" spans="1:25" ht="45" customHeight="1">
      <c r="A569" s="3">
        <v>567</v>
      </c>
      <c r="B569" s="13" t="s">
        <v>2209</v>
      </c>
      <c r="C569" s="13" t="s">
        <v>26</v>
      </c>
      <c r="D569" s="13" t="s">
        <v>2210</v>
      </c>
      <c r="E569" s="13" t="s">
        <v>755</v>
      </c>
      <c r="F569" s="13" t="s">
        <v>417</v>
      </c>
      <c r="G569" s="13" t="s">
        <v>756</v>
      </c>
      <c r="H569" s="13" t="s">
        <v>419</v>
      </c>
      <c r="I569" s="27" t="s">
        <v>2211</v>
      </c>
      <c r="J569" s="27" t="s">
        <v>33</v>
      </c>
      <c r="K569" s="27" t="s">
        <v>34</v>
      </c>
      <c r="L569" s="27" t="s">
        <v>35</v>
      </c>
      <c r="M569" s="27" t="s">
        <v>36</v>
      </c>
      <c r="N569" s="17">
        <f t="shared" si="44"/>
        <v>45061</v>
      </c>
      <c r="O569" s="13" t="s">
        <v>34</v>
      </c>
      <c r="P569" s="13" t="s">
        <v>693</v>
      </c>
      <c r="Q569" s="13" t="s">
        <v>38</v>
      </c>
      <c r="R569" s="13" t="s">
        <v>2212</v>
      </c>
      <c r="S569" s="13" t="s">
        <v>423</v>
      </c>
      <c r="T569" s="28">
        <v>25.2</v>
      </c>
      <c r="U569" s="13" t="s">
        <v>755</v>
      </c>
      <c r="V569" s="13" t="s">
        <v>799</v>
      </c>
      <c r="W569" s="13" t="s">
        <v>759</v>
      </c>
      <c r="X569" s="17">
        <f>DATE(2023,7,28)</f>
        <v>45135</v>
      </c>
      <c r="Y569" s="3"/>
    </row>
    <row r="570" spans="1:25" ht="45" customHeight="1">
      <c r="A570" s="3">
        <v>568</v>
      </c>
      <c r="B570" s="13" t="s">
        <v>2213</v>
      </c>
      <c r="C570" s="13" t="s">
        <v>26</v>
      </c>
      <c r="D570" s="13" t="s">
        <v>2214</v>
      </c>
      <c r="E570" s="13" t="s">
        <v>880</v>
      </c>
      <c r="F570" s="13" t="s">
        <v>417</v>
      </c>
      <c r="G570" s="13" t="s">
        <v>756</v>
      </c>
      <c r="H570" s="13" t="s">
        <v>419</v>
      </c>
      <c r="I570" s="27" t="s">
        <v>2215</v>
      </c>
      <c r="J570" s="27" t="s">
        <v>33</v>
      </c>
      <c r="K570" s="27" t="s">
        <v>34</v>
      </c>
      <c r="L570" s="27" t="s">
        <v>35</v>
      </c>
      <c r="M570" s="27" t="s">
        <v>36</v>
      </c>
      <c r="N570" s="17">
        <f t="shared" si="44"/>
        <v>45061</v>
      </c>
      <c r="O570" s="13" t="s">
        <v>34</v>
      </c>
      <c r="P570" s="13" t="s">
        <v>693</v>
      </c>
      <c r="Q570" s="13" t="s">
        <v>38</v>
      </c>
      <c r="R570" s="13" t="s">
        <v>2216</v>
      </c>
      <c r="S570" s="13" t="s">
        <v>423</v>
      </c>
      <c r="T570" s="28">
        <v>25.82</v>
      </c>
      <c r="U570" s="13" t="s">
        <v>880</v>
      </c>
      <c r="V570" s="13" t="s">
        <v>799</v>
      </c>
      <c r="W570" s="13" t="s">
        <v>759</v>
      </c>
      <c r="X570" s="17">
        <f>DATE(2023,7,28)</f>
        <v>45135</v>
      </c>
      <c r="Y570" s="3"/>
    </row>
    <row r="571" spans="1:25" ht="45" customHeight="1">
      <c r="A571" s="3">
        <v>569</v>
      </c>
      <c r="B571" s="13" t="s">
        <v>2217</v>
      </c>
      <c r="C571" s="13" t="s">
        <v>103</v>
      </c>
      <c r="D571" s="13" t="s">
        <v>2218</v>
      </c>
      <c r="E571" s="13" t="s">
        <v>1064</v>
      </c>
      <c r="F571" s="13" t="s">
        <v>29</v>
      </c>
      <c r="G571" s="13" t="s">
        <v>1216</v>
      </c>
      <c r="H571" s="13" t="s">
        <v>1031</v>
      </c>
      <c r="I571" s="27" t="s">
        <v>365</v>
      </c>
      <c r="J571" s="27" t="s">
        <v>1898</v>
      </c>
      <c r="K571" s="27" t="s">
        <v>106</v>
      </c>
      <c r="L571" s="27" t="s">
        <v>2057</v>
      </c>
      <c r="M571" s="27" t="s">
        <v>1775</v>
      </c>
      <c r="N571" s="17">
        <f t="shared" si="44"/>
        <v>45061</v>
      </c>
      <c r="O571" s="13" t="s">
        <v>1776</v>
      </c>
      <c r="P571" s="13" t="s">
        <v>1231</v>
      </c>
      <c r="Q571" s="13" t="s">
        <v>38</v>
      </c>
      <c r="R571" s="13" t="s">
        <v>365</v>
      </c>
      <c r="S571" s="13" t="s">
        <v>1215</v>
      </c>
      <c r="T571" s="28">
        <v>25.89</v>
      </c>
      <c r="U571" s="13" t="s">
        <v>365</v>
      </c>
      <c r="V571" s="13" t="s">
        <v>89</v>
      </c>
      <c r="W571" s="13" t="s">
        <v>1219</v>
      </c>
      <c r="X571" s="17">
        <f>DATE(2023,8,15)</f>
        <v>45153</v>
      </c>
      <c r="Y571" s="3"/>
    </row>
    <row r="572" spans="1:25" ht="45" customHeight="1">
      <c r="A572" s="3">
        <v>570</v>
      </c>
      <c r="B572" s="13" t="s">
        <v>2219</v>
      </c>
      <c r="C572" s="13" t="s">
        <v>103</v>
      </c>
      <c r="D572" s="13" t="s">
        <v>2220</v>
      </c>
      <c r="E572" s="13" t="s">
        <v>1064</v>
      </c>
      <c r="F572" s="13" t="s">
        <v>29</v>
      </c>
      <c r="G572" s="13" t="s">
        <v>1216</v>
      </c>
      <c r="H572" s="13" t="s">
        <v>1031</v>
      </c>
      <c r="I572" s="27" t="s">
        <v>365</v>
      </c>
      <c r="J572" s="27" t="s">
        <v>1898</v>
      </c>
      <c r="K572" s="27" t="s">
        <v>106</v>
      </c>
      <c r="L572" s="27" t="s">
        <v>2057</v>
      </c>
      <c r="M572" s="27" t="s">
        <v>1775</v>
      </c>
      <c r="N572" s="17">
        <f t="shared" si="44"/>
        <v>45061</v>
      </c>
      <c r="O572" s="13" t="s">
        <v>1776</v>
      </c>
      <c r="P572" s="13" t="s">
        <v>1215</v>
      </c>
      <c r="Q572" s="13" t="s">
        <v>38</v>
      </c>
      <c r="R572" s="13" t="s">
        <v>365</v>
      </c>
      <c r="S572" s="13" t="s">
        <v>1215</v>
      </c>
      <c r="T572" s="28">
        <v>25.61</v>
      </c>
      <c r="U572" s="13" t="s">
        <v>365</v>
      </c>
      <c r="V572" s="13" t="s">
        <v>146</v>
      </c>
      <c r="W572" s="13" t="s">
        <v>1219</v>
      </c>
      <c r="X572" s="17">
        <f>DATE(2023,8,15)</f>
        <v>45153</v>
      </c>
      <c r="Y572" s="3"/>
    </row>
    <row r="573" spans="1:25" ht="45" customHeight="1">
      <c r="A573" s="3">
        <v>571</v>
      </c>
      <c r="B573" s="13" t="s">
        <v>2221</v>
      </c>
      <c r="C573" s="13" t="s">
        <v>103</v>
      </c>
      <c r="D573" s="13" t="s">
        <v>2222</v>
      </c>
      <c r="E573" s="13" t="s">
        <v>1064</v>
      </c>
      <c r="F573" s="13" t="s">
        <v>29</v>
      </c>
      <c r="G573" s="13" t="s">
        <v>1216</v>
      </c>
      <c r="H573" s="13" t="s">
        <v>1031</v>
      </c>
      <c r="I573" s="27" t="s">
        <v>365</v>
      </c>
      <c r="J573" s="27" t="s">
        <v>1898</v>
      </c>
      <c r="K573" s="27" t="s">
        <v>106</v>
      </c>
      <c r="L573" s="27" t="s">
        <v>2057</v>
      </c>
      <c r="M573" s="27" t="s">
        <v>1775</v>
      </c>
      <c r="N573" s="17">
        <f t="shared" si="44"/>
        <v>45061</v>
      </c>
      <c r="O573" s="13" t="s">
        <v>1776</v>
      </c>
      <c r="P573" s="13" t="s">
        <v>1231</v>
      </c>
      <c r="Q573" s="13" t="s">
        <v>38</v>
      </c>
      <c r="R573" s="13" t="s">
        <v>365</v>
      </c>
      <c r="S573" s="13" t="s">
        <v>1215</v>
      </c>
      <c r="T573" s="28">
        <v>25.12</v>
      </c>
      <c r="U573" s="13" t="s">
        <v>365</v>
      </c>
      <c r="V573" s="13" t="s">
        <v>89</v>
      </c>
      <c r="W573" s="13" t="s">
        <v>1219</v>
      </c>
      <c r="X573" s="17">
        <f>DATE(2023,8,15)</f>
        <v>45153</v>
      </c>
      <c r="Y573" s="3"/>
    </row>
    <row r="574" spans="1:25" ht="45" customHeight="1">
      <c r="A574" s="3">
        <v>572</v>
      </c>
      <c r="B574" s="13" t="s">
        <v>2223</v>
      </c>
      <c r="C574" s="13" t="s">
        <v>103</v>
      </c>
      <c r="D574" s="13" t="s">
        <v>2224</v>
      </c>
      <c r="E574" s="13" t="s">
        <v>28</v>
      </c>
      <c r="F574" s="13" t="s">
        <v>29</v>
      </c>
      <c r="G574" s="13" t="s">
        <v>1058</v>
      </c>
      <c r="H574" s="13" t="s">
        <v>31</v>
      </c>
      <c r="I574" s="27" t="s">
        <v>365</v>
      </c>
      <c r="J574" s="27" t="s">
        <v>1898</v>
      </c>
      <c r="K574" s="27" t="s">
        <v>106</v>
      </c>
      <c r="L574" s="27" t="s">
        <v>2057</v>
      </c>
      <c r="M574" s="27" t="s">
        <v>1775</v>
      </c>
      <c r="N574" s="17">
        <f t="shared" si="44"/>
        <v>45061</v>
      </c>
      <c r="O574" s="13" t="s">
        <v>1776</v>
      </c>
      <c r="P574" s="13" t="s">
        <v>87</v>
      </c>
      <c r="Q574" s="13" t="s">
        <v>38</v>
      </c>
      <c r="R574" s="13" t="s">
        <v>365</v>
      </c>
      <c r="S574" s="13" t="s">
        <v>87</v>
      </c>
      <c r="T574" s="28">
        <v>25.64</v>
      </c>
      <c r="U574" s="13" t="s">
        <v>28</v>
      </c>
      <c r="V574" s="13" t="s">
        <v>89</v>
      </c>
      <c r="W574" s="13" t="s">
        <v>1058</v>
      </c>
      <c r="X574" s="17">
        <f>DATE(2023,8,15)</f>
        <v>45153</v>
      </c>
      <c r="Y574" s="3"/>
    </row>
    <row r="575" spans="1:25" ht="45" customHeight="1">
      <c r="A575" s="3">
        <v>573</v>
      </c>
      <c r="B575" s="13" t="s">
        <v>2225</v>
      </c>
      <c r="C575" s="13" t="s">
        <v>103</v>
      </c>
      <c r="D575" s="13" t="s">
        <v>2226</v>
      </c>
      <c r="E575" s="13" t="s">
        <v>1064</v>
      </c>
      <c r="F575" s="13" t="s">
        <v>29</v>
      </c>
      <c r="G575" s="13" t="s">
        <v>1216</v>
      </c>
      <c r="H575" s="13" t="s">
        <v>1031</v>
      </c>
      <c r="I575" s="27" t="s">
        <v>365</v>
      </c>
      <c r="J575" s="27" t="s">
        <v>1898</v>
      </c>
      <c r="K575" s="27" t="s">
        <v>106</v>
      </c>
      <c r="L575" s="27" t="s">
        <v>2057</v>
      </c>
      <c r="M575" s="27" t="s">
        <v>1775</v>
      </c>
      <c r="N575" s="17">
        <f t="shared" si="44"/>
        <v>45061</v>
      </c>
      <c r="O575" s="13" t="s">
        <v>1776</v>
      </c>
      <c r="P575" s="13" t="s">
        <v>1231</v>
      </c>
      <c r="Q575" s="13" t="s">
        <v>38</v>
      </c>
      <c r="R575" s="13" t="s">
        <v>365</v>
      </c>
      <c r="S575" s="13" t="s">
        <v>1215</v>
      </c>
      <c r="T575" s="28">
        <v>25.21</v>
      </c>
      <c r="U575" s="13" t="s">
        <v>365</v>
      </c>
      <c r="V575" s="13" t="s">
        <v>89</v>
      </c>
      <c r="W575" s="13" t="s">
        <v>1219</v>
      </c>
      <c r="X575" s="17">
        <f>DATE(2023,8,15)</f>
        <v>45153</v>
      </c>
      <c r="Y575" s="3"/>
    </row>
    <row r="576" spans="1:25" ht="45" customHeight="1">
      <c r="A576" s="3">
        <v>574</v>
      </c>
      <c r="B576" s="13" t="s">
        <v>2227</v>
      </c>
      <c r="C576" s="13" t="s">
        <v>103</v>
      </c>
      <c r="D576" s="13" t="s">
        <v>2228</v>
      </c>
      <c r="E576" s="13" t="s">
        <v>1064</v>
      </c>
      <c r="F576" s="13" t="s">
        <v>29</v>
      </c>
      <c r="G576" s="13" t="s">
        <v>1216</v>
      </c>
      <c r="H576" s="13" t="s">
        <v>1031</v>
      </c>
      <c r="I576" s="27" t="s">
        <v>365</v>
      </c>
      <c r="J576" s="27" t="s">
        <v>1898</v>
      </c>
      <c r="K576" s="27" t="s">
        <v>106</v>
      </c>
      <c r="L576" s="27" t="s">
        <v>2057</v>
      </c>
      <c r="M576" s="27" t="s">
        <v>1775</v>
      </c>
      <c r="N576" s="17">
        <f t="shared" si="44"/>
        <v>45061</v>
      </c>
      <c r="O576" s="13" t="s">
        <v>1776</v>
      </c>
      <c r="P576" s="13" t="s">
        <v>1231</v>
      </c>
      <c r="Q576" s="13" t="s">
        <v>38</v>
      </c>
      <c r="R576" s="13" t="s">
        <v>365</v>
      </c>
      <c r="S576" s="13" t="s">
        <v>1215</v>
      </c>
      <c r="T576" s="28">
        <v>29</v>
      </c>
      <c r="U576" s="13" t="s">
        <v>365</v>
      </c>
      <c r="V576" s="13" t="s">
        <v>89</v>
      </c>
      <c r="W576" s="13" t="s">
        <v>1219</v>
      </c>
      <c r="X576" s="17">
        <f>DATE(2023,6,15)</f>
        <v>45092</v>
      </c>
      <c r="Y576" s="3"/>
    </row>
    <row r="577" spans="1:25" ht="45" customHeight="1">
      <c r="A577" s="3">
        <v>575</v>
      </c>
      <c r="B577" s="13" t="s">
        <v>2229</v>
      </c>
      <c r="C577" s="13" t="s">
        <v>103</v>
      </c>
      <c r="D577" s="13" t="s">
        <v>2230</v>
      </c>
      <c r="E577" s="13" t="s">
        <v>1064</v>
      </c>
      <c r="F577" s="13" t="s">
        <v>29</v>
      </c>
      <c r="G577" s="13" t="s">
        <v>1216</v>
      </c>
      <c r="H577" s="13" t="s">
        <v>1031</v>
      </c>
      <c r="I577" s="27" t="s">
        <v>365</v>
      </c>
      <c r="J577" s="27" t="s">
        <v>1898</v>
      </c>
      <c r="K577" s="27" t="s">
        <v>106</v>
      </c>
      <c r="L577" s="27" t="s">
        <v>2057</v>
      </c>
      <c r="M577" s="27" t="s">
        <v>1775</v>
      </c>
      <c r="N577" s="17">
        <f t="shared" si="44"/>
        <v>45061</v>
      </c>
      <c r="O577" s="13" t="s">
        <v>1776</v>
      </c>
      <c r="P577" s="13" t="s">
        <v>1215</v>
      </c>
      <c r="Q577" s="13" t="s">
        <v>38</v>
      </c>
      <c r="R577" s="13" t="s">
        <v>365</v>
      </c>
      <c r="S577" s="13" t="s">
        <v>1215</v>
      </c>
      <c r="T577" s="28">
        <v>27.15</v>
      </c>
      <c r="U577" s="13" t="s">
        <v>365</v>
      </c>
      <c r="V577" s="13" t="s">
        <v>146</v>
      </c>
      <c r="W577" s="13" t="s">
        <v>1219</v>
      </c>
      <c r="X577" s="17">
        <f t="shared" ref="X577:X583" si="45">DATE(2023,8,15)</f>
        <v>45153</v>
      </c>
      <c r="Y577" s="3"/>
    </row>
    <row r="578" spans="1:25" ht="45" customHeight="1">
      <c r="A578" s="3">
        <v>576</v>
      </c>
      <c r="B578" s="13" t="s">
        <v>2231</v>
      </c>
      <c r="C578" s="13" t="s">
        <v>103</v>
      </c>
      <c r="D578" s="13" t="s">
        <v>2232</v>
      </c>
      <c r="E578" s="13" t="s">
        <v>1064</v>
      </c>
      <c r="F578" s="13" t="s">
        <v>29</v>
      </c>
      <c r="G578" s="13" t="s">
        <v>85</v>
      </c>
      <c r="H578" s="13" t="s">
        <v>1031</v>
      </c>
      <c r="I578" s="27" t="s">
        <v>365</v>
      </c>
      <c r="J578" s="27" t="s">
        <v>1898</v>
      </c>
      <c r="K578" s="27" t="s">
        <v>106</v>
      </c>
      <c r="L578" s="27" t="s">
        <v>2057</v>
      </c>
      <c r="M578" s="27" t="s">
        <v>1775</v>
      </c>
      <c r="N578" s="17">
        <f t="shared" si="44"/>
        <v>45061</v>
      </c>
      <c r="O578" s="13" t="s">
        <v>1776</v>
      </c>
      <c r="P578" s="13" t="s">
        <v>87</v>
      </c>
      <c r="Q578" s="13" t="s">
        <v>38</v>
      </c>
      <c r="R578" s="13" t="s">
        <v>365</v>
      </c>
      <c r="S578" s="13" t="s">
        <v>87</v>
      </c>
      <c r="T578" s="28">
        <v>25.19</v>
      </c>
      <c r="U578" s="13" t="s">
        <v>365</v>
      </c>
      <c r="V578" s="13" t="s">
        <v>89</v>
      </c>
      <c r="W578" s="13" t="s">
        <v>85</v>
      </c>
      <c r="X578" s="17">
        <f t="shared" si="45"/>
        <v>45153</v>
      </c>
      <c r="Y578" s="3"/>
    </row>
    <row r="579" spans="1:25" ht="45" customHeight="1">
      <c r="A579" s="3">
        <v>577</v>
      </c>
      <c r="B579" s="13" t="s">
        <v>2233</v>
      </c>
      <c r="C579" s="13" t="s">
        <v>103</v>
      </c>
      <c r="D579" s="13" t="s">
        <v>2234</v>
      </c>
      <c r="E579" s="13" t="s">
        <v>1064</v>
      </c>
      <c r="F579" s="13" t="s">
        <v>29</v>
      </c>
      <c r="G579" s="13" t="s">
        <v>1216</v>
      </c>
      <c r="H579" s="13" t="s">
        <v>1031</v>
      </c>
      <c r="I579" s="27" t="s">
        <v>365</v>
      </c>
      <c r="J579" s="27" t="s">
        <v>1898</v>
      </c>
      <c r="K579" s="27" t="s">
        <v>106</v>
      </c>
      <c r="L579" s="27" t="s">
        <v>2057</v>
      </c>
      <c r="M579" s="27" t="s">
        <v>1775</v>
      </c>
      <c r="N579" s="17">
        <f t="shared" si="44"/>
        <v>45061</v>
      </c>
      <c r="O579" s="13" t="s">
        <v>1776</v>
      </c>
      <c r="P579" s="13" t="s">
        <v>1221</v>
      </c>
      <c r="Q579" s="13" t="s">
        <v>38</v>
      </c>
      <c r="R579" s="13" t="s">
        <v>365</v>
      </c>
      <c r="S579" s="13" t="s">
        <v>1215</v>
      </c>
      <c r="T579" s="28">
        <v>29.41</v>
      </c>
      <c r="U579" s="13" t="s">
        <v>365</v>
      </c>
      <c r="V579" s="13" t="s">
        <v>53</v>
      </c>
      <c r="W579" s="13" t="s">
        <v>1219</v>
      </c>
      <c r="X579" s="17">
        <f t="shared" si="45"/>
        <v>45153</v>
      </c>
      <c r="Y579" s="3"/>
    </row>
    <row r="580" spans="1:25" ht="45" customHeight="1">
      <c r="A580" s="3">
        <v>578</v>
      </c>
      <c r="B580" s="13" t="s">
        <v>2235</v>
      </c>
      <c r="C580" s="13" t="s">
        <v>103</v>
      </c>
      <c r="D580" s="13" t="s">
        <v>2236</v>
      </c>
      <c r="E580" s="13" t="s">
        <v>1064</v>
      </c>
      <c r="F580" s="13" t="s">
        <v>29</v>
      </c>
      <c r="G580" s="13" t="s">
        <v>1216</v>
      </c>
      <c r="H580" s="13" t="s">
        <v>1031</v>
      </c>
      <c r="I580" s="27" t="s">
        <v>365</v>
      </c>
      <c r="J580" s="27" t="s">
        <v>1898</v>
      </c>
      <c r="K580" s="27" t="s">
        <v>106</v>
      </c>
      <c r="L580" s="27" t="s">
        <v>2057</v>
      </c>
      <c r="M580" s="27" t="s">
        <v>1775</v>
      </c>
      <c r="N580" s="17">
        <f t="shared" si="44"/>
        <v>45061</v>
      </c>
      <c r="O580" s="13" t="s">
        <v>1776</v>
      </c>
      <c r="P580" s="13" t="s">
        <v>1215</v>
      </c>
      <c r="Q580" s="13" t="s">
        <v>38</v>
      </c>
      <c r="R580" s="13" t="s">
        <v>365</v>
      </c>
      <c r="S580" s="13" t="s">
        <v>1215</v>
      </c>
      <c r="T580" s="28">
        <v>24.76</v>
      </c>
      <c r="U580" s="13" t="s">
        <v>365</v>
      </c>
      <c r="V580" s="13" t="s">
        <v>146</v>
      </c>
      <c r="W580" s="13" t="s">
        <v>1219</v>
      </c>
      <c r="X580" s="17">
        <f t="shared" si="45"/>
        <v>45153</v>
      </c>
      <c r="Y580" s="3"/>
    </row>
    <row r="581" spans="1:25" ht="45" customHeight="1">
      <c r="A581" s="3">
        <v>579</v>
      </c>
      <c r="B581" s="13" t="s">
        <v>2237</v>
      </c>
      <c r="C581" s="13" t="s">
        <v>103</v>
      </c>
      <c r="D581" s="13" t="s">
        <v>2238</v>
      </c>
      <c r="E581" s="13" t="s">
        <v>1064</v>
      </c>
      <c r="F581" s="13" t="s">
        <v>29</v>
      </c>
      <c r="G581" s="13" t="s">
        <v>1216</v>
      </c>
      <c r="H581" s="13" t="s">
        <v>1031</v>
      </c>
      <c r="I581" s="27" t="s">
        <v>365</v>
      </c>
      <c r="J581" s="27" t="s">
        <v>1898</v>
      </c>
      <c r="K581" s="27" t="s">
        <v>106</v>
      </c>
      <c r="L581" s="27" t="s">
        <v>2057</v>
      </c>
      <c r="M581" s="27" t="s">
        <v>1775</v>
      </c>
      <c r="N581" s="17">
        <f t="shared" si="44"/>
        <v>45061</v>
      </c>
      <c r="O581" s="13" t="s">
        <v>1776</v>
      </c>
      <c r="P581" s="13" t="s">
        <v>1221</v>
      </c>
      <c r="Q581" s="13" t="s">
        <v>38</v>
      </c>
      <c r="R581" s="13" t="s">
        <v>365</v>
      </c>
      <c r="S581" s="13" t="s">
        <v>1215</v>
      </c>
      <c r="T581" s="28">
        <v>28.58</v>
      </c>
      <c r="U581" s="13" t="s">
        <v>365</v>
      </c>
      <c r="V581" s="13" t="s">
        <v>53</v>
      </c>
      <c r="W581" s="13" t="s">
        <v>1219</v>
      </c>
      <c r="X581" s="17">
        <f t="shared" si="45"/>
        <v>45153</v>
      </c>
      <c r="Y581" s="3"/>
    </row>
    <row r="582" spans="1:25" ht="45" customHeight="1">
      <c r="A582" s="3">
        <v>580</v>
      </c>
      <c r="B582" s="13" t="s">
        <v>2239</v>
      </c>
      <c r="C582" s="13" t="s">
        <v>103</v>
      </c>
      <c r="D582" s="13" t="s">
        <v>2240</v>
      </c>
      <c r="E582" s="13" t="s">
        <v>1064</v>
      </c>
      <c r="F582" s="13" t="s">
        <v>29</v>
      </c>
      <c r="G582" s="13" t="s">
        <v>1216</v>
      </c>
      <c r="H582" s="13" t="s">
        <v>1031</v>
      </c>
      <c r="I582" s="27" t="s">
        <v>365</v>
      </c>
      <c r="J582" s="27" t="s">
        <v>1898</v>
      </c>
      <c r="K582" s="27" t="s">
        <v>106</v>
      </c>
      <c r="L582" s="27" t="s">
        <v>2057</v>
      </c>
      <c r="M582" s="27" t="s">
        <v>1775</v>
      </c>
      <c r="N582" s="17">
        <f t="shared" si="44"/>
        <v>45061</v>
      </c>
      <c r="O582" s="13" t="s">
        <v>1776</v>
      </c>
      <c r="P582" s="13" t="s">
        <v>1221</v>
      </c>
      <c r="Q582" s="13" t="s">
        <v>38</v>
      </c>
      <c r="R582" s="13" t="s">
        <v>365</v>
      </c>
      <c r="S582" s="13" t="s">
        <v>1215</v>
      </c>
      <c r="T582" s="28">
        <v>24.51</v>
      </c>
      <c r="U582" s="13" t="s">
        <v>365</v>
      </c>
      <c r="V582" s="13" t="s">
        <v>53</v>
      </c>
      <c r="W582" s="13" t="s">
        <v>1219</v>
      </c>
      <c r="X582" s="17">
        <f t="shared" si="45"/>
        <v>45153</v>
      </c>
      <c r="Y582" s="3"/>
    </row>
    <row r="583" spans="1:25" ht="45" customHeight="1">
      <c r="A583" s="3">
        <v>581</v>
      </c>
      <c r="B583" s="13" t="s">
        <v>2241</v>
      </c>
      <c r="C583" s="13" t="s">
        <v>103</v>
      </c>
      <c r="D583" s="13" t="s">
        <v>2242</v>
      </c>
      <c r="E583" s="13" t="s">
        <v>1064</v>
      </c>
      <c r="F583" s="13" t="s">
        <v>29</v>
      </c>
      <c r="G583" s="13" t="s">
        <v>1216</v>
      </c>
      <c r="H583" s="13" t="s">
        <v>1031</v>
      </c>
      <c r="I583" s="27" t="s">
        <v>365</v>
      </c>
      <c r="J583" s="27" t="s">
        <v>1898</v>
      </c>
      <c r="K583" s="27" t="s">
        <v>106</v>
      </c>
      <c r="L583" s="27" t="s">
        <v>2057</v>
      </c>
      <c r="M583" s="27" t="s">
        <v>1775</v>
      </c>
      <c r="N583" s="17">
        <f t="shared" si="44"/>
        <v>45061</v>
      </c>
      <c r="O583" s="13" t="s">
        <v>1776</v>
      </c>
      <c r="P583" s="13" t="s">
        <v>1231</v>
      </c>
      <c r="Q583" s="13" t="s">
        <v>38</v>
      </c>
      <c r="R583" s="13" t="s">
        <v>365</v>
      </c>
      <c r="S583" s="13" t="s">
        <v>1215</v>
      </c>
      <c r="T583" s="28">
        <v>25.69</v>
      </c>
      <c r="U583" s="13" t="s">
        <v>365</v>
      </c>
      <c r="V583" s="13" t="s">
        <v>89</v>
      </c>
      <c r="W583" s="13" t="s">
        <v>1219</v>
      </c>
      <c r="X583" s="17">
        <f t="shared" si="45"/>
        <v>45153</v>
      </c>
      <c r="Y583" s="3"/>
    </row>
    <row r="584" spans="1:25" ht="45" customHeight="1">
      <c r="A584" s="3">
        <v>582</v>
      </c>
      <c r="B584" s="13" t="s">
        <v>2243</v>
      </c>
      <c r="C584" s="13" t="s">
        <v>26</v>
      </c>
      <c r="D584" s="13" t="s">
        <v>2244</v>
      </c>
      <c r="E584" s="13" t="s">
        <v>592</v>
      </c>
      <c r="F584" s="13" t="s">
        <v>446</v>
      </c>
      <c r="G584" s="13" t="s">
        <v>860</v>
      </c>
      <c r="H584" s="13" t="s">
        <v>406</v>
      </c>
      <c r="I584" s="27" t="s">
        <v>2245</v>
      </c>
      <c r="J584" s="27" t="s">
        <v>33</v>
      </c>
      <c r="K584" s="27" t="s">
        <v>34</v>
      </c>
      <c r="L584" s="27" t="s">
        <v>35</v>
      </c>
      <c r="M584" s="27" t="s">
        <v>36</v>
      </c>
      <c r="N584" s="17">
        <f>DATE(2023,5,22)</f>
        <v>45068</v>
      </c>
      <c r="O584" s="13" t="s">
        <v>107</v>
      </c>
      <c r="P584" s="13" t="s">
        <v>449</v>
      </c>
      <c r="Q584" s="13" t="s">
        <v>431</v>
      </c>
      <c r="R584" s="13" t="s">
        <v>2246</v>
      </c>
      <c r="S584" s="13" t="s">
        <v>403</v>
      </c>
      <c r="T584" s="28">
        <v>32.1</v>
      </c>
      <c r="U584" s="13" t="s">
        <v>427</v>
      </c>
      <c r="V584" s="13" t="s">
        <v>413</v>
      </c>
      <c r="W584" s="13" t="s">
        <v>860</v>
      </c>
      <c r="X584" s="17">
        <f>DATE(2023,8,22)</f>
        <v>45160</v>
      </c>
      <c r="Y584" s="3"/>
    </row>
    <row r="585" spans="1:25" ht="45" customHeight="1">
      <c r="A585" s="3">
        <v>583</v>
      </c>
      <c r="B585" s="13" t="s">
        <v>2247</v>
      </c>
      <c r="C585" s="13" t="s">
        <v>26</v>
      </c>
      <c r="D585" s="13" t="s">
        <v>2248</v>
      </c>
      <c r="E585" s="13" t="s">
        <v>762</v>
      </c>
      <c r="F585" s="13" t="s">
        <v>446</v>
      </c>
      <c r="G585" s="13" t="s">
        <v>860</v>
      </c>
      <c r="H585" s="13" t="s">
        <v>406</v>
      </c>
      <c r="I585" s="27" t="s">
        <v>2249</v>
      </c>
      <c r="J585" s="27" t="s">
        <v>33</v>
      </c>
      <c r="K585" s="27" t="s">
        <v>34</v>
      </c>
      <c r="L585" s="27" t="s">
        <v>35</v>
      </c>
      <c r="M585" s="27" t="s">
        <v>36</v>
      </c>
      <c r="N585" s="17">
        <f>DATE(2023,5,22)</f>
        <v>45068</v>
      </c>
      <c r="O585" s="13" t="s">
        <v>107</v>
      </c>
      <c r="P585" s="13" t="s">
        <v>862</v>
      </c>
      <c r="Q585" s="13" t="s">
        <v>670</v>
      </c>
      <c r="R585" s="13" t="s">
        <v>2250</v>
      </c>
      <c r="S585" s="13" t="s">
        <v>449</v>
      </c>
      <c r="T585" s="28">
        <v>35.68</v>
      </c>
      <c r="U585" s="13" t="s">
        <v>765</v>
      </c>
      <c r="V585" s="13" t="s">
        <v>89</v>
      </c>
      <c r="W585" s="13" t="s">
        <v>860</v>
      </c>
      <c r="X585" s="17">
        <f>DATE(2023,8,22)</f>
        <v>45160</v>
      </c>
      <c r="Y585" s="3"/>
    </row>
    <row r="586" spans="1:25" ht="45" customHeight="1">
      <c r="A586" s="3">
        <v>584</v>
      </c>
      <c r="B586" s="13" t="s">
        <v>2251</v>
      </c>
      <c r="C586" s="13" t="s">
        <v>26</v>
      </c>
      <c r="D586" s="13" t="s">
        <v>2252</v>
      </c>
      <c r="E586" s="13" t="s">
        <v>762</v>
      </c>
      <c r="F586" s="13" t="s">
        <v>446</v>
      </c>
      <c r="G586" s="13" t="s">
        <v>860</v>
      </c>
      <c r="H586" s="13" t="s">
        <v>406</v>
      </c>
      <c r="I586" s="27" t="s">
        <v>2253</v>
      </c>
      <c r="J586" s="27" t="s">
        <v>33</v>
      </c>
      <c r="K586" s="27" t="s">
        <v>34</v>
      </c>
      <c r="L586" s="27" t="s">
        <v>35</v>
      </c>
      <c r="M586" s="27" t="s">
        <v>36</v>
      </c>
      <c r="N586" s="17">
        <f>DATE(2023,5,22)</f>
        <v>45068</v>
      </c>
      <c r="O586" s="13" t="s">
        <v>107</v>
      </c>
      <c r="P586" s="13" t="s">
        <v>862</v>
      </c>
      <c r="Q586" s="13" t="s">
        <v>670</v>
      </c>
      <c r="R586" s="13" t="s">
        <v>2254</v>
      </c>
      <c r="S586" s="13" t="s">
        <v>449</v>
      </c>
      <c r="T586" s="28">
        <v>39.68</v>
      </c>
      <c r="U586" s="13" t="s">
        <v>765</v>
      </c>
      <c r="V586" s="13" t="s">
        <v>89</v>
      </c>
      <c r="W586" s="13" t="s">
        <v>860</v>
      </c>
      <c r="X586" s="17">
        <f>DATE(2023,8,22)</f>
        <v>45160</v>
      </c>
      <c r="Y586" s="3"/>
    </row>
    <row r="587" spans="1:25" ht="45" customHeight="1">
      <c r="A587" s="3">
        <v>585</v>
      </c>
      <c r="B587" s="13" t="s">
        <v>2255</v>
      </c>
      <c r="C587" s="13" t="s">
        <v>26</v>
      </c>
      <c r="D587" s="13" t="s">
        <v>2256</v>
      </c>
      <c r="E587" s="13" t="s">
        <v>1041</v>
      </c>
      <c r="F587" s="13" t="s">
        <v>417</v>
      </c>
      <c r="G587" s="13" t="s">
        <v>674</v>
      </c>
      <c r="H587" s="13" t="s">
        <v>419</v>
      </c>
      <c r="I587" s="27" t="s">
        <v>2257</v>
      </c>
      <c r="J587" s="27" t="s">
        <v>33</v>
      </c>
      <c r="K587" s="27" t="s">
        <v>34</v>
      </c>
      <c r="L587" s="27" t="s">
        <v>208</v>
      </c>
      <c r="M587" s="27" t="s">
        <v>209</v>
      </c>
      <c r="N587" s="17">
        <f>DATE(2023,5,29)</f>
        <v>45075</v>
      </c>
      <c r="O587" s="13" t="s">
        <v>107</v>
      </c>
      <c r="P587" s="13" t="s">
        <v>676</v>
      </c>
      <c r="Q587" s="13" t="s">
        <v>501</v>
      </c>
      <c r="R587" s="13" t="s">
        <v>2258</v>
      </c>
      <c r="S587" s="13" t="s">
        <v>423</v>
      </c>
      <c r="T587" s="28">
        <v>36.22</v>
      </c>
      <c r="U587" s="13" t="s">
        <v>1041</v>
      </c>
      <c r="V587" s="13" t="s">
        <v>413</v>
      </c>
      <c r="W587" s="13" t="s">
        <v>678</v>
      </c>
      <c r="X587" s="17">
        <f>DATE(2023,7,28)</f>
        <v>45135</v>
      </c>
      <c r="Y587" s="3"/>
    </row>
    <row r="588" spans="1:25" ht="45" customHeight="1">
      <c r="A588" s="3">
        <v>586</v>
      </c>
      <c r="B588" s="13" t="s">
        <v>2259</v>
      </c>
      <c r="C588" s="13" t="s">
        <v>26</v>
      </c>
      <c r="D588" s="13" t="s">
        <v>2260</v>
      </c>
      <c r="E588" s="13" t="s">
        <v>1064</v>
      </c>
      <c r="F588" s="13" t="s">
        <v>29</v>
      </c>
      <c r="G588" s="13" t="s">
        <v>56</v>
      </c>
      <c r="H588" s="13" t="s">
        <v>1031</v>
      </c>
      <c r="I588" s="27" t="s">
        <v>2261</v>
      </c>
      <c r="J588" s="27" t="s">
        <v>33</v>
      </c>
      <c r="K588" s="27" t="s">
        <v>34</v>
      </c>
      <c r="L588" s="27" t="s">
        <v>35</v>
      </c>
      <c r="M588" s="27" t="s">
        <v>36</v>
      </c>
      <c r="N588" s="17">
        <f t="shared" ref="N588:N609" si="46">DATE(2023,6,1)</f>
        <v>45078</v>
      </c>
      <c r="O588" s="13" t="s">
        <v>34</v>
      </c>
      <c r="P588" s="13" t="s">
        <v>203</v>
      </c>
      <c r="Q588" s="13" t="s">
        <v>38</v>
      </c>
      <c r="R588" s="13" t="s">
        <v>2262</v>
      </c>
      <c r="S588" s="13" t="s">
        <v>58</v>
      </c>
      <c r="T588" s="28">
        <v>23.89</v>
      </c>
      <c r="U588" s="13" t="s">
        <v>28</v>
      </c>
      <c r="V588" s="13" t="s">
        <v>89</v>
      </c>
      <c r="W588" s="13" t="s">
        <v>56</v>
      </c>
      <c r="X588" s="17">
        <f>DATE(2023,7,1)</f>
        <v>45108</v>
      </c>
      <c r="Y588" s="3"/>
    </row>
    <row r="589" spans="1:25" ht="45" customHeight="1">
      <c r="A589" s="3">
        <v>587</v>
      </c>
      <c r="B589" s="13" t="s">
        <v>2263</v>
      </c>
      <c r="C589" s="13" t="s">
        <v>26</v>
      </c>
      <c r="D589" s="13" t="s">
        <v>203</v>
      </c>
      <c r="E589" s="13" t="s">
        <v>499</v>
      </c>
      <c r="F589" s="13" t="s">
        <v>29</v>
      </c>
      <c r="G589" s="13" t="s">
        <v>56</v>
      </c>
      <c r="H589" s="13" t="s">
        <v>406</v>
      </c>
      <c r="I589" s="27" t="s">
        <v>2264</v>
      </c>
      <c r="J589" s="27" t="s">
        <v>33</v>
      </c>
      <c r="K589" s="27" t="s">
        <v>34</v>
      </c>
      <c r="L589" s="27" t="s">
        <v>35</v>
      </c>
      <c r="M589" s="27" t="s">
        <v>36</v>
      </c>
      <c r="N589" s="17">
        <f t="shared" si="46"/>
        <v>45078</v>
      </c>
      <c r="O589" s="13" t="s">
        <v>107</v>
      </c>
      <c r="P589" s="13" t="s">
        <v>58</v>
      </c>
      <c r="Q589" s="13" t="s">
        <v>501</v>
      </c>
      <c r="R589" s="13" t="s">
        <v>2265</v>
      </c>
      <c r="S589" s="13" t="s">
        <v>441</v>
      </c>
      <c r="T589" s="28">
        <v>23.5</v>
      </c>
      <c r="U589" s="13" t="s">
        <v>499</v>
      </c>
      <c r="V589" s="13" t="s">
        <v>89</v>
      </c>
      <c r="W589" s="13" t="s">
        <v>56</v>
      </c>
      <c r="X589" s="17">
        <f>DATE(2023,9,1)</f>
        <v>45170</v>
      </c>
      <c r="Y589" s="3"/>
    </row>
    <row r="590" spans="1:25" ht="45" customHeight="1">
      <c r="A590" s="3">
        <v>588</v>
      </c>
      <c r="B590" s="13" t="s">
        <v>2266</v>
      </c>
      <c r="C590" s="13" t="s">
        <v>26</v>
      </c>
      <c r="D590" s="13" t="s">
        <v>2267</v>
      </c>
      <c r="E590" s="13" t="s">
        <v>28</v>
      </c>
      <c r="F590" s="13" t="s">
        <v>29</v>
      </c>
      <c r="G590" s="13" t="s">
        <v>72</v>
      </c>
      <c r="H590" s="13" t="s">
        <v>1031</v>
      </c>
      <c r="I590" s="27" t="s">
        <v>2268</v>
      </c>
      <c r="J590" s="27" t="s">
        <v>33</v>
      </c>
      <c r="K590" s="27" t="s">
        <v>34</v>
      </c>
      <c r="L590" s="27" t="s">
        <v>35</v>
      </c>
      <c r="M590" s="27" t="s">
        <v>36</v>
      </c>
      <c r="N590" s="17">
        <f t="shared" si="46"/>
        <v>45078</v>
      </c>
      <c r="O590" s="13" t="s">
        <v>34</v>
      </c>
      <c r="P590" s="13" t="s">
        <v>1149</v>
      </c>
      <c r="Q590" s="13" t="s">
        <v>38</v>
      </c>
      <c r="R590" s="13" t="s">
        <v>2269</v>
      </c>
      <c r="S590" s="13" t="s">
        <v>74</v>
      </c>
      <c r="T590" s="28">
        <v>23.76</v>
      </c>
      <c r="U590" s="13" t="s">
        <v>28</v>
      </c>
      <c r="V590" s="13" t="s">
        <v>146</v>
      </c>
      <c r="W590" s="13" t="s">
        <v>72</v>
      </c>
      <c r="X590" s="17">
        <f>DATE(2023,7,1)</f>
        <v>45108</v>
      </c>
      <c r="Y590" s="3"/>
    </row>
    <row r="591" spans="1:25" ht="45" customHeight="1">
      <c r="A591" s="3">
        <v>589</v>
      </c>
      <c r="B591" s="13" t="s">
        <v>2270</v>
      </c>
      <c r="C591" s="13" t="s">
        <v>26</v>
      </c>
      <c r="D591" s="13" t="s">
        <v>1809</v>
      </c>
      <c r="E591" s="13" t="s">
        <v>499</v>
      </c>
      <c r="F591" s="13" t="s">
        <v>29</v>
      </c>
      <c r="G591" s="13" t="s">
        <v>62</v>
      </c>
      <c r="H591" s="13" t="s">
        <v>406</v>
      </c>
      <c r="I591" s="27" t="s">
        <v>2271</v>
      </c>
      <c r="J591" s="27" t="s">
        <v>33</v>
      </c>
      <c r="K591" s="27" t="s">
        <v>34</v>
      </c>
      <c r="L591" s="27" t="s">
        <v>35</v>
      </c>
      <c r="M591" s="27" t="s">
        <v>36</v>
      </c>
      <c r="N591" s="17">
        <f t="shared" si="46"/>
        <v>45078</v>
      </c>
      <c r="O591" s="13" t="s">
        <v>107</v>
      </c>
      <c r="P591" s="13" t="s">
        <v>64</v>
      </c>
      <c r="Q591" s="13" t="s">
        <v>501</v>
      </c>
      <c r="R591" s="13" t="s">
        <v>2272</v>
      </c>
      <c r="S591" s="13" t="s">
        <v>441</v>
      </c>
      <c r="T591" s="28">
        <v>30.55</v>
      </c>
      <c r="U591" s="13" t="s">
        <v>499</v>
      </c>
      <c r="V591" s="13" t="s">
        <v>146</v>
      </c>
      <c r="W591" s="13" t="s">
        <v>62</v>
      </c>
      <c r="X591" s="17">
        <f>DATE(2023,9,1)</f>
        <v>45170</v>
      </c>
      <c r="Y591" s="3"/>
    </row>
    <row r="592" spans="1:25" ht="45" customHeight="1">
      <c r="A592" s="3">
        <v>590</v>
      </c>
      <c r="B592" s="13" t="s">
        <v>2273</v>
      </c>
      <c r="C592" s="13" t="s">
        <v>26</v>
      </c>
      <c r="D592" s="13" t="s">
        <v>2274</v>
      </c>
      <c r="E592" s="13" t="s">
        <v>1560</v>
      </c>
      <c r="F592" s="13" t="s">
        <v>29</v>
      </c>
      <c r="G592" s="13" t="s">
        <v>1395</v>
      </c>
      <c r="H592" s="13" t="s">
        <v>406</v>
      </c>
      <c r="I592" s="27" t="s">
        <v>2275</v>
      </c>
      <c r="J592" s="27" t="s">
        <v>33</v>
      </c>
      <c r="K592" s="27" t="s">
        <v>34</v>
      </c>
      <c r="L592" s="27" t="s">
        <v>35</v>
      </c>
      <c r="M592" s="27" t="s">
        <v>36</v>
      </c>
      <c r="N592" s="17">
        <f t="shared" si="46"/>
        <v>45078</v>
      </c>
      <c r="O592" s="13" t="s">
        <v>107</v>
      </c>
      <c r="P592" s="13" t="s">
        <v>52</v>
      </c>
      <c r="Q592" s="13" t="s">
        <v>38</v>
      </c>
      <c r="R592" s="13" t="s">
        <v>2276</v>
      </c>
      <c r="S592" s="13" t="s">
        <v>403</v>
      </c>
      <c r="T592" s="28">
        <v>27.84</v>
      </c>
      <c r="U592" s="13" t="s">
        <v>1560</v>
      </c>
      <c r="V592" s="13" t="s">
        <v>752</v>
      </c>
      <c r="W592" s="13" t="s">
        <v>1398</v>
      </c>
      <c r="X592" s="17">
        <f t="shared" ref="X592:X601" si="47">DATE(2023,7,1)</f>
        <v>45108</v>
      </c>
      <c r="Y592" s="3"/>
    </row>
    <row r="593" spans="1:25" ht="45" customHeight="1">
      <c r="A593" s="3">
        <v>591</v>
      </c>
      <c r="B593" s="13" t="s">
        <v>2277</v>
      </c>
      <c r="C593" s="13" t="s">
        <v>26</v>
      </c>
      <c r="D593" s="13" t="s">
        <v>2278</v>
      </c>
      <c r="E593" s="13" t="s">
        <v>28</v>
      </c>
      <c r="F593" s="13" t="s">
        <v>29</v>
      </c>
      <c r="G593" s="13" t="s">
        <v>30</v>
      </c>
      <c r="H593" s="13" t="s">
        <v>1031</v>
      </c>
      <c r="I593" s="27" t="s">
        <v>2279</v>
      </c>
      <c r="J593" s="27" t="s">
        <v>33</v>
      </c>
      <c r="K593" s="27" t="s">
        <v>34</v>
      </c>
      <c r="L593" s="27" t="s">
        <v>35</v>
      </c>
      <c r="M593" s="27" t="s">
        <v>36</v>
      </c>
      <c r="N593" s="17">
        <f t="shared" si="46"/>
        <v>45078</v>
      </c>
      <c r="O593" s="13" t="s">
        <v>34</v>
      </c>
      <c r="P593" s="13" t="s">
        <v>1781</v>
      </c>
      <c r="Q593" s="13" t="s">
        <v>38</v>
      </c>
      <c r="R593" s="13" t="s">
        <v>2280</v>
      </c>
      <c r="S593" s="13" t="s">
        <v>37</v>
      </c>
      <c r="T593" s="28">
        <v>28.36</v>
      </c>
      <c r="U593" s="13" t="s">
        <v>28</v>
      </c>
      <c r="V593" s="13" t="s">
        <v>53</v>
      </c>
      <c r="W593" s="13" t="s">
        <v>30</v>
      </c>
      <c r="X593" s="17">
        <f t="shared" si="47"/>
        <v>45108</v>
      </c>
      <c r="Y593" s="3"/>
    </row>
    <row r="594" spans="1:25" ht="45" customHeight="1">
      <c r="A594" s="3">
        <v>592</v>
      </c>
      <c r="B594" s="13" t="s">
        <v>2281</v>
      </c>
      <c r="C594" s="13" t="s">
        <v>26</v>
      </c>
      <c r="D594" s="13" t="s">
        <v>2282</v>
      </c>
      <c r="E594" s="13" t="s">
        <v>28</v>
      </c>
      <c r="F594" s="13" t="s">
        <v>29</v>
      </c>
      <c r="G594" s="13" t="s">
        <v>30</v>
      </c>
      <c r="H594" s="13" t="s">
        <v>1031</v>
      </c>
      <c r="I594" s="27" t="s">
        <v>2283</v>
      </c>
      <c r="J594" s="27" t="s">
        <v>33</v>
      </c>
      <c r="K594" s="27" t="s">
        <v>34</v>
      </c>
      <c r="L594" s="27" t="s">
        <v>35</v>
      </c>
      <c r="M594" s="27" t="s">
        <v>36</v>
      </c>
      <c r="N594" s="17">
        <f t="shared" si="46"/>
        <v>45078</v>
      </c>
      <c r="O594" s="13" t="s">
        <v>34</v>
      </c>
      <c r="P594" s="13" t="s">
        <v>1606</v>
      </c>
      <c r="Q594" s="13" t="s">
        <v>38</v>
      </c>
      <c r="R594" s="13" t="s">
        <v>2284</v>
      </c>
      <c r="S594" s="13" t="s">
        <v>37</v>
      </c>
      <c r="T594" s="28">
        <v>24.9</v>
      </c>
      <c r="U594" s="13" t="s">
        <v>28</v>
      </c>
      <c r="V594" s="13" t="s">
        <v>89</v>
      </c>
      <c r="W594" s="13" t="s">
        <v>30</v>
      </c>
      <c r="X594" s="17">
        <f t="shared" si="47"/>
        <v>45108</v>
      </c>
      <c r="Y594" s="3"/>
    </row>
    <row r="595" spans="1:25" ht="45" customHeight="1">
      <c r="A595" s="3">
        <v>593</v>
      </c>
      <c r="B595" s="13" t="s">
        <v>2285</v>
      </c>
      <c r="C595" s="13" t="s">
        <v>26</v>
      </c>
      <c r="D595" s="13" t="s">
        <v>2286</v>
      </c>
      <c r="E595" s="13" t="s">
        <v>1064</v>
      </c>
      <c r="F595" s="13" t="s">
        <v>29</v>
      </c>
      <c r="G595" s="13" t="s">
        <v>30</v>
      </c>
      <c r="H595" s="13" t="s">
        <v>1031</v>
      </c>
      <c r="I595" s="27" t="s">
        <v>2287</v>
      </c>
      <c r="J595" s="27" t="s">
        <v>33</v>
      </c>
      <c r="K595" s="27" t="s">
        <v>34</v>
      </c>
      <c r="L595" s="27" t="s">
        <v>35</v>
      </c>
      <c r="M595" s="27" t="s">
        <v>36</v>
      </c>
      <c r="N595" s="17">
        <f t="shared" si="46"/>
        <v>45078</v>
      </c>
      <c r="O595" s="13" t="s">
        <v>34</v>
      </c>
      <c r="P595" s="13" t="s">
        <v>1606</v>
      </c>
      <c r="Q595" s="13" t="s">
        <v>38</v>
      </c>
      <c r="R595" s="13" t="s">
        <v>2288</v>
      </c>
      <c r="S595" s="13" t="s">
        <v>37</v>
      </c>
      <c r="T595" s="28">
        <v>23.36</v>
      </c>
      <c r="U595" s="13" t="s">
        <v>28</v>
      </c>
      <c r="V595" s="13" t="s">
        <v>89</v>
      </c>
      <c r="W595" s="13" t="s">
        <v>30</v>
      </c>
      <c r="X595" s="17">
        <f t="shared" si="47"/>
        <v>45108</v>
      </c>
      <c r="Y595" s="3"/>
    </row>
    <row r="596" spans="1:25" ht="45" customHeight="1">
      <c r="A596" s="3">
        <v>594</v>
      </c>
      <c r="B596" s="13" t="s">
        <v>2289</v>
      </c>
      <c r="C596" s="13" t="s">
        <v>103</v>
      </c>
      <c r="D596" s="13" t="s">
        <v>2290</v>
      </c>
      <c r="E596" s="13" t="s">
        <v>28</v>
      </c>
      <c r="F596" s="13" t="s">
        <v>29</v>
      </c>
      <c r="G596" s="13" t="s">
        <v>1216</v>
      </c>
      <c r="H596" s="13" t="s">
        <v>31</v>
      </c>
      <c r="I596" s="27" t="s">
        <v>2291</v>
      </c>
      <c r="J596" s="27" t="s">
        <v>33</v>
      </c>
      <c r="K596" s="27" t="s">
        <v>106</v>
      </c>
      <c r="L596" s="27" t="s">
        <v>35</v>
      </c>
      <c r="M596" s="27" t="s">
        <v>36</v>
      </c>
      <c r="N596" s="17">
        <f t="shared" si="46"/>
        <v>45078</v>
      </c>
      <c r="O596" s="13" t="s">
        <v>34</v>
      </c>
      <c r="P596" s="13" t="s">
        <v>1215</v>
      </c>
      <c r="Q596" s="13" t="s">
        <v>38</v>
      </c>
      <c r="R596" s="13" t="s">
        <v>2292</v>
      </c>
      <c r="S596" s="13" t="s">
        <v>1215</v>
      </c>
      <c r="T596" s="28">
        <v>21.63</v>
      </c>
      <c r="U596" s="13" t="s">
        <v>28</v>
      </c>
      <c r="V596" s="13" t="s">
        <v>146</v>
      </c>
      <c r="W596" s="13" t="s">
        <v>1219</v>
      </c>
      <c r="X596" s="17">
        <f t="shared" si="47"/>
        <v>45108</v>
      </c>
      <c r="Y596" s="3"/>
    </row>
    <row r="597" spans="1:25" ht="45" customHeight="1">
      <c r="A597" s="3">
        <v>595</v>
      </c>
      <c r="B597" s="13" t="s">
        <v>2293</v>
      </c>
      <c r="C597" s="13" t="s">
        <v>103</v>
      </c>
      <c r="D597" s="13" t="s">
        <v>2294</v>
      </c>
      <c r="E597" s="13" t="s">
        <v>1054</v>
      </c>
      <c r="F597" s="13" t="s">
        <v>29</v>
      </c>
      <c r="G597" s="13" t="s">
        <v>1216</v>
      </c>
      <c r="H597" s="13" t="s">
        <v>1031</v>
      </c>
      <c r="I597" s="27" t="s">
        <v>2295</v>
      </c>
      <c r="J597" s="27" t="s">
        <v>33</v>
      </c>
      <c r="K597" s="27" t="s">
        <v>106</v>
      </c>
      <c r="L597" s="27" t="s">
        <v>35</v>
      </c>
      <c r="M597" s="27" t="s">
        <v>36</v>
      </c>
      <c r="N597" s="17">
        <f t="shared" si="46"/>
        <v>45078</v>
      </c>
      <c r="O597" s="13" t="s">
        <v>107</v>
      </c>
      <c r="P597" s="13" t="s">
        <v>1231</v>
      </c>
      <c r="Q597" s="13" t="s">
        <v>1054</v>
      </c>
      <c r="R597" s="13" t="s">
        <v>2296</v>
      </c>
      <c r="S597" s="13" t="s">
        <v>1215</v>
      </c>
      <c r="T597" s="28">
        <v>28.69</v>
      </c>
      <c r="U597" s="13" t="s">
        <v>1054</v>
      </c>
      <c r="V597" s="13" t="s">
        <v>89</v>
      </c>
      <c r="W597" s="13" t="s">
        <v>1219</v>
      </c>
      <c r="X597" s="17">
        <f t="shared" si="47"/>
        <v>45108</v>
      </c>
      <c r="Y597" s="3"/>
    </row>
    <row r="598" spans="1:25" ht="45" customHeight="1">
      <c r="A598" s="3">
        <v>596</v>
      </c>
      <c r="B598" s="13" t="s">
        <v>2297</v>
      </c>
      <c r="C598" s="13" t="s">
        <v>103</v>
      </c>
      <c r="D598" s="13" t="s">
        <v>2298</v>
      </c>
      <c r="E598" s="13" t="s">
        <v>1064</v>
      </c>
      <c r="F598" s="13" t="s">
        <v>29</v>
      </c>
      <c r="G598" s="13" t="s">
        <v>1216</v>
      </c>
      <c r="H598" s="13" t="s">
        <v>1031</v>
      </c>
      <c r="I598" s="27" t="s">
        <v>2299</v>
      </c>
      <c r="J598" s="27" t="s">
        <v>33</v>
      </c>
      <c r="K598" s="27" t="s">
        <v>106</v>
      </c>
      <c r="L598" s="27" t="s">
        <v>35</v>
      </c>
      <c r="M598" s="27" t="s">
        <v>36</v>
      </c>
      <c r="N598" s="17">
        <f t="shared" si="46"/>
        <v>45078</v>
      </c>
      <c r="O598" s="13" t="s">
        <v>34</v>
      </c>
      <c r="P598" s="13" t="s">
        <v>1215</v>
      </c>
      <c r="Q598" s="13" t="s">
        <v>38</v>
      </c>
      <c r="R598" s="13" t="s">
        <v>2300</v>
      </c>
      <c r="S598" s="13" t="s">
        <v>1215</v>
      </c>
      <c r="T598" s="28">
        <v>41.94</v>
      </c>
      <c r="U598" s="13" t="s">
        <v>28</v>
      </c>
      <c r="V598" s="13" t="s">
        <v>146</v>
      </c>
      <c r="W598" s="13" t="s">
        <v>1219</v>
      </c>
      <c r="X598" s="17">
        <f t="shared" si="47"/>
        <v>45108</v>
      </c>
      <c r="Y598" s="3"/>
    </row>
    <row r="599" spans="1:25" ht="45" customHeight="1">
      <c r="A599" s="3">
        <v>597</v>
      </c>
      <c r="B599" s="13" t="s">
        <v>2301</v>
      </c>
      <c r="C599" s="13" t="s">
        <v>26</v>
      </c>
      <c r="D599" s="13" t="s">
        <v>2302</v>
      </c>
      <c r="E599" s="13" t="s">
        <v>1064</v>
      </c>
      <c r="F599" s="13" t="s">
        <v>29</v>
      </c>
      <c r="G599" s="13" t="s">
        <v>1216</v>
      </c>
      <c r="H599" s="13" t="s">
        <v>1031</v>
      </c>
      <c r="I599" s="27" t="s">
        <v>2303</v>
      </c>
      <c r="J599" s="27" t="s">
        <v>33</v>
      </c>
      <c r="K599" s="27" t="s">
        <v>34</v>
      </c>
      <c r="L599" s="27" t="s">
        <v>35</v>
      </c>
      <c r="M599" s="27" t="s">
        <v>36</v>
      </c>
      <c r="N599" s="17">
        <f t="shared" si="46"/>
        <v>45078</v>
      </c>
      <c r="O599" s="13" t="s">
        <v>34</v>
      </c>
      <c r="P599" s="13" t="s">
        <v>1215</v>
      </c>
      <c r="Q599" s="13" t="s">
        <v>38</v>
      </c>
      <c r="R599" s="13" t="s">
        <v>2304</v>
      </c>
      <c r="S599" s="13" t="s">
        <v>1215</v>
      </c>
      <c r="T599" s="28">
        <v>21.36</v>
      </c>
      <c r="U599" s="13" t="s">
        <v>28</v>
      </c>
      <c r="V599" s="13" t="s">
        <v>146</v>
      </c>
      <c r="W599" s="13" t="s">
        <v>1219</v>
      </c>
      <c r="X599" s="17">
        <f t="shared" si="47"/>
        <v>45108</v>
      </c>
      <c r="Y599" s="3"/>
    </row>
    <row r="600" spans="1:25" ht="45" customHeight="1">
      <c r="A600" s="3">
        <v>598</v>
      </c>
      <c r="B600" s="13" t="s">
        <v>2305</v>
      </c>
      <c r="C600" s="13" t="s">
        <v>26</v>
      </c>
      <c r="D600" s="13" t="s">
        <v>2306</v>
      </c>
      <c r="E600" s="13" t="s">
        <v>28</v>
      </c>
      <c r="F600" s="13" t="s">
        <v>29</v>
      </c>
      <c r="G600" s="13" t="s">
        <v>1216</v>
      </c>
      <c r="H600" s="13" t="s">
        <v>31</v>
      </c>
      <c r="I600" s="27" t="s">
        <v>2307</v>
      </c>
      <c r="J600" s="27" t="s">
        <v>33</v>
      </c>
      <c r="K600" s="27" t="s">
        <v>34</v>
      </c>
      <c r="L600" s="27" t="s">
        <v>35</v>
      </c>
      <c r="M600" s="27" t="s">
        <v>36</v>
      </c>
      <c r="N600" s="17">
        <f t="shared" si="46"/>
        <v>45078</v>
      </c>
      <c r="O600" s="13" t="s">
        <v>34</v>
      </c>
      <c r="P600" s="13" t="s">
        <v>1215</v>
      </c>
      <c r="Q600" s="13" t="s">
        <v>38</v>
      </c>
      <c r="R600" s="13" t="s">
        <v>2308</v>
      </c>
      <c r="S600" s="13" t="s">
        <v>1215</v>
      </c>
      <c r="T600" s="28">
        <v>21.19</v>
      </c>
      <c r="U600" s="13" t="s">
        <v>28</v>
      </c>
      <c r="V600" s="13" t="s">
        <v>146</v>
      </c>
      <c r="W600" s="13" t="s">
        <v>1219</v>
      </c>
      <c r="X600" s="17">
        <f t="shared" si="47"/>
        <v>45108</v>
      </c>
      <c r="Y600" s="3"/>
    </row>
    <row r="601" spans="1:25" ht="45" customHeight="1">
      <c r="A601" s="3">
        <v>599</v>
      </c>
      <c r="B601" s="13" t="s">
        <v>2309</v>
      </c>
      <c r="C601" s="13" t="s">
        <v>26</v>
      </c>
      <c r="D601" s="13" t="s">
        <v>2310</v>
      </c>
      <c r="E601" s="13" t="s">
        <v>1064</v>
      </c>
      <c r="F601" s="13" t="s">
        <v>29</v>
      </c>
      <c r="G601" s="13" t="s">
        <v>85</v>
      </c>
      <c r="H601" s="13" t="s">
        <v>1031</v>
      </c>
      <c r="I601" s="27" t="s">
        <v>2311</v>
      </c>
      <c r="J601" s="27" t="s">
        <v>33</v>
      </c>
      <c r="K601" s="27" t="s">
        <v>34</v>
      </c>
      <c r="L601" s="27" t="s">
        <v>35</v>
      </c>
      <c r="M601" s="27" t="s">
        <v>36</v>
      </c>
      <c r="N601" s="17">
        <f t="shared" si="46"/>
        <v>45078</v>
      </c>
      <c r="O601" s="13" t="s">
        <v>34</v>
      </c>
      <c r="P601" s="13" t="s">
        <v>230</v>
      </c>
      <c r="Q601" s="13" t="s">
        <v>38</v>
      </c>
      <c r="R601" s="13" t="s">
        <v>2312</v>
      </c>
      <c r="S601" s="13" t="s">
        <v>87</v>
      </c>
      <c r="T601" s="28">
        <v>42.84</v>
      </c>
      <c r="U601" s="13" t="s">
        <v>28</v>
      </c>
      <c r="V601" s="13" t="s">
        <v>146</v>
      </c>
      <c r="W601" s="13" t="s">
        <v>85</v>
      </c>
      <c r="X601" s="17">
        <f t="shared" si="47"/>
        <v>45108</v>
      </c>
      <c r="Y601" s="3"/>
    </row>
    <row r="602" spans="1:25" ht="45" customHeight="1">
      <c r="A602" s="3">
        <v>600</v>
      </c>
      <c r="B602" s="13" t="s">
        <v>2313</v>
      </c>
      <c r="C602" s="13" t="s">
        <v>26</v>
      </c>
      <c r="D602" s="13" t="s">
        <v>2314</v>
      </c>
      <c r="E602" s="13" t="s">
        <v>1054</v>
      </c>
      <c r="F602" s="13" t="s">
        <v>29</v>
      </c>
      <c r="G602" s="13" t="s">
        <v>537</v>
      </c>
      <c r="H602" s="13" t="s">
        <v>1031</v>
      </c>
      <c r="I602" s="27" t="s">
        <v>2315</v>
      </c>
      <c r="J602" s="27" t="s">
        <v>33</v>
      </c>
      <c r="K602" s="27" t="s">
        <v>34</v>
      </c>
      <c r="L602" s="27" t="s">
        <v>35</v>
      </c>
      <c r="M602" s="27" t="s">
        <v>36</v>
      </c>
      <c r="N602" s="17">
        <f t="shared" si="46"/>
        <v>45078</v>
      </c>
      <c r="O602" s="13" t="s">
        <v>107</v>
      </c>
      <c r="P602" s="13" t="s">
        <v>64</v>
      </c>
      <c r="Q602" s="13" t="s">
        <v>1054</v>
      </c>
      <c r="R602" s="13" t="s">
        <v>2316</v>
      </c>
      <c r="S602" s="13" t="s">
        <v>64</v>
      </c>
      <c r="T602" s="28">
        <v>28.17</v>
      </c>
      <c r="U602" s="13" t="s">
        <v>1054</v>
      </c>
      <c r="V602" s="13" t="s">
        <v>89</v>
      </c>
      <c r="W602" s="13" t="s">
        <v>537</v>
      </c>
      <c r="X602" s="17">
        <f>DATE(2023,9,1)</f>
        <v>45170</v>
      </c>
      <c r="Y602" s="3"/>
    </row>
    <row r="603" spans="1:25" ht="45" customHeight="1">
      <c r="A603" s="3">
        <v>601</v>
      </c>
      <c r="B603" s="13" t="s">
        <v>2317</v>
      </c>
      <c r="C603" s="13" t="s">
        <v>103</v>
      </c>
      <c r="D603" s="13" t="s">
        <v>2318</v>
      </c>
      <c r="E603" s="13" t="s">
        <v>28</v>
      </c>
      <c r="F603" s="13" t="s">
        <v>29</v>
      </c>
      <c r="G603" s="13" t="s">
        <v>79</v>
      </c>
      <c r="H603" s="13" t="s">
        <v>31</v>
      </c>
      <c r="I603" s="27" t="s">
        <v>2319</v>
      </c>
      <c r="J603" s="27" t="s">
        <v>33</v>
      </c>
      <c r="K603" s="27" t="s">
        <v>106</v>
      </c>
      <c r="L603" s="27" t="s">
        <v>35</v>
      </c>
      <c r="M603" s="27" t="s">
        <v>36</v>
      </c>
      <c r="N603" s="17">
        <f t="shared" si="46"/>
        <v>45078</v>
      </c>
      <c r="O603" s="13" t="s">
        <v>34</v>
      </c>
      <c r="P603" s="13" t="s">
        <v>81</v>
      </c>
      <c r="Q603" s="13" t="s">
        <v>38</v>
      </c>
      <c r="R603" s="13" t="s">
        <v>2320</v>
      </c>
      <c r="S603" s="13" t="s">
        <v>81</v>
      </c>
      <c r="T603" s="28">
        <v>23.27</v>
      </c>
      <c r="U603" s="13" t="s">
        <v>28</v>
      </c>
      <c r="V603" s="13" t="s">
        <v>40</v>
      </c>
      <c r="W603" s="13" t="s">
        <v>79</v>
      </c>
      <c r="X603" s="17">
        <f t="shared" ref="X603:X608" si="48">DATE(2023,7,1)</f>
        <v>45108</v>
      </c>
      <c r="Y603" s="3"/>
    </row>
    <row r="604" spans="1:25" ht="45" customHeight="1">
      <c r="A604" s="3">
        <v>602</v>
      </c>
      <c r="B604" s="13" t="s">
        <v>2321</v>
      </c>
      <c r="C604" s="13" t="s">
        <v>26</v>
      </c>
      <c r="D604" s="13" t="s">
        <v>2322</v>
      </c>
      <c r="E604" s="13" t="s">
        <v>28</v>
      </c>
      <c r="F604" s="13" t="s">
        <v>29</v>
      </c>
      <c r="G604" s="13" t="s">
        <v>79</v>
      </c>
      <c r="H604" s="13" t="s">
        <v>1031</v>
      </c>
      <c r="I604" s="27" t="s">
        <v>2323</v>
      </c>
      <c r="J604" s="27" t="s">
        <v>33</v>
      </c>
      <c r="K604" s="27" t="s">
        <v>34</v>
      </c>
      <c r="L604" s="27" t="s">
        <v>35</v>
      </c>
      <c r="M604" s="27" t="s">
        <v>36</v>
      </c>
      <c r="N604" s="17">
        <f t="shared" si="46"/>
        <v>45078</v>
      </c>
      <c r="O604" s="13" t="s">
        <v>34</v>
      </c>
      <c r="P604" s="13" t="s">
        <v>498</v>
      </c>
      <c r="Q604" s="13" t="s">
        <v>38</v>
      </c>
      <c r="R604" s="13" t="s">
        <v>2324</v>
      </c>
      <c r="S604" s="13" t="s">
        <v>81</v>
      </c>
      <c r="T604" s="28">
        <v>26.7</v>
      </c>
      <c r="U604" s="13" t="s">
        <v>28</v>
      </c>
      <c r="V604" s="13" t="s">
        <v>146</v>
      </c>
      <c r="W604" s="13" t="s">
        <v>79</v>
      </c>
      <c r="X604" s="17">
        <f t="shared" si="48"/>
        <v>45108</v>
      </c>
      <c r="Y604" s="3"/>
    </row>
    <row r="605" spans="1:25" ht="45" customHeight="1">
      <c r="A605" s="3">
        <v>603</v>
      </c>
      <c r="B605" s="13" t="s">
        <v>2325</v>
      </c>
      <c r="C605" s="13" t="s">
        <v>26</v>
      </c>
      <c r="D605" s="13" t="s">
        <v>2326</v>
      </c>
      <c r="E605" s="13" t="s">
        <v>28</v>
      </c>
      <c r="F605" s="13" t="s">
        <v>29</v>
      </c>
      <c r="G605" s="13" t="s">
        <v>79</v>
      </c>
      <c r="H605" s="13" t="s">
        <v>1031</v>
      </c>
      <c r="I605" s="27" t="s">
        <v>2327</v>
      </c>
      <c r="J605" s="27" t="s">
        <v>33</v>
      </c>
      <c r="K605" s="27" t="s">
        <v>34</v>
      </c>
      <c r="L605" s="27" t="s">
        <v>35</v>
      </c>
      <c r="M605" s="27" t="s">
        <v>36</v>
      </c>
      <c r="N605" s="17">
        <f t="shared" si="46"/>
        <v>45078</v>
      </c>
      <c r="O605" s="13" t="s">
        <v>34</v>
      </c>
      <c r="P605" s="13" t="s">
        <v>498</v>
      </c>
      <c r="Q605" s="13" t="s">
        <v>38</v>
      </c>
      <c r="R605" s="13" t="s">
        <v>2328</v>
      </c>
      <c r="S605" s="13" t="s">
        <v>81</v>
      </c>
      <c r="T605" s="28">
        <v>22.3</v>
      </c>
      <c r="U605" s="13" t="s">
        <v>28</v>
      </c>
      <c r="V605" s="13" t="s">
        <v>146</v>
      </c>
      <c r="W605" s="13" t="s">
        <v>79</v>
      </c>
      <c r="X605" s="17">
        <f t="shared" si="48"/>
        <v>45108</v>
      </c>
      <c r="Y605" s="3"/>
    </row>
    <row r="606" spans="1:25" ht="45" customHeight="1">
      <c r="A606" s="3">
        <v>604</v>
      </c>
      <c r="B606" s="13" t="s">
        <v>2329</v>
      </c>
      <c r="C606" s="13" t="s">
        <v>26</v>
      </c>
      <c r="D606" s="13" t="s">
        <v>2330</v>
      </c>
      <c r="E606" s="13" t="s">
        <v>28</v>
      </c>
      <c r="F606" s="13" t="s">
        <v>29</v>
      </c>
      <c r="G606" s="13" t="s">
        <v>79</v>
      </c>
      <c r="H606" s="13" t="s">
        <v>1031</v>
      </c>
      <c r="I606" s="27" t="s">
        <v>2331</v>
      </c>
      <c r="J606" s="27" t="s">
        <v>33</v>
      </c>
      <c r="K606" s="27" t="s">
        <v>34</v>
      </c>
      <c r="L606" s="27" t="s">
        <v>35</v>
      </c>
      <c r="M606" s="27" t="s">
        <v>36</v>
      </c>
      <c r="N606" s="17">
        <f t="shared" si="46"/>
        <v>45078</v>
      </c>
      <c r="O606" s="13" t="s">
        <v>34</v>
      </c>
      <c r="P606" s="13" t="s">
        <v>263</v>
      </c>
      <c r="Q606" s="13" t="s">
        <v>38</v>
      </c>
      <c r="R606" s="13" t="s">
        <v>2332</v>
      </c>
      <c r="S606" s="13" t="s">
        <v>81</v>
      </c>
      <c r="T606" s="28">
        <v>27.24</v>
      </c>
      <c r="U606" s="13" t="s">
        <v>28</v>
      </c>
      <c r="V606" s="13" t="s">
        <v>53</v>
      </c>
      <c r="W606" s="13" t="s">
        <v>79</v>
      </c>
      <c r="X606" s="17">
        <f t="shared" si="48"/>
        <v>45108</v>
      </c>
      <c r="Y606" s="3"/>
    </row>
    <row r="607" spans="1:25" ht="45" customHeight="1">
      <c r="A607" s="3">
        <v>605</v>
      </c>
      <c r="B607" s="13" t="s">
        <v>2333</v>
      </c>
      <c r="C607" s="13" t="s">
        <v>26</v>
      </c>
      <c r="D607" s="13" t="s">
        <v>2334</v>
      </c>
      <c r="E607" s="13" t="s">
        <v>1054</v>
      </c>
      <c r="F607" s="13" t="s">
        <v>29</v>
      </c>
      <c r="G607" s="13" t="s">
        <v>79</v>
      </c>
      <c r="H607" s="13" t="s">
        <v>1031</v>
      </c>
      <c r="I607" s="27" t="s">
        <v>2335</v>
      </c>
      <c r="J607" s="27" t="s">
        <v>33</v>
      </c>
      <c r="K607" s="27" t="s">
        <v>34</v>
      </c>
      <c r="L607" s="27" t="s">
        <v>35</v>
      </c>
      <c r="M607" s="27" t="s">
        <v>36</v>
      </c>
      <c r="N607" s="17">
        <f t="shared" si="46"/>
        <v>45078</v>
      </c>
      <c r="O607" s="13" t="s">
        <v>34</v>
      </c>
      <c r="P607" s="13" t="s">
        <v>498</v>
      </c>
      <c r="Q607" s="13" t="s">
        <v>1054</v>
      </c>
      <c r="R607" s="13" t="s">
        <v>2336</v>
      </c>
      <c r="S607" s="13" t="s">
        <v>81</v>
      </c>
      <c r="T607" s="28">
        <v>31.48</v>
      </c>
      <c r="U607" s="13" t="s">
        <v>1054</v>
      </c>
      <c r="V607" s="13" t="s">
        <v>146</v>
      </c>
      <c r="W607" s="13" t="s">
        <v>79</v>
      </c>
      <c r="X607" s="17">
        <f t="shared" si="48"/>
        <v>45108</v>
      </c>
      <c r="Y607" s="3"/>
    </row>
    <row r="608" spans="1:25" ht="45" customHeight="1">
      <c r="A608" s="3">
        <v>606</v>
      </c>
      <c r="B608" s="13" t="s">
        <v>2337</v>
      </c>
      <c r="C608" s="13" t="s">
        <v>26</v>
      </c>
      <c r="D608" s="13" t="s">
        <v>2338</v>
      </c>
      <c r="E608" s="13" t="s">
        <v>28</v>
      </c>
      <c r="F608" s="13" t="s">
        <v>417</v>
      </c>
      <c r="G608" s="13" t="s">
        <v>674</v>
      </c>
      <c r="H608" s="13" t="s">
        <v>419</v>
      </c>
      <c r="I608" s="27" t="s">
        <v>2339</v>
      </c>
      <c r="J608" s="27" t="s">
        <v>33</v>
      </c>
      <c r="K608" s="27" t="s">
        <v>34</v>
      </c>
      <c r="L608" s="27" t="s">
        <v>2340</v>
      </c>
      <c r="M608" s="27" t="s">
        <v>1681</v>
      </c>
      <c r="N608" s="17">
        <f t="shared" si="46"/>
        <v>45078</v>
      </c>
      <c r="O608" s="13" t="s">
        <v>34</v>
      </c>
      <c r="P608" s="13" t="s">
        <v>676</v>
      </c>
      <c r="Q608" s="13" t="s">
        <v>38</v>
      </c>
      <c r="R608" s="13" t="s">
        <v>2341</v>
      </c>
      <c r="S608" s="13" t="s">
        <v>423</v>
      </c>
      <c r="T608" s="28">
        <v>32.200000000000003</v>
      </c>
      <c r="U608" s="13" t="s">
        <v>28</v>
      </c>
      <c r="V608" s="13" t="s">
        <v>146</v>
      </c>
      <c r="W608" s="13" t="s">
        <v>678</v>
      </c>
      <c r="X608" s="17">
        <f t="shared" si="48"/>
        <v>45108</v>
      </c>
      <c r="Y608" s="3"/>
    </row>
    <row r="609" spans="1:25" ht="45" customHeight="1">
      <c r="A609" s="3">
        <v>607</v>
      </c>
      <c r="B609" s="13" t="s">
        <v>2342</v>
      </c>
      <c r="C609" s="13" t="s">
        <v>26</v>
      </c>
      <c r="D609" s="13" t="s">
        <v>2343</v>
      </c>
      <c r="E609" s="13" t="s">
        <v>28</v>
      </c>
      <c r="F609" s="13" t="s">
        <v>417</v>
      </c>
      <c r="G609" s="13" t="s">
        <v>756</v>
      </c>
      <c r="H609" s="13" t="s">
        <v>419</v>
      </c>
      <c r="I609" s="27" t="s">
        <v>2344</v>
      </c>
      <c r="J609" s="27" t="s">
        <v>33</v>
      </c>
      <c r="K609" s="27" t="s">
        <v>34</v>
      </c>
      <c r="L609" s="27" t="s">
        <v>35</v>
      </c>
      <c r="M609" s="27" t="s">
        <v>36</v>
      </c>
      <c r="N609" s="17">
        <f t="shared" si="46"/>
        <v>45078</v>
      </c>
      <c r="O609" s="13" t="s">
        <v>34</v>
      </c>
      <c r="P609" s="13" t="s">
        <v>693</v>
      </c>
      <c r="Q609" s="13" t="s">
        <v>38</v>
      </c>
      <c r="R609" s="13" t="s">
        <v>2345</v>
      </c>
      <c r="S609" s="13" t="s">
        <v>423</v>
      </c>
      <c r="T609" s="28">
        <v>26.21</v>
      </c>
      <c r="U609" s="13" t="s">
        <v>28</v>
      </c>
      <c r="V609" s="13" t="s">
        <v>53</v>
      </c>
      <c r="W609" s="13" t="s">
        <v>759</v>
      </c>
      <c r="X609" s="17">
        <f>DATE(2023,9,27)</f>
        <v>45196</v>
      </c>
      <c r="Y609" s="3"/>
    </row>
    <row r="610" spans="1:25" ht="45" customHeight="1">
      <c r="A610" s="3">
        <v>608</v>
      </c>
      <c r="B610" s="13" t="s">
        <v>2346</v>
      </c>
      <c r="C610" s="13" t="s">
        <v>26</v>
      </c>
      <c r="D610" s="13" t="s">
        <v>2347</v>
      </c>
      <c r="E610" s="13" t="s">
        <v>762</v>
      </c>
      <c r="F610" s="13" t="s">
        <v>446</v>
      </c>
      <c r="G610" s="13" t="s">
        <v>860</v>
      </c>
      <c r="H610" s="13" t="s">
        <v>406</v>
      </c>
      <c r="I610" s="27" t="s">
        <v>2348</v>
      </c>
      <c r="J610" s="27" t="s">
        <v>33</v>
      </c>
      <c r="K610" s="27" t="s">
        <v>34</v>
      </c>
      <c r="L610" s="27" t="s">
        <v>208</v>
      </c>
      <c r="M610" s="27" t="s">
        <v>209</v>
      </c>
      <c r="N610" s="17">
        <f>DATE(2023,6,12)</f>
        <v>45089</v>
      </c>
      <c r="O610" s="13" t="s">
        <v>107</v>
      </c>
      <c r="P610" s="13" t="s">
        <v>966</v>
      </c>
      <c r="Q610" s="13" t="s">
        <v>670</v>
      </c>
      <c r="R610" s="13" t="s">
        <v>2349</v>
      </c>
      <c r="S610" s="13" t="s">
        <v>449</v>
      </c>
      <c r="T610" s="28">
        <v>24.55</v>
      </c>
      <c r="U610" s="13" t="s">
        <v>765</v>
      </c>
      <c r="V610" s="13" t="s">
        <v>53</v>
      </c>
      <c r="W610" s="13" t="s">
        <v>860</v>
      </c>
      <c r="X610" s="17">
        <f>DATE(2023,9,12)</f>
        <v>45181</v>
      </c>
      <c r="Y610" s="3"/>
    </row>
    <row r="611" spans="1:25" ht="45" customHeight="1">
      <c r="A611" s="3">
        <v>609</v>
      </c>
      <c r="B611" s="13" t="s">
        <v>2350</v>
      </c>
      <c r="C611" s="13" t="s">
        <v>26</v>
      </c>
      <c r="D611" s="13" t="s">
        <v>2351</v>
      </c>
      <c r="E611" s="13" t="s">
        <v>1755</v>
      </c>
      <c r="F611" s="13" t="s">
        <v>1756</v>
      </c>
      <c r="G611" s="13" t="s">
        <v>1757</v>
      </c>
      <c r="H611" s="13" t="s">
        <v>1757</v>
      </c>
      <c r="I611" s="27" t="s">
        <v>2352</v>
      </c>
      <c r="J611" s="27" t="s">
        <v>33</v>
      </c>
      <c r="K611" s="27" t="s">
        <v>34</v>
      </c>
      <c r="L611" s="27" t="s">
        <v>35</v>
      </c>
      <c r="M611" s="27" t="s">
        <v>36</v>
      </c>
      <c r="N611" s="17">
        <f>DATE(2023,6,12)</f>
        <v>45089</v>
      </c>
      <c r="O611" s="13" t="s">
        <v>107</v>
      </c>
      <c r="P611" s="13" t="s">
        <v>1759</v>
      </c>
      <c r="Q611" s="13" t="s">
        <v>465</v>
      </c>
      <c r="R611" s="13" t="s">
        <v>2353</v>
      </c>
      <c r="S611" s="13" t="s">
        <v>1759</v>
      </c>
      <c r="T611" s="28">
        <v>25.64</v>
      </c>
      <c r="U611" s="13" t="s">
        <v>694</v>
      </c>
      <c r="V611" s="13" t="s">
        <v>413</v>
      </c>
      <c r="W611" s="13" t="s">
        <v>1757</v>
      </c>
      <c r="X611" s="17">
        <f>DATE(2023,9,8)</f>
        <v>45177</v>
      </c>
      <c r="Y611" s="3"/>
    </row>
    <row r="612" spans="1:25" ht="45" customHeight="1">
      <c r="A612" s="3">
        <v>610</v>
      </c>
      <c r="B612" s="13" t="s">
        <v>2354</v>
      </c>
      <c r="C612" s="13" t="s">
        <v>26</v>
      </c>
      <c r="D612" s="13" t="s">
        <v>182</v>
      </c>
      <c r="E612" s="13" t="s">
        <v>499</v>
      </c>
      <c r="F612" s="13" t="s">
        <v>29</v>
      </c>
      <c r="G612" s="13" t="s">
        <v>680</v>
      </c>
      <c r="H612" s="13" t="s">
        <v>406</v>
      </c>
      <c r="I612" s="27" t="s">
        <v>2355</v>
      </c>
      <c r="J612" s="27" t="s">
        <v>33</v>
      </c>
      <c r="K612" s="27" t="s">
        <v>34</v>
      </c>
      <c r="L612" s="27" t="s">
        <v>35</v>
      </c>
      <c r="M612" s="27" t="s">
        <v>36</v>
      </c>
      <c r="N612" s="17">
        <f>DATE(2023,6,12)</f>
        <v>45089</v>
      </c>
      <c r="O612" s="13" t="s">
        <v>107</v>
      </c>
      <c r="P612" s="13" t="s">
        <v>52</v>
      </c>
      <c r="Q612" s="13" t="s">
        <v>501</v>
      </c>
      <c r="R612" s="13" t="s">
        <v>2356</v>
      </c>
      <c r="S612" s="13" t="s">
        <v>503</v>
      </c>
      <c r="T612" s="28">
        <v>33.159999999999997</v>
      </c>
      <c r="U612" s="13" t="s">
        <v>499</v>
      </c>
      <c r="V612" s="13" t="s">
        <v>89</v>
      </c>
      <c r="W612" s="13" t="s">
        <v>683</v>
      </c>
      <c r="X612" s="17">
        <f>DATE(2023,9,12)</f>
        <v>45181</v>
      </c>
      <c r="Y612" s="3"/>
    </row>
    <row r="613" spans="1:25" ht="45" customHeight="1">
      <c r="A613" s="3">
        <v>611</v>
      </c>
      <c r="B613" s="13" t="s">
        <v>2357</v>
      </c>
      <c r="C613" s="13" t="s">
        <v>103</v>
      </c>
      <c r="D613" s="13" t="s">
        <v>2358</v>
      </c>
      <c r="E613" s="13" t="s">
        <v>427</v>
      </c>
      <c r="F613" s="13" t="s">
        <v>491</v>
      </c>
      <c r="G613" s="13" t="s">
        <v>492</v>
      </c>
      <c r="H613" s="13" t="s">
        <v>406</v>
      </c>
      <c r="I613" s="27" t="s">
        <v>2359</v>
      </c>
      <c r="J613" s="27" t="s">
        <v>33</v>
      </c>
      <c r="K613" s="27" t="s">
        <v>106</v>
      </c>
      <c r="L613" s="27" t="s">
        <v>35</v>
      </c>
      <c r="M613" s="27" t="s">
        <v>36</v>
      </c>
      <c r="N613" s="17">
        <f>DATE(2023,6,19)</f>
        <v>45096</v>
      </c>
      <c r="O613" s="13" t="s">
        <v>107</v>
      </c>
      <c r="P613" s="13" t="s">
        <v>494</v>
      </c>
      <c r="Q613" s="13" t="s">
        <v>431</v>
      </c>
      <c r="R613" s="13" t="s">
        <v>2360</v>
      </c>
      <c r="S613" s="13" t="s">
        <v>496</v>
      </c>
      <c r="T613" s="28">
        <v>36.340000000000003</v>
      </c>
      <c r="U613" s="13" t="s">
        <v>427</v>
      </c>
      <c r="V613" s="13" t="s">
        <v>413</v>
      </c>
      <c r="W613" s="13" t="s">
        <v>492</v>
      </c>
      <c r="X613" s="17">
        <f>DATE(2023,9,4)</f>
        <v>45173</v>
      </c>
      <c r="Y613" s="3"/>
    </row>
    <row r="614" spans="1:25" ht="45" customHeight="1">
      <c r="A614" s="3">
        <v>612</v>
      </c>
      <c r="B614" s="13" t="s">
        <v>2361</v>
      </c>
      <c r="C614" s="13" t="s">
        <v>103</v>
      </c>
      <c r="D614" s="13" t="s">
        <v>2362</v>
      </c>
      <c r="E614" s="13" t="s">
        <v>660</v>
      </c>
      <c r="F614" s="13" t="s">
        <v>428</v>
      </c>
      <c r="G614" s="13" t="s">
        <v>646</v>
      </c>
      <c r="H614" s="13" t="s">
        <v>406</v>
      </c>
      <c r="I614" s="27" t="s">
        <v>2363</v>
      </c>
      <c r="J614" s="27" t="s">
        <v>33</v>
      </c>
      <c r="K614" s="27" t="s">
        <v>106</v>
      </c>
      <c r="L614" s="27" t="s">
        <v>35</v>
      </c>
      <c r="M614" s="27" t="s">
        <v>36</v>
      </c>
      <c r="N614" s="17">
        <f>DATE(2023,6,19)</f>
        <v>45096</v>
      </c>
      <c r="O614" s="13" t="s">
        <v>107</v>
      </c>
      <c r="P614" s="13" t="s">
        <v>430</v>
      </c>
      <c r="Q614" s="13" t="s">
        <v>431</v>
      </c>
      <c r="R614" s="13" t="s">
        <v>2364</v>
      </c>
      <c r="S614" s="13" t="s">
        <v>433</v>
      </c>
      <c r="T614" s="28">
        <v>30.45</v>
      </c>
      <c r="U614" s="13" t="s">
        <v>445</v>
      </c>
      <c r="V614" s="13" t="s">
        <v>413</v>
      </c>
      <c r="W614" s="13" t="s">
        <v>649</v>
      </c>
      <c r="X614" s="17">
        <f>DATE(2023,9,19)</f>
        <v>45188</v>
      </c>
      <c r="Y614" s="3"/>
    </row>
    <row r="615" spans="1:25" ht="45" customHeight="1">
      <c r="A615" s="3">
        <v>613</v>
      </c>
      <c r="B615" s="13" t="s">
        <v>2365</v>
      </c>
      <c r="C615" s="13" t="s">
        <v>26</v>
      </c>
      <c r="D615" s="13" t="s">
        <v>2366</v>
      </c>
      <c r="E615" s="13" t="s">
        <v>445</v>
      </c>
      <c r="F615" s="13" t="s">
        <v>446</v>
      </c>
      <c r="G615" s="13" t="s">
        <v>836</v>
      </c>
      <c r="H615" s="13" t="s">
        <v>406</v>
      </c>
      <c r="I615" s="27" t="s">
        <v>2367</v>
      </c>
      <c r="J615" s="27" t="s">
        <v>33</v>
      </c>
      <c r="K615" s="27" t="s">
        <v>34</v>
      </c>
      <c r="L615" s="27" t="s">
        <v>35</v>
      </c>
      <c r="M615" s="27" t="s">
        <v>36</v>
      </c>
      <c r="N615" s="17">
        <f>DATE(2023,6,19)</f>
        <v>45096</v>
      </c>
      <c r="O615" s="13" t="s">
        <v>107</v>
      </c>
      <c r="P615" s="13" t="s">
        <v>449</v>
      </c>
      <c r="Q615" s="13" t="s">
        <v>431</v>
      </c>
      <c r="R615" s="13" t="s">
        <v>2368</v>
      </c>
      <c r="S615" s="13" t="s">
        <v>403</v>
      </c>
      <c r="T615" s="28">
        <v>26.35</v>
      </c>
      <c r="U615" s="13" t="s">
        <v>445</v>
      </c>
      <c r="V615" s="13" t="s">
        <v>413</v>
      </c>
      <c r="W615" s="13" t="s">
        <v>836</v>
      </c>
      <c r="X615" s="17">
        <f>DATE(2023,9,12)</f>
        <v>45181</v>
      </c>
      <c r="Y615" s="3"/>
    </row>
    <row r="616" spans="1:25" ht="45" customHeight="1">
      <c r="A616" s="3">
        <v>614</v>
      </c>
      <c r="B616" s="13" t="s">
        <v>2369</v>
      </c>
      <c r="C616" s="13" t="s">
        <v>103</v>
      </c>
      <c r="D616" s="13" t="s">
        <v>2370</v>
      </c>
      <c r="E616" s="13" t="s">
        <v>1064</v>
      </c>
      <c r="F616" s="13" t="s">
        <v>29</v>
      </c>
      <c r="G616" s="13" t="s">
        <v>680</v>
      </c>
      <c r="H616" s="13" t="s">
        <v>1031</v>
      </c>
      <c r="I616" s="27" t="s">
        <v>365</v>
      </c>
      <c r="J616" s="27" t="s">
        <v>1898</v>
      </c>
      <c r="K616" s="27" t="s">
        <v>106</v>
      </c>
      <c r="L616" s="27" t="s">
        <v>2057</v>
      </c>
      <c r="M616" s="27" t="s">
        <v>1775</v>
      </c>
      <c r="N616" s="17">
        <f t="shared" ref="N616:N645" si="49">DATE(2023,6,23)</f>
        <v>45100</v>
      </c>
      <c r="O616" s="13" t="s">
        <v>1776</v>
      </c>
      <c r="P616" s="13" t="s">
        <v>50</v>
      </c>
      <c r="Q616" s="13" t="s">
        <v>38</v>
      </c>
      <c r="R616" s="13" t="s">
        <v>365</v>
      </c>
      <c r="S616" s="13" t="s">
        <v>52</v>
      </c>
      <c r="T616" s="28">
        <v>26.05</v>
      </c>
      <c r="U616" s="13" t="s">
        <v>365</v>
      </c>
      <c r="V616" s="13" t="s">
        <v>53</v>
      </c>
      <c r="W616" s="13" t="s">
        <v>683</v>
      </c>
      <c r="X616" s="17">
        <f>DATE(2023,9,23)</f>
        <v>45192</v>
      </c>
      <c r="Y616" s="3"/>
    </row>
    <row r="617" spans="1:25" ht="45" customHeight="1">
      <c r="A617" s="3">
        <v>615</v>
      </c>
      <c r="B617" s="13" t="s">
        <v>2371</v>
      </c>
      <c r="C617" s="13" t="s">
        <v>103</v>
      </c>
      <c r="D617" s="13" t="s">
        <v>2372</v>
      </c>
      <c r="E617" s="13" t="s">
        <v>1064</v>
      </c>
      <c r="F617" s="13" t="s">
        <v>29</v>
      </c>
      <c r="G617" s="13" t="s">
        <v>680</v>
      </c>
      <c r="H617" s="13" t="s">
        <v>1031</v>
      </c>
      <c r="I617" s="27" t="s">
        <v>365</v>
      </c>
      <c r="J617" s="27" t="s">
        <v>1898</v>
      </c>
      <c r="K617" s="27" t="s">
        <v>106</v>
      </c>
      <c r="L617" s="27" t="s">
        <v>2057</v>
      </c>
      <c r="M617" s="27" t="s">
        <v>1775</v>
      </c>
      <c r="N617" s="17">
        <f t="shared" si="49"/>
        <v>45100</v>
      </c>
      <c r="O617" s="13" t="s">
        <v>1776</v>
      </c>
      <c r="P617" s="13" t="s">
        <v>182</v>
      </c>
      <c r="Q617" s="13" t="s">
        <v>38</v>
      </c>
      <c r="R617" s="13" t="s">
        <v>365</v>
      </c>
      <c r="S617" s="13" t="s">
        <v>52</v>
      </c>
      <c r="T617" s="28">
        <v>30.01</v>
      </c>
      <c r="U617" s="13" t="s">
        <v>365</v>
      </c>
      <c r="V617" s="13" t="s">
        <v>89</v>
      </c>
      <c r="W617" s="13" t="s">
        <v>683</v>
      </c>
      <c r="X617" s="17">
        <f>DATE(2023,9,23)</f>
        <v>45192</v>
      </c>
      <c r="Y617" s="3"/>
    </row>
    <row r="618" spans="1:25" ht="45" customHeight="1">
      <c r="A618" s="3">
        <v>616</v>
      </c>
      <c r="B618" s="13" t="s">
        <v>2373</v>
      </c>
      <c r="C618" s="13" t="s">
        <v>103</v>
      </c>
      <c r="D618" s="13" t="s">
        <v>2374</v>
      </c>
      <c r="E618" s="13" t="s">
        <v>1064</v>
      </c>
      <c r="F618" s="13" t="s">
        <v>29</v>
      </c>
      <c r="G618" s="13" t="s">
        <v>680</v>
      </c>
      <c r="H618" s="13" t="s">
        <v>1031</v>
      </c>
      <c r="I618" s="27" t="s">
        <v>365</v>
      </c>
      <c r="J618" s="27" t="s">
        <v>1898</v>
      </c>
      <c r="K618" s="27" t="s">
        <v>106</v>
      </c>
      <c r="L618" s="27" t="s">
        <v>2057</v>
      </c>
      <c r="M618" s="27" t="s">
        <v>1775</v>
      </c>
      <c r="N618" s="17">
        <f t="shared" si="49"/>
        <v>45100</v>
      </c>
      <c r="O618" s="13" t="s">
        <v>1776</v>
      </c>
      <c r="P618" s="13" t="s">
        <v>52</v>
      </c>
      <c r="Q618" s="13" t="s">
        <v>38</v>
      </c>
      <c r="R618" s="13" t="s">
        <v>365</v>
      </c>
      <c r="S618" s="13" t="s">
        <v>52</v>
      </c>
      <c r="T618" s="28">
        <v>25.8</v>
      </c>
      <c r="U618" s="13" t="s">
        <v>365</v>
      </c>
      <c r="V618" s="13" t="s">
        <v>146</v>
      </c>
      <c r="W618" s="13" t="s">
        <v>683</v>
      </c>
      <c r="X618" s="17">
        <f>DATE(2023,9,23)</f>
        <v>45192</v>
      </c>
      <c r="Y618" s="3"/>
    </row>
    <row r="619" spans="1:25" ht="45" customHeight="1">
      <c r="A619" s="3">
        <v>617</v>
      </c>
      <c r="B619" s="13" t="s">
        <v>2375</v>
      </c>
      <c r="C619" s="13" t="s">
        <v>103</v>
      </c>
      <c r="D619" s="13" t="s">
        <v>2376</v>
      </c>
      <c r="E619" s="13" t="s">
        <v>1064</v>
      </c>
      <c r="F619" s="13" t="s">
        <v>29</v>
      </c>
      <c r="G619" s="13" t="s">
        <v>680</v>
      </c>
      <c r="H619" s="13" t="s">
        <v>1031</v>
      </c>
      <c r="I619" s="27" t="s">
        <v>365</v>
      </c>
      <c r="J619" s="27" t="s">
        <v>1898</v>
      </c>
      <c r="K619" s="27" t="s">
        <v>106</v>
      </c>
      <c r="L619" s="27" t="s">
        <v>2057</v>
      </c>
      <c r="M619" s="27" t="s">
        <v>1775</v>
      </c>
      <c r="N619" s="17">
        <f t="shared" si="49"/>
        <v>45100</v>
      </c>
      <c r="O619" s="13" t="s">
        <v>1776</v>
      </c>
      <c r="P619" s="13" t="s">
        <v>50</v>
      </c>
      <c r="Q619" s="13" t="s">
        <v>38</v>
      </c>
      <c r="R619" s="13" t="s">
        <v>365</v>
      </c>
      <c r="S619" s="13" t="s">
        <v>52</v>
      </c>
      <c r="T619" s="28">
        <v>27.03</v>
      </c>
      <c r="U619" s="13" t="s">
        <v>365</v>
      </c>
      <c r="V619" s="13" t="s">
        <v>53</v>
      </c>
      <c r="W619" s="13" t="s">
        <v>683</v>
      </c>
      <c r="X619" s="17">
        <f>DATE(2023,9,23)</f>
        <v>45192</v>
      </c>
      <c r="Y619" s="3"/>
    </row>
    <row r="620" spans="1:25" ht="45" customHeight="1">
      <c r="A620" s="3">
        <v>618</v>
      </c>
      <c r="B620" s="13" t="s">
        <v>2377</v>
      </c>
      <c r="C620" s="13" t="s">
        <v>103</v>
      </c>
      <c r="D620" s="13" t="s">
        <v>2378</v>
      </c>
      <c r="E620" s="13" t="s">
        <v>1064</v>
      </c>
      <c r="F620" s="13" t="s">
        <v>29</v>
      </c>
      <c r="G620" s="13" t="s">
        <v>85</v>
      </c>
      <c r="H620" s="13" t="s">
        <v>1031</v>
      </c>
      <c r="I620" s="27" t="s">
        <v>365</v>
      </c>
      <c r="J620" s="27" t="s">
        <v>1898</v>
      </c>
      <c r="K620" s="27" t="s">
        <v>106</v>
      </c>
      <c r="L620" s="27" t="s">
        <v>2057</v>
      </c>
      <c r="M620" s="27" t="s">
        <v>1775</v>
      </c>
      <c r="N620" s="17">
        <f t="shared" si="49"/>
        <v>45100</v>
      </c>
      <c r="O620" s="13" t="s">
        <v>1776</v>
      </c>
      <c r="P620" s="13" t="s">
        <v>230</v>
      </c>
      <c r="Q620" s="13" t="s">
        <v>38</v>
      </c>
      <c r="R620" s="13" t="s">
        <v>365</v>
      </c>
      <c r="S620" s="13" t="s">
        <v>87</v>
      </c>
      <c r="T620" s="28">
        <v>25.8</v>
      </c>
      <c r="U620" s="13" t="s">
        <v>365</v>
      </c>
      <c r="V620" s="13" t="s">
        <v>146</v>
      </c>
      <c r="W620" s="13" t="s">
        <v>85</v>
      </c>
      <c r="X620" s="17">
        <f>DATE(2023,9,15)</f>
        <v>45184</v>
      </c>
      <c r="Y620" s="3"/>
    </row>
    <row r="621" spans="1:25" ht="45" customHeight="1">
      <c r="A621" s="3">
        <v>619</v>
      </c>
      <c r="B621" s="13" t="s">
        <v>2379</v>
      </c>
      <c r="C621" s="13" t="s">
        <v>103</v>
      </c>
      <c r="D621" s="13" t="s">
        <v>2380</v>
      </c>
      <c r="E621" s="13" t="s">
        <v>1064</v>
      </c>
      <c r="F621" s="13" t="s">
        <v>29</v>
      </c>
      <c r="G621" s="13" t="s">
        <v>1216</v>
      </c>
      <c r="H621" s="13" t="s">
        <v>1031</v>
      </c>
      <c r="I621" s="27" t="s">
        <v>365</v>
      </c>
      <c r="J621" s="27" t="s">
        <v>1898</v>
      </c>
      <c r="K621" s="27" t="s">
        <v>106</v>
      </c>
      <c r="L621" s="27" t="s">
        <v>2057</v>
      </c>
      <c r="M621" s="27" t="s">
        <v>1775</v>
      </c>
      <c r="N621" s="17">
        <f t="shared" si="49"/>
        <v>45100</v>
      </c>
      <c r="O621" s="13" t="s">
        <v>1776</v>
      </c>
      <c r="P621" s="13" t="s">
        <v>1221</v>
      </c>
      <c r="Q621" s="13" t="s">
        <v>38</v>
      </c>
      <c r="R621" s="13" t="s">
        <v>365</v>
      </c>
      <c r="S621" s="13" t="s">
        <v>1215</v>
      </c>
      <c r="T621" s="28">
        <v>26.43</v>
      </c>
      <c r="U621" s="13" t="s">
        <v>365</v>
      </c>
      <c r="V621" s="13" t="s">
        <v>53</v>
      </c>
      <c r="W621" s="13" t="s">
        <v>1219</v>
      </c>
      <c r="X621" s="17">
        <f>DATE(2023,9,23)</f>
        <v>45192</v>
      </c>
      <c r="Y621" s="3"/>
    </row>
    <row r="622" spans="1:25" ht="45" customHeight="1">
      <c r="A622" s="3">
        <v>620</v>
      </c>
      <c r="B622" s="13" t="s">
        <v>2381</v>
      </c>
      <c r="C622" s="13" t="s">
        <v>103</v>
      </c>
      <c r="D622" s="13" t="s">
        <v>2382</v>
      </c>
      <c r="E622" s="13" t="s">
        <v>1064</v>
      </c>
      <c r="F622" s="13" t="s">
        <v>29</v>
      </c>
      <c r="G622" s="13" t="s">
        <v>1216</v>
      </c>
      <c r="H622" s="13" t="s">
        <v>1031</v>
      </c>
      <c r="I622" s="27" t="s">
        <v>365</v>
      </c>
      <c r="J622" s="27" t="s">
        <v>1898</v>
      </c>
      <c r="K622" s="27" t="s">
        <v>106</v>
      </c>
      <c r="L622" s="27" t="s">
        <v>2057</v>
      </c>
      <c r="M622" s="27" t="s">
        <v>1775</v>
      </c>
      <c r="N622" s="17">
        <f t="shared" si="49"/>
        <v>45100</v>
      </c>
      <c r="O622" s="13" t="s">
        <v>1776</v>
      </c>
      <c r="P622" s="13" t="s">
        <v>1231</v>
      </c>
      <c r="Q622" s="13" t="s">
        <v>38</v>
      </c>
      <c r="R622" s="13" t="s">
        <v>365</v>
      </c>
      <c r="S622" s="13" t="s">
        <v>1215</v>
      </c>
      <c r="T622" s="28">
        <v>30.86</v>
      </c>
      <c r="U622" s="13" t="s">
        <v>365</v>
      </c>
      <c r="V622" s="13" t="s">
        <v>89</v>
      </c>
      <c r="W622" s="13" t="s">
        <v>1219</v>
      </c>
      <c r="X622" s="17">
        <f>DATE(2023,9,23)</f>
        <v>45192</v>
      </c>
      <c r="Y622" s="3"/>
    </row>
    <row r="623" spans="1:25" ht="45" customHeight="1">
      <c r="A623" s="3">
        <v>621</v>
      </c>
      <c r="B623" s="13" t="s">
        <v>2383</v>
      </c>
      <c r="C623" s="13" t="s">
        <v>103</v>
      </c>
      <c r="D623" s="13" t="s">
        <v>2384</v>
      </c>
      <c r="E623" s="13" t="s">
        <v>1064</v>
      </c>
      <c r="F623" s="13" t="s">
        <v>29</v>
      </c>
      <c r="G623" s="13" t="s">
        <v>85</v>
      </c>
      <c r="H623" s="13" t="s">
        <v>1031</v>
      </c>
      <c r="I623" s="27" t="s">
        <v>365</v>
      </c>
      <c r="J623" s="27" t="s">
        <v>1898</v>
      </c>
      <c r="K623" s="27" t="s">
        <v>106</v>
      </c>
      <c r="L623" s="27" t="s">
        <v>2057</v>
      </c>
      <c r="M623" s="27" t="s">
        <v>1775</v>
      </c>
      <c r="N623" s="17">
        <f t="shared" si="49"/>
        <v>45100</v>
      </c>
      <c r="O623" s="13" t="s">
        <v>1776</v>
      </c>
      <c r="P623" s="13" t="s">
        <v>1060</v>
      </c>
      <c r="Q623" s="13" t="s">
        <v>38</v>
      </c>
      <c r="R623" s="13" t="s">
        <v>365</v>
      </c>
      <c r="S623" s="13" t="s">
        <v>87</v>
      </c>
      <c r="T623" s="28">
        <v>27.14</v>
      </c>
      <c r="U623" s="13" t="s">
        <v>365</v>
      </c>
      <c r="V623" s="13" t="s">
        <v>53</v>
      </c>
      <c r="W623" s="13" t="s">
        <v>85</v>
      </c>
      <c r="X623" s="17">
        <f>DATE(2023,9,15)</f>
        <v>45184</v>
      </c>
      <c r="Y623" s="3"/>
    </row>
    <row r="624" spans="1:25" ht="45" customHeight="1">
      <c r="A624" s="3">
        <v>622</v>
      </c>
      <c r="B624" s="13" t="s">
        <v>2385</v>
      </c>
      <c r="C624" s="13" t="s">
        <v>103</v>
      </c>
      <c r="D624" s="13" t="s">
        <v>2386</v>
      </c>
      <c r="E624" s="13" t="s">
        <v>1064</v>
      </c>
      <c r="F624" s="13" t="s">
        <v>29</v>
      </c>
      <c r="G624" s="13" t="s">
        <v>1216</v>
      </c>
      <c r="H624" s="13" t="s">
        <v>1031</v>
      </c>
      <c r="I624" s="27" t="s">
        <v>365</v>
      </c>
      <c r="J624" s="27" t="s">
        <v>1898</v>
      </c>
      <c r="K624" s="27" t="s">
        <v>106</v>
      </c>
      <c r="L624" s="27" t="s">
        <v>2057</v>
      </c>
      <c r="M624" s="27" t="s">
        <v>1775</v>
      </c>
      <c r="N624" s="17">
        <f t="shared" si="49"/>
        <v>45100</v>
      </c>
      <c r="O624" s="13" t="s">
        <v>1776</v>
      </c>
      <c r="P624" s="13" t="s">
        <v>1221</v>
      </c>
      <c r="Q624" s="13" t="s">
        <v>38</v>
      </c>
      <c r="R624" s="13" t="s">
        <v>365</v>
      </c>
      <c r="S624" s="13" t="s">
        <v>1215</v>
      </c>
      <c r="T624" s="28">
        <v>26</v>
      </c>
      <c r="U624" s="13" t="s">
        <v>365</v>
      </c>
      <c r="V624" s="13" t="s">
        <v>53</v>
      </c>
      <c r="W624" s="13" t="s">
        <v>1219</v>
      </c>
      <c r="X624" s="17">
        <f t="shared" ref="X624:X629" si="50">DATE(2023,9,23)</f>
        <v>45192</v>
      </c>
      <c r="Y624" s="3"/>
    </row>
    <row r="625" spans="1:25" ht="45" customHeight="1">
      <c r="A625" s="3">
        <v>623</v>
      </c>
      <c r="B625" s="13" t="s">
        <v>2387</v>
      </c>
      <c r="C625" s="13" t="s">
        <v>103</v>
      </c>
      <c r="D625" s="13" t="s">
        <v>2388</v>
      </c>
      <c r="E625" s="13" t="s">
        <v>1064</v>
      </c>
      <c r="F625" s="13" t="s">
        <v>29</v>
      </c>
      <c r="G625" s="13" t="s">
        <v>680</v>
      </c>
      <c r="H625" s="13" t="s">
        <v>1031</v>
      </c>
      <c r="I625" s="27" t="s">
        <v>365</v>
      </c>
      <c r="J625" s="27" t="s">
        <v>1898</v>
      </c>
      <c r="K625" s="27" t="s">
        <v>106</v>
      </c>
      <c r="L625" s="27" t="s">
        <v>2057</v>
      </c>
      <c r="M625" s="27" t="s">
        <v>1775</v>
      </c>
      <c r="N625" s="17">
        <f t="shared" si="49"/>
        <v>45100</v>
      </c>
      <c r="O625" s="13" t="s">
        <v>1776</v>
      </c>
      <c r="P625" s="13" t="s">
        <v>52</v>
      </c>
      <c r="Q625" s="13" t="s">
        <v>38</v>
      </c>
      <c r="R625" s="13" t="s">
        <v>365</v>
      </c>
      <c r="S625" s="13" t="s">
        <v>52</v>
      </c>
      <c r="T625" s="28">
        <v>26.69</v>
      </c>
      <c r="U625" s="13" t="s">
        <v>365</v>
      </c>
      <c r="V625" s="13" t="s">
        <v>146</v>
      </c>
      <c r="W625" s="13" t="s">
        <v>683</v>
      </c>
      <c r="X625" s="17">
        <f t="shared" si="50"/>
        <v>45192</v>
      </c>
      <c r="Y625" s="3"/>
    </row>
    <row r="626" spans="1:25" ht="45" customHeight="1">
      <c r="A626" s="3">
        <v>624</v>
      </c>
      <c r="B626" s="13" t="s">
        <v>2389</v>
      </c>
      <c r="C626" s="13" t="s">
        <v>103</v>
      </c>
      <c r="D626" s="13" t="s">
        <v>2390</v>
      </c>
      <c r="E626" s="13" t="s">
        <v>1064</v>
      </c>
      <c r="F626" s="13" t="s">
        <v>29</v>
      </c>
      <c r="G626" s="13" t="s">
        <v>56</v>
      </c>
      <c r="H626" s="13" t="s">
        <v>1031</v>
      </c>
      <c r="I626" s="27" t="s">
        <v>365</v>
      </c>
      <c r="J626" s="27" t="s">
        <v>1898</v>
      </c>
      <c r="K626" s="27" t="s">
        <v>106</v>
      </c>
      <c r="L626" s="27" t="s">
        <v>2057</v>
      </c>
      <c r="M626" s="27" t="s">
        <v>1775</v>
      </c>
      <c r="N626" s="17">
        <f t="shared" si="49"/>
        <v>45100</v>
      </c>
      <c r="O626" s="13" t="s">
        <v>1776</v>
      </c>
      <c r="P626" s="13" t="s">
        <v>58</v>
      </c>
      <c r="Q626" s="13" t="s">
        <v>38</v>
      </c>
      <c r="R626" s="13" t="s">
        <v>365</v>
      </c>
      <c r="S626" s="13" t="s">
        <v>58</v>
      </c>
      <c r="T626" s="28">
        <v>26.05</v>
      </c>
      <c r="U626" s="13" t="s">
        <v>365</v>
      </c>
      <c r="V626" s="13" t="s">
        <v>53</v>
      </c>
      <c r="W626" s="13" t="s">
        <v>56</v>
      </c>
      <c r="X626" s="17">
        <f t="shared" si="50"/>
        <v>45192</v>
      </c>
      <c r="Y626" s="3"/>
    </row>
    <row r="627" spans="1:25" ht="45" customHeight="1">
      <c r="A627" s="3">
        <v>625</v>
      </c>
      <c r="B627" s="13" t="s">
        <v>2391</v>
      </c>
      <c r="C627" s="13" t="s">
        <v>103</v>
      </c>
      <c r="D627" s="13" t="s">
        <v>2392</v>
      </c>
      <c r="E627" s="13" t="s">
        <v>1064</v>
      </c>
      <c r="F627" s="13" t="s">
        <v>29</v>
      </c>
      <c r="G627" s="13" t="s">
        <v>680</v>
      </c>
      <c r="H627" s="13" t="s">
        <v>1031</v>
      </c>
      <c r="I627" s="27" t="s">
        <v>365</v>
      </c>
      <c r="J627" s="27" t="s">
        <v>1898</v>
      </c>
      <c r="K627" s="27" t="s">
        <v>106</v>
      </c>
      <c r="L627" s="27" t="s">
        <v>2057</v>
      </c>
      <c r="M627" s="27" t="s">
        <v>1775</v>
      </c>
      <c r="N627" s="17">
        <f t="shared" si="49"/>
        <v>45100</v>
      </c>
      <c r="O627" s="13" t="s">
        <v>1776</v>
      </c>
      <c r="P627" s="13" t="s">
        <v>182</v>
      </c>
      <c r="Q627" s="13" t="s">
        <v>38</v>
      </c>
      <c r="R627" s="13" t="s">
        <v>365</v>
      </c>
      <c r="S627" s="13" t="s">
        <v>52</v>
      </c>
      <c r="T627" s="28">
        <v>25.84</v>
      </c>
      <c r="U627" s="13" t="s">
        <v>365</v>
      </c>
      <c r="V627" s="13" t="s">
        <v>89</v>
      </c>
      <c r="W627" s="13" t="s">
        <v>683</v>
      </c>
      <c r="X627" s="17">
        <f t="shared" si="50"/>
        <v>45192</v>
      </c>
      <c r="Y627" s="3"/>
    </row>
    <row r="628" spans="1:25" ht="45" customHeight="1">
      <c r="A628" s="3">
        <v>626</v>
      </c>
      <c r="B628" s="13" t="s">
        <v>2393</v>
      </c>
      <c r="C628" s="13" t="s">
        <v>103</v>
      </c>
      <c r="D628" s="13" t="s">
        <v>2394</v>
      </c>
      <c r="E628" s="13" t="s">
        <v>28</v>
      </c>
      <c r="F628" s="13" t="s">
        <v>29</v>
      </c>
      <c r="G628" s="13" t="s">
        <v>56</v>
      </c>
      <c r="H628" s="13" t="s">
        <v>31</v>
      </c>
      <c r="I628" s="27" t="s">
        <v>365</v>
      </c>
      <c r="J628" s="27" t="s">
        <v>1898</v>
      </c>
      <c r="K628" s="27" t="s">
        <v>106</v>
      </c>
      <c r="L628" s="27" t="s">
        <v>1899</v>
      </c>
      <c r="M628" s="27" t="s">
        <v>1775</v>
      </c>
      <c r="N628" s="17">
        <f t="shared" si="49"/>
        <v>45100</v>
      </c>
      <c r="O628" s="13" t="s">
        <v>1776</v>
      </c>
      <c r="P628" s="13" t="s">
        <v>58</v>
      </c>
      <c r="Q628" s="13" t="s">
        <v>38</v>
      </c>
      <c r="R628" s="13" t="s">
        <v>365</v>
      </c>
      <c r="S628" s="13" t="s">
        <v>58</v>
      </c>
      <c r="T628" s="28">
        <v>25.44</v>
      </c>
      <c r="U628" s="13" t="s">
        <v>28</v>
      </c>
      <c r="V628" s="13" t="s">
        <v>76</v>
      </c>
      <c r="W628" s="13" t="s">
        <v>56</v>
      </c>
      <c r="X628" s="17">
        <f t="shared" si="50"/>
        <v>45192</v>
      </c>
      <c r="Y628" s="3"/>
    </row>
    <row r="629" spans="1:25" ht="45" customHeight="1">
      <c r="A629" s="3">
        <v>627</v>
      </c>
      <c r="B629" s="13" t="s">
        <v>2395</v>
      </c>
      <c r="C629" s="13" t="s">
        <v>103</v>
      </c>
      <c r="D629" s="13" t="s">
        <v>2396</v>
      </c>
      <c r="E629" s="13" t="s">
        <v>1064</v>
      </c>
      <c r="F629" s="13" t="s">
        <v>29</v>
      </c>
      <c r="G629" s="13" t="s">
        <v>56</v>
      </c>
      <c r="H629" s="13" t="s">
        <v>1031</v>
      </c>
      <c r="I629" s="27" t="s">
        <v>365</v>
      </c>
      <c r="J629" s="27" t="s">
        <v>1898</v>
      </c>
      <c r="K629" s="27" t="s">
        <v>106</v>
      </c>
      <c r="L629" s="27" t="s">
        <v>2057</v>
      </c>
      <c r="M629" s="27" t="s">
        <v>1775</v>
      </c>
      <c r="N629" s="17">
        <f t="shared" si="49"/>
        <v>45100</v>
      </c>
      <c r="O629" s="13" t="s">
        <v>1776</v>
      </c>
      <c r="P629" s="13" t="s">
        <v>1033</v>
      </c>
      <c r="Q629" s="13" t="s">
        <v>38</v>
      </c>
      <c r="R629" s="13" t="s">
        <v>365</v>
      </c>
      <c r="S629" s="13" t="s">
        <v>58</v>
      </c>
      <c r="T629" s="28">
        <v>24.36</v>
      </c>
      <c r="U629" s="13" t="s">
        <v>365</v>
      </c>
      <c r="V629" s="13" t="s">
        <v>146</v>
      </c>
      <c r="W629" s="13" t="s">
        <v>56</v>
      </c>
      <c r="X629" s="17">
        <f t="shared" si="50"/>
        <v>45192</v>
      </c>
      <c r="Y629" s="3"/>
    </row>
    <row r="630" spans="1:25" ht="45" customHeight="1">
      <c r="A630" s="3">
        <v>628</v>
      </c>
      <c r="B630" s="13" t="s">
        <v>2397</v>
      </c>
      <c r="C630" s="13" t="s">
        <v>103</v>
      </c>
      <c r="D630" s="13" t="s">
        <v>2398</v>
      </c>
      <c r="E630" s="13" t="s">
        <v>1064</v>
      </c>
      <c r="F630" s="13" t="s">
        <v>29</v>
      </c>
      <c r="G630" s="13" t="s">
        <v>85</v>
      </c>
      <c r="H630" s="13" t="s">
        <v>1031</v>
      </c>
      <c r="I630" s="27" t="s">
        <v>365</v>
      </c>
      <c r="J630" s="27" t="s">
        <v>1898</v>
      </c>
      <c r="K630" s="27" t="s">
        <v>106</v>
      </c>
      <c r="L630" s="27" t="s">
        <v>2057</v>
      </c>
      <c r="M630" s="27" t="s">
        <v>1775</v>
      </c>
      <c r="N630" s="17">
        <f t="shared" si="49"/>
        <v>45100</v>
      </c>
      <c r="O630" s="13" t="s">
        <v>1776</v>
      </c>
      <c r="P630" s="13" t="s">
        <v>87</v>
      </c>
      <c r="Q630" s="13" t="s">
        <v>38</v>
      </c>
      <c r="R630" s="13" t="s">
        <v>365</v>
      </c>
      <c r="S630" s="13" t="s">
        <v>87</v>
      </c>
      <c r="T630" s="28">
        <v>25.74</v>
      </c>
      <c r="U630" s="13" t="s">
        <v>365</v>
      </c>
      <c r="V630" s="13" t="s">
        <v>89</v>
      </c>
      <c r="W630" s="13" t="s">
        <v>85</v>
      </c>
      <c r="X630" s="17">
        <f>DATE(2023,9,15)</f>
        <v>45184</v>
      </c>
      <c r="Y630" s="3"/>
    </row>
    <row r="631" spans="1:25" ht="45" customHeight="1">
      <c r="A631" s="3">
        <v>629</v>
      </c>
      <c r="B631" s="13" t="s">
        <v>2399</v>
      </c>
      <c r="C631" s="13" t="s">
        <v>103</v>
      </c>
      <c r="D631" s="13" t="s">
        <v>2400</v>
      </c>
      <c r="E631" s="13" t="s">
        <v>1064</v>
      </c>
      <c r="F631" s="13" t="s">
        <v>29</v>
      </c>
      <c r="G631" s="13" t="s">
        <v>56</v>
      </c>
      <c r="H631" s="13" t="s">
        <v>1031</v>
      </c>
      <c r="I631" s="27" t="s">
        <v>365</v>
      </c>
      <c r="J631" s="27" t="s">
        <v>1898</v>
      </c>
      <c r="K631" s="27" t="s">
        <v>106</v>
      </c>
      <c r="L631" s="27" t="s">
        <v>2057</v>
      </c>
      <c r="M631" s="27" t="s">
        <v>1775</v>
      </c>
      <c r="N631" s="17">
        <f t="shared" si="49"/>
        <v>45100</v>
      </c>
      <c r="O631" s="13" t="s">
        <v>1776</v>
      </c>
      <c r="P631" s="13" t="s">
        <v>1033</v>
      </c>
      <c r="Q631" s="13" t="s">
        <v>38</v>
      </c>
      <c r="R631" s="13" t="s">
        <v>365</v>
      </c>
      <c r="S631" s="13" t="s">
        <v>58</v>
      </c>
      <c r="T631" s="28">
        <v>25.94</v>
      </c>
      <c r="U631" s="13" t="s">
        <v>365</v>
      </c>
      <c r="V631" s="13" t="s">
        <v>146</v>
      </c>
      <c r="W631" s="13" t="s">
        <v>56</v>
      </c>
      <c r="X631" s="17">
        <f t="shared" ref="X631:X645" si="51">DATE(2023,9,23)</f>
        <v>45192</v>
      </c>
      <c r="Y631" s="3"/>
    </row>
    <row r="632" spans="1:25" ht="45" customHeight="1">
      <c r="A632" s="3">
        <v>630</v>
      </c>
      <c r="B632" s="13" t="s">
        <v>2401</v>
      </c>
      <c r="C632" s="13" t="s">
        <v>103</v>
      </c>
      <c r="D632" s="13" t="s">
        <v>2402</v>
      </c>
      <c r="E632" s="13" t="s">
        <v>1064</v>
      </c>
      <c r="F632" s="13" t="s">
        <v>29</v>
      </c>
      <c r="G632" s="13" t="s">
        <v>1216</v>
      </c>
      <c r="H632" s="13" t="s">
        <v>1031</v>
      </c>
      <c r="I632" s="27" t="s">
        <v>365</v>
      </c>
      <c r="J632" s="27" t="s">
        <v>1898</v>
      </c>
      <c r="K632" s="27" t="s">
        <v>106</v>
      </c>
      <c r="L632" s="27" t="s">
        <v>2057</v>
      </c>
      <c r="M632" s="27" t="s">
        <v>1775</v>
      </c>
      <c r="N632" s="17">
        <f t="shared" si="49"/>
        <v>45100</v>
      </c>
      <c r="O632" s="13" t="s">
        <v>1776</v>
      </c>
      <c r="P632" s="13" t="s">
        <v>1231</v>
      </c>
      <c r="Q632" s="13" t="s">
        <v>38</v>
      </c>
      <c r="R632" s="13" t="s">
        <v>365</v>
      </c>
      <c r="S632" s="13" t="s">
        <v>1215</v>
      </c>
      <c r="T632" s="28">
        <v>25.63</v>
      </c>
      <c r="U632" s="13" t="s">
        <v>365</v>
      </c>
      <c r="V632" s="13" t="s">
        <v>89</v>
      </c>
      <c r="W632" s="13" t="s">
        <v>1219</v>
      </c>
      <c r="X632" s="17">
        <f t="shared" si="51"/>
        <v>45192</v>
      </c>
      <c r="Y632" s="3"/>
    </row>
    <row r="633" spans="1:25" ht="45" customHeight="1">
      <c r="A633" s="3">
        <v>631</v>
      </c>
      <c r="B633" s="13" t="s">
        <v>2403</v>
      </c>
      <c r="C633" s="13" t="s">
        <v>103</v>
      </c>
      <c r="D633" s="13" t="s">
        <v>2404</v>
      </c>
      <c r="E633" s="13" t="s">
        <v>1064</v>
      </c>
      <c r="F633" s="13" t="s">
        <v>29</v>
      </c>
      <c r="G633" s="13" t="s">
        <v>1216</v>
      </c>
      <c r="H633" s="13" t="s">
        <v>1031</v>
      </c>
      <c r="I633" s="27" t="s">
        <v>365</v>
      </c>
      <c r="J633" s="27" t="s">
        <v>1898</v>
      </c>
      <c r="K633" s="27" t="s">
        <v>106</v>
      </c>
      <c r="L633" s="27" t="s">
        <v>2057</v>
      </c>
      <c r="M633" s="27" t="s">
        <v>1775</v>
      </c>
      <c r="N633" s="17">
        <f t="shared" si="49"/>
        <v>45100</v>
      </c>
      <c r="O633" s="13" t="s">
        <v>1776</v>
      </c>
      <c r="P633" s="13" t="s">
        <v>1231</v>
      </c>
      <c r="Q633" s="13" t="s">
        <v>38</v>
      </c>
      <c r="R633" s="13" t="s">
        <v>365</v>
      </c>
      <c r="S633" s="13" t="s">
        <v>1215</v>
      </c>
      <c r="T633" s="28">
        <v>24.8</v>
      </c>
      <c r="U633" s="13" t="s">
        <v>365</v>
      </c>
      <c r="V633" s="13" t="s">
        <v>89</v>
      </c>
      <c r="W633" s="13" t="s">
        <v>1219</v>
      </c>
      <c r="X633" s="17">
        <f t="shared" si="51"/>
        <v>45192</v>
      </c>
      <c r="Y633" s="3"/>
    </row>
    <row r="634" spans="1:25" ht="45" customHeight="1">
      <c r="A634" s="3">
        <v>632</v>
      </c>
      <c r="B634" s="13" t="s">
        <v>2405</v>
      </c>
      <c r="C634" s="13" t="s">
        <v>103</v>
      </c>
      <c r="D634" s="13" t="s">
        <v>2406</v>
      </c>
      <c r="E634" s="13" t="s">
        <v>28</v>
      </c>
      <c r="F634" s="13" t="s">
        <v>29</v>
      </c>
      <c r="G634" s="13" t="s">
        <v>79</v>
      </c>
      <c r="H634" s="13" t="s">
        <v>1031</v>
      </c>
      <c r="I634" s="27" t="s">
        <v>365</v>
      </c>
      <c r="J634" s="27" t="s">
        <v>1898</v>
      </c>
      <c r="K634" s="27" t="s">
        <v>106</v>
      </c>
      <c r="L634" s="27" t="s">
        <v>2057</v>
      </c>
      <c r="M634" s="27" t="s">
        <v>1775</v>
      </c>
      <c r="N634" s="17">
        <f t="shared" si="49"/>
        <v>45100</v>
      </c>
      <c r="O634" s="13" t="s">
        <v>1776</v>
      </c>
      <c r="P634" s="13" t="s">
        <v>1387</v>
      </c>
      <c r="Q634" s="13" t="s">
        <v>38</v>
      </c>
      <c r="R634" s="13" t="s">
        <v>365</v>
      </c>
      <c r="S634" s="13" t="s">
        <v>81</v>
      </c>
      <c r="T634" s="28">
        <v>31.56</v>
      </c>
      <c r="U634" s="13" t="s">
        <v>28</v>
      </c>
      <c r="V634" s="13" t="s">
        <v>89</v>
      </c>
      <c r="W634" s="13" t="s">
        <v>79</v>
      </c>
      <c r="X634" s="17">
        <f t="shared" si="51"/>
        <v>45192</v>
      </c>
      <c r="Y634" s="3"/>
    </row>
    <row r="635" spans="1:25" ht="45" customHeight="1">
      <c r="A635" s="3">
        <v>633</v>
      </c>
      <c r="B635" s="13" t="s">
        <v>2407</v>
      </c>
      <c r="C635" s="13" t="s">
        <v>103</v>
      </c>
      <c r="D635" s="13" t="s">
        <v>2408</v>
      </c>
      <c r="E635" s="13" t="s">
        <v>1064</v>
      </c>
      <c r="F635" s="13" t="s">
        <v>29</v>
      </c>
      <c r="G635" s="13" t="s">
        <v>1216</v>
      </c>
      <c r="H635" s="13" t="s">
        <v>1031</v>
      </c>
      <c r="I635" s="27" t="s">
        <v>365</v>
      </c>
      <c r="J635" s="27" t="s">
        <v>1898</v>
      </c>
      <c r="K635" s="27" t="s">
        <v>106</v>
      </c>
      <c r="L635" s="27" t="s">
        <v>2057</v>
      </c>
      <c r="M635" s="27" t="s">
        <v>1775</v>
      </c>
      <c r="N635" s="17">
        <f t="shared" si="49"/>
        <v>45100</v>
      </c>
      <c r="O635" s="13" t="s">
        <v>1776</v>
      </c>
      <c r="P635" s="13" t="s">
        <v>1231</v>
      </c>
      <c r="Q635" s="13" t="s">
        <v>38</v>
      </c>
      <c r="R635" s="13" t="s">
        <v>365</v>
      </c>
      <c r="S635" s="13" t="s">
        <v>1215</v>
      </c>
      <c r="T635" s="28">
        <v>24.33</v>
      </c>
      <c r="U635" s="13" t="s">
        <v>365</v>
      </c>
      <c r="V635" s="13" t="s">
        <v>89</v>
      </c>
      <c r="W635" s="13" t="s">
        <v>1219</v>
      </c>
      <c r="X635" s="17">
        <f t="shared" si="51"/>
        <v>45192</v>
      </c>
      <c r="Y635" s="3"/>
    </row>
    <row r="636" spans="1:25" ht="45" customHeight="1">
      <c r="A636" s="3">
        <v>634</v>
      </c>
      <c r="B636" s="13" t="s">
        <v>2409</v>
      </c>
      <c r="C636" s="13" t="s">
        <v>103</v>
      </c>
      <c r="D636" s="13" t="s">
        <v>2410</v>
      </c>
      <c r="E636" s="13" t="s">
        <v>28</v>
      </c>
      <c r="F636" s="13" t="s">
        <v>29</v>
      </c>
      <c r="G636" s="13" t="s">
        <v>1216</v>
      </c>
      <c r="H636" s="13" t="s">
        <v>1031</v>
      </c>
      <c r="I636" s="27" t="s">
        <v>365</v>
      </c>
      <c r="J636" s="27" t="s">
        <v>1898</v>
      </c>
      <c r="K636" s="27" t="s">
        <v>106</v>
      </c>
      <c r="L636" s="27" t="s">
        <v>2057</v>
      </c>
      <c r="M636" s="27" t="s">
        <v>1775</v>
      </c>
      <c r="N636" s="17">
        <f t="shared" si="49"/>
        <v>45100</v>
      </c>
      <c r="O636" s="13" t="s">
        <v>1776</v>
      </c>
      <c r="P636" s="13" t="s">
        <v>1231</v>
      </c>
      <c r="Q636" s="13" t="s">
        <v>38</v>
      </c>
      <c r="R636" s="13" t="s">
        <v>365</v>
      </c>
      <c r="S636" s="13" t="s">
        <v>1215</v>
      </c>
      <c r="T636" s="28">
        <v>26.06</v>
      </c>
      <c r="U636" s="13" t="s">
        <v>28</v>
      </c>
      <c r="V636" s="13" t="s">
        <v>89</v>
      </c>
      <c r="W636" s="13" t="s">
        <v>1219</v>
      </c>
      <c r="X636" s="17">
        <f t="shared" si="51"/>
        <v>45192</v>
      </c>
      <c r="Y636" s="3"/>
    </row>
    <row r="637" spans="1:25" ht="45" customHeight="1">
      <c r="A637" s="3">
        <v>635</v>
      </c>
      <c r="B637" s="13" t="s">
        <v>2411</v>
      </c>
      <c r="C637" s="13" t="s">
        <v>103</v>
      </c>
      <c r="D637" s="13" t="s">
        <v>2412</v>
      </c>
      <c r="E637" s="13" t="s">
        <v>28</v>
      </c>
      <c r="F637" s="13" t="s">
        <v>29</v>
      </c>
      <c r="G637" s="13" t="s">
        <v>1216</v>
      </c>
      <c r="H637" s="13" t="s">
        <v>1031</v>
      </c>
      <c r="I637" s="27" t="s">
        <v>365</v>
      </c>
      <c r="J637" s="27" t="s">
        <v>1898</v>
      </c>
      <c r="K637" s="27" t="s">
        <v>106</v>
      </c>
      <c r="L637" s="27" t="s">
        <v>2057</v>
      </c>
      <c r="M637" s="27" t="s">
        <v>1775</v>
      </c>
      <c r="N637" s="17">
        <f t="shared" si="49"/>
        <v>45100</v>
      </c>
      <c r="O637" s="13" t="s">
        <v>1776</v>
      </c>
      <c r="P637" s="13" t="s">
        <v>1231</v>
      </c>
      <c r="Q637" s="13" t="s">
        <v>38</v>
      </c>
      <c r="R637" s="13" t="s">
        <v>365</v>
      </c>
      <c r="S637" s="13" t="s">
        <v>1215</v>
      </c>
      <c r="T637" s="28">
        <v>27.71</v>
      </c>
      <c r="U637" s="13" t="s">
        <v>28</v>
      </c>
      <c r="V637" s="13" t="s">
        <v>89</v>
      </c>
      <c r="W637" s="13" t="s">
        <v>1219</v>
      </c>
      <c r="X637" s="17">
        <f t="shared" si="51"/>
        <v>45192</v>
      </c>
      <c r="Y637" s="3"/>
    </row>
    <row r="638" spans="1:25" ht="45" customHeight="1">
      <c r="A638" s="3">
        <v>636</v>
      </c>
      <c r="B638" s="13" t="s">
        <v>2413</v>
      </c>
      <c r="C638" s="13" t="s">
        <v>103</v>
      </c>
      <c r="D638" s="13" t="s">
        <v>2414</v>
      </c>
      <c r="E638" s="13" t="s">
        <v>28</v>
      </c>
      <c r="F638" s="13" t="s">
        <v>29</v>
      </c>
      <c r="G638" s="13" t="s">
        <v>1216</v>
      </c>
      <c r="H638" s="13" t="s">
        <v>1031</v>
      </c>
      <c r="I638" s="27" t="s">
        <v>365</v>
      </c>
      <c r="J638" s="27" t="s">
        <v>1898</v>
      </c>
      <c r="K638" s="27" t="s">
        <v>106</v>
      </c>
      <c r="L638" s="27" t="s">
        <v>2057</v>
      </c>
      <c r="M638" s="27" t="s">
        <v>1775</v>
      </c>
      <c r="N638" s="17">
        <f t="shared" si="49"/>
        <v>45100</v>
      </c>
      <c r="O638" s="13" t="s">
        <v>1776</v>
      </c>
      <c r="P638" s="13" t="s">
        <v>1215</v>
      </c>
      <c r="Q638" s="13" t="s">
        <v>38</v>
      </c>
      <c r="R638" s="13" t="s">
        <v>365</v>
      </c>
      <c r="S638" s="13" t="s">
        <v>1215</v>
      </c>
      <c r="T638" s="28">
        <v>25.17</v>
      </c>
      <c r="U638" s="13" t="s">
        <v>28</v>
      </c>
      <c r="V638" s="13" t="s">
        <v>146</v>
      </c>
      <c r="W638" s="13" t="s">
        <v>1219</v>
      </c>
      <c r="X638" s="17">
        <f t="shared" si="51"/>
        <v>45192</v>
      </c>
      <c r="Y638" s="3"/>
    </row>
    <row r="639" spans="1:25" ht="45" customHeight="1">
      <c r="A639" s="3">
        <v>637</v>
      </c>
      <c r="B639" s="13" t="s">
        <v>2415</v>
      </c>
      <c r="C639" s="13" t="s">
        <v>103</v>
      </c>
      <c r="D639" s="13" t="s">
        <v>2416</v>
      </c>
      <c r="E639" s="13" t="s">
        <v>1064</v>
      </c>
      <c r="F639" s="13" t="s">
        <v>29</v>
      </c>
      <c r="G639" s="13" t="s">
        <v>680</v>
      </c>
      <c r="H639" s="13" t="s">
        <v>1031</v>
      </c>
      <c r="I639" s="27" t="s">
        <v>365</v>
      </c>
      <c r="J639" s="27" t="s">
        <v>1898</v>
      </c>
      <c r="K639" s="27" t="s">
        <v>106</v>
      </c>
      <c r="L639" s="27" t="s">
        <v>2057</v>
      </c>
      <c r="M639" s="27" t="s">
        <v>1775</v>
      </c>
      <c r="N639" s="17">
        <f t="shared" si="49"/>
        <v>45100</v>
      </c>
      <c r="O639" s="13" t="s">
        <v>1776</v>
      </c>
      <c r="P639" s="13" t="s">
        <v>182</v>
      </c>
      <c r="Q639" s="13" t="s">
        <v>38</v>
      </c>
      <c r="R639" s="13" t="s">
        <v>365</v>
      </c>
      <c r="S639" s="13" t="s">
        <v>52</v>
      </c>
      <c r="T639" s="28">
        <v>30.61</v>
      </c>
      <c r="U639" s="13" t="s">
        <v>365</v>
      </c>
      <c r="V639" s="13" t="s">
        <v>89</v>
      </c>
      <c r="W639" s="13" t="s">
        <v>683</v>
      </c>
      <c r="X639" s="17">
        <f t="shared" si="51"/>
        <v>45192</v>
      </c>
      <c r="Y639" s="3"/>
    </row>
    <row r="640" spans="1:25" ht="45" customHeight="1">
      <c r="A640" s="3">
        <v>638</v>
      </c>
      <c r="B640" s="13" t="s">
        <v>2417</v>
      </c>
      <c r="C640" s="13" t="s">
        <v>103</v>
      </c>
      <c r="D640" s="13" t="s">
        <v>2418</v>
      </c>
      <c r="E640" s="13" t="s">
        <v>1064</v>
      </c>
      <c r="F640" s="13" t="s">
        <v>29</v>
      </c>
      <c r="G640" s="13" t="s">
        <v>1216</v>
      </c>
      <c r="H640" s="13" t="s">
        <v>1031</v>
      </c>
      <c r="I640" s="27" t="s">
        <v>365</v>
      </c>
      <c r="J640" s="27" t="s">
        <v>1898</v>
      </c>
      <c r="K640" s="27" t="s">
        <v>106</v>
      </c>
      <c r="L640" s="27" t="s">
        <v>2057</v>
      </c>
      <c r="M640" s="27" t="s">
        <v>1775</v>
      </c>
      <c r="N640" s="17">
        <f t="shared" si="49"/>
        <v>45100</v>
      </c>
      <c r="O640" s="13" t="s">
        <v>1776</v>
      </c>
      <c r="P640" s="13" t="s">
        <v>1215</v>
      </c>
      <c r="Q640" s="13" t="s">
        <v>38</v>
      </c>
      <c r="R640" s="13" t="s">
        <v>365</v>
      </c>
      <c r="S640" s="13" t="s">
        <v>1215</v>
      </c>
      <c r="T640" s="28">
        <v>25.45</v>
      </c>
      <c r="U640" s="13" t="s">
        <v>365</v>
      </c>
      <c r="V640" s="13" t="s">
        <v>146</v>
      </c>
      <c r="W640" s="13" t="s">
        <v>1219</v>
      </c>
      <c r="X640" s="17">
        <f t="shared" si="51"/>
        <v>45192</v>
      </c>
      <c r="Y640" s="3"/>
    </row>
    <row r="641" spans="1:25" ht="45" customHeight="1">
      <c r="A641" s="3">
        <v>639</v>
      </c>
      <c r="B641" s="13" t="s">
        <v>2419</v>
      </c>
      <c r="C641" s="13" t="s">
        <v>103</v>
      </c>
      <c r="D641" s="13" t="s">
        <v>2420</v>
      </c>
      <c r="E641" s="13" t="s">
        <v>28</v>
      </c>
      <c r="F641" s="13" t="s">
        <v>29</v>
      </c>
      <c r="G641" s="13" t="s">
        <v>79</v>
      </c>
      <c r="H641" s="13" t="s">
        <v>1031</v>
      </c>
      <c r="I641" s="27" t="s">
        <v>365</v>
      </c>
      <c r="J641" s="27" t="s">
        <v>1898</v>
      </c>
      <c r="K641" s="27" t="s">
        <v>106</v>
      </c>
      <c r="L641" s="27" t="s">
        <v>2057</v>
      </c>
      <c r="M641" s="27" t="s">
        <v>1775</v>
      </c>
      <c r="N641" s="17">
        <f t="shared" si="49"/>
        <v>45100</v>
      </c>
      <c r="O641" s="13" t="s">
        <v>1776</v>
      </c>
      <c r="P641" s="13" t="s">
        <v>498</v>
      </c>
      <c r="Q641" s="13" t="s">
        <v>38</v>
      </c>
      <c r="R641" s="13" t="s">
        <v>365</v>
      </c>
      <c r="S641" s="13" t="s">
        <v>81</v>
      </c>
      <c r="T641" s="28">
        <v>28.42</v>
      </c>
      <c r="U641" s="13" t="s">
        <v>28</v>
      </c>
      <c r="V641" s="13" t="s">
        <v>146</v>
      </c>
      <c r="W641" s="13" t="s">
        <v>79</v>
      </c>
      <c r="X641" s="17">
        <f t="shared" si="51"/>
        <v>45192</v>
      </c>
      <c r="Y641" s="3"/>
    </row>
    <row r="642" spans="1:25" ht="45" customHeight="1">
      <c r="A642" s="3">
        <v>640</v>
      </c>
      <c r="B642" s="13" t="s">
        <v>2421</v>
      </c>
      <c r="C642" s="13" t="s">
        <v>103</v>
      </c>
      <c r="D642" s="13" t="s">
        <v>2422</v>
      </c>
      <c r="E642" s="13" t="s">
        <v>1064</v>
      </c>
      <c r="F642" s="13" t="s">
        <v>29</v>
      </c>
      <c r="G642" s="13" t="s">
        <v>680</v>
      </c>
      <c r="H642" s="13" t="s">
        <v>1031</v>
      </c>
      <c r="I642" s="27" t="s">
        <v>365</v>
      </c>
      <c r="J642" s="27" t="s">
        <v>1898</v>
      </c>
      <c r="K642" s="27" t="s">
        <v>106</v>
      </c>
      <c r="L642" s="27" t="s">
        <v>2057</v>
      </c>
      <c r="M642" s="27" t="s">
        <v>1775</v>
      </c>
      <c r="N642" s="17">
        <f t="shared" si="49"/>
        <v>45100</v>
      </c>
      <c r="O642" s="13" t="s">
        <v>1776</v>
      </c>
      <c r="P642" s="13" t="s">
        <v>50</v>
      </c>
      <c r="Q642" s="13" t="s">
        <v>38</v>
      </c>
      <c r="R642" s="13" t="s">
        <v>365</v>
      </c>
      <c r="S642" s="13" t="s">
        <v>52</v>
      </c>
      <c r="T642" s="28">
        <v>24.77</v>
      </c>
      <c r="U642" s="13" t="s">
        <v>365</v>
      </c>
      <c r="V642" s="13" t="s">
        <v>53</v>
      </c>
      <c r="W642" s="13" t="s">
        <v>683</v>
      </c>
      <c r="X642" s="17">
        <f t="shared" si="51"/>
        <v>45192</v>
      </c>
      <c r="Y642" s="3"/>
    </row>
    <row r="643" spans="1:25" ht="45" customHeight="1">
      <c r="A643" s="3">
        <v>641</v>
      </c>
      <c r="B643" s="13" t="s">
        <v>2423</v>
      </c>
      <c r="C643" s="13" t="s">
        <v>103</v>
      </c>
      <c r="D643" s="13" t="s">
        <v>2424</v>
      </c>
      <c r="E643" s="13" t="s">
        <v>1064</v>
      </c>
      <c r="F643" s="13" t="s">
        <v>29</v>
      </c>
      <c r="G643" s="13" t="s">
        <v>1216</v>
      </c>
      <c r="H643" s="13" t="s">
        <v>1031</v>
      </c>
      <c r="I643" s="27" t="s">
        <v>365</v>
      </c>
      <c r="J643" s="27" t="s">
        <v>1898</v>
      </c>
      <c r="K643" s="27" t="s">
        <v>106</v>
      </c>
      <c r="L643" s="27" t="s">
        <v>2057</v>
      </c>
      <c r="M643" s="27" t="s">
        <v>1775</v>
      </c>
      <c r="N643" s="17">
        <f t="shared" si="49"/>
        <v>45100</v>
      </c>
      <c r="O643" s="13" t="s">
        <v>1776</v>
      </c>
      <c r="P643" s="13" t="s">
        <v>1215</v>
      </c>
      <c r="Q643" s="13" t="s">
        <v>38</v>
      </c>
      <c r="R643" s="13" t="s">
        <v>365</v>
      </c>
      <c r="S643" s="13" t="s">
        <v>1215</v>
      </c>
      <c r="T643" s="28">
        <v>29.39</v>
      </c>
      <c r="U643" s="13" t="s">
        <v>365</v>
      </c>
      <c r="V643" s="13" t="s">
        <v>146</v>
      </c>
      <c r="W643" s="13" t="s">
        <v>1219</v>
      </c>
      <c r="X643" s="17">
        <f t="shared" si="51"/>
        <v>45192</v>
      </c>
      <c r="Y643" s="3"/>
    </row>
    <row r="644" spans="1:25" ht="45" customHeight="1">
      <c r="A644" s="3">
        <v>642</v>
      </c>
      <c r="B644" s="13" t="s">
        <v>2425</v>
      </c>
      <c r="C644" s="13" t="s">
        <v>103</v>
      </c>
      <c r="D644" s="13" t="s">
        <v>2426</v>
      </c>
      <c r="E644" s="13" t="s">
        <v>28</v>
      </c>
      <c r="F644" s="13" t="s">
        <v>29</v>
      </c>
      <c r="G644" s="13" t="s">
        <v>79</v>
      </c>
      <c r="H644" s="13" t="s">
        <v>1031</v>
      </c>
      <c r="I644" s="27" t="s">
        <v>365</v>
      </c>
      <c r="J644" s="27" t="s">
        <v>1898</v>
      </c>
      <c r="K644" s="27" t="s">
        <v>106</v>
      </c>
      <c r="L644" s="27" t="s">
        <v>2057</v>
      </c>
      <c r="M644" s="27" t="s">
        <v>1775</v>
      </c>
      <c r="N644" s="17">
        <f t="shared" si="49"/>
        <v>45100</v>
      </c>
      <c r="O644" s="13" t="s">
        <v>1776</v>
      </c>
      <c r="P644" s="13" t="s">
        <v>263</v>
      </c>
      <c r="Q644" s="13" t="s">
        <v>38</v>
      </c>
      <c r="R644" s="13" t="s">
        <v>365</v>
      </c>
      <c r="S644" s="13" t="s">
        <v>81</v>
      </c>
      <c r="T644" s="28">
        <v>25.37</v>
      </c>
      <c r="U644" s="13" t="s">
        <v>28</v>
      </c>
      <c r="V644" s="13" t="s">
        <v>53</v>
      </c>
      <c r="W644" s="13" t="s">
        <v>79</v>
      </c>
      <c r="X644" s="17">
        <f t="shared" si="51"/>
        <v>45192</v>
      </c>
      <c r="Y644" s="3"/>
    </row>
    <row r="645" spans="1:25" ht="45" customHeight="1">
      <c r="A645" s="3">
        <v>643</v>
      </c>
      <c r="B645" s="13" t="s">
        <v>2427</v>
      </c>
      <c r="C645" s="13" t="s">
        <v>103</v>
      </c>
      <c r="D645" s="13" t="s">
        <v>2428</v>
      </c>
      <c r="E645" s="13" t="s">
        <v>1064</v>
      </c>
      <c r="F645" s="13" t="s">
        <v>29</v>
      </c>
      <c r="G645" s="13" t="s">
        <v>1216</v>
      </c>
      <c r="H645" s="13" t="s">
        <v>1031</v>
      </c>
      <c r="I645" s="27" t="s">
        <v>365</v>
      </c>
      <c r="J645" s="27" t="s">
        <v>1898</v>
      </c>
      <c r="K645" s="27" t="s">
        <v>106</v>
      </c>
      <c r="L645" s="27" t="s">
        <v>2057</v>
      </c>
      <c r="M645" s="27" t="s">
        <v>1775</v>
      </c>
      <c r="N645" s="17">
        <f t="shared" si="49"/>
        <v>45100</v>
      </c>
      <c r="O645" s="13" t="s">
        <v>1776</v>
      </c>
      <c r="P645" s="13" t="s">
        <v>1221</v>
      </c>
      <c r="Q645" s="13" t="s">
        <v>38</v>
      </c>
      <c r="R645" s="13" t="s">
        <v>365</v>
      </c>
      <c r="S645" s="13" t="s">
        <v>1215</v>
      </c>
      <c r="T645" s="28">
        <v>29.41</v>
      </c>
      <c r="U645" s="13" t="s">
        <v>365</v>
      </c>
      <c r="V645" s="13" t="s">
        <v>53</v>
      </c>
      <c r="W645" s="13" t="s">
        <v>1219</v>
      </c>
      <c r="X645" s="17">
        <f t="shared" si="51"/>
        <v>45192</v>
      </c>
      <c r="Y645" s="3"/>
    </row>
    <row r="646" spans="1:25" ht="45" customHeight="1">
      <c r="A646" s="3">
        <v>644</v>
      </c>
      <c r="B646" s="13" t="s">
        <v>2429</v>
      </c>
      <c r="C646" s="13" t="s">
        <v>26</v>
      </c>
      <c r="D646" s="13" t="s">
        <v>2430</v>
      </c>
      <c r="E646" s="13" t="s">
        <v>762</v>
      </c>
      <c r="F646" s="13" t="s">
        <v>453</v>
      </c>
      <c r="G646" s="13" t="s">
        <v>454</v>
      </c>
      <c r="H646" s="13" t="s">
        <v>453</v>
      </c>
      <c r="I646" s="27" t="s">
        <v>2431</v>
      </c>
      <c r="J646" s="27" t="s">
        <v>33</v>
      </c>
      <c r="K646" s="27" t="s">
        <v>34</v>
      </c>
      <c r="L646" s="27" t="s">
        <v>35</v>
      </c>
      <c r="M646" s="27" t="s">
        <v>36</v>
      </c>
      <c r="N646" s="17">
        <f t="shared" ref="N646:N651" si="52">DATE(2023,7,3)</f>
        <v>45110</v>
      </c>
      <c r="O646" s="13" t="s">
        <v>107</v>
      </c>
      <c r="P646" s="13" t="s">
        <v>456</v>
      </c>
      <c r="Q646" s="13" t="s">
        <v>670</v>
      </c>
      <c r="R646" s="13" t="s">
        <v>2432</v>
      </c>
      <c r="S646" s="13" t="s">
        <v>458</v>
      </c>
      <c r="T646" s="28">
        <v>25.48</v>
      </c>
      <c r="U646" s="13" t="s">
        <v>765</v>
      </c>
      <c r="V646" s="13" t="s">
        <v>146</v>
      </c>
      <c r="W646" s="13" t="s">
        <v>454</v>
      </c>
      <c r="X646" s="17">
        <f>DATE(2023,9,29)</f>
        <v>45198</v>
      </c>
      <c r="Y646" s="3"/>
    </row>
    <row r="647" spans="1:25" ht="45" customHeight="1">
      <c r="A647" s="3">
        <v>645</v>
      </c>
      <c r="B647" s="13" t="s">
        <v>2433</v>
      </c>
      <c r="C647" s="13" t="s">
        <v>26</v>
      </c>
      <c r="D647" s="13" t="s">
        <v>676</v>
      </c>
      <c r="E647" s="13" t="s">
        <v>530</v>
      </c>
      <c r="F647" s="13" t="s">
        <v>417</v>
      </c>
      <c r="G647" s="13" t="s">
        <v>419</v>
      </c>
      <c r="H647" s="13" t="s">
        <v>419</v>
      </c>
      <c r="I647" s="27" t="s">
        <v>2434</v>
      </c>
      <c r="J647" s="27" t="s">
        <v>33</v>
      </c>
      <c r="K647" s="27" t="s">
        <v>34</v>
      </c>
      <c r="L647" s="27" t="s">
        <v>408</v>
      </c>
      <c r="M647" s="27" t="s">
        <v>409</v>
      </c>
      <c r="N647" s="17">
        <f t="shared" si="52"/>
        <v>45110</v>
      </c>
      <c r="O647" s="13" t="s">
        <v>107</v>
      </c>
      <c r="P647" s="13" t="s">
        <v>697</v>
      </c>
      <c r="Q647" s="13" t="s">
        <v>411</v>
      </c>
      <c r="R647" s="13" t="s">
        <v>2435</v>
      </c>
      <c r="S647" s="13" t="s">
        <v>423</v>
      </c>
      <c r="T647" s="28">
        <v>43.6</v>
      </c>
      <c r="U647" s="13" t="s">
        <v>530</v>
      </c>
      <c r="V647" s="13" t="s">
        <v>413</v>
      </c>
      <c r="W647" s="13" t="s">
        <v>419</v>
      </c>
      <c r="X647" s="17">
        <f>DATE(2023,11,14)</f>
        <v>45244</v>
      </c>
      <c r="Y647" s="3"/>
    </row>
    <row r="648" spans="1:25" ht="45" customHeight="1">
      <c r="A648" s="3">
        <v>646</v>
      </c>
      <c r="B648" s="13" t="s">
        <v>2436</v>
      </c>
      <c r="C648" s="13" t="s">
        <v>26</v>
      </c>
      <c r="D648" s="13" t="s">
        <v>2437</v>
      </c>
      <c r="E648" s="13" t="s">
        <v>762</v>
      </c>
      <c r="F648" s="13" t="s">
        <v>453</v>
      </c>
      <c r="G648" s="13" t="s">
        <v>454</v>
      </c>
      <c r="H648" s="13" t="s">
        <v>453</v>
      </c>
      <c r="I648" s="27" t="s">
        <v>2438</v>
      </c>
      <c r="J648" s="27" t="s">
        <v>33</v>
      </c>
      <c r="K648" s="27" t="s">
        <v>34</v>
      </c>
      <c r="L648" s="27" t="s">
        <v>35</v>
      </c>
      <c r="M648" s="27" t="s">
        <v>36</v>
      </c>
      <c r="N648" s="17">
        <f t="shared" si="52"/>
        <v>45110</v>
      </c>
      <c r="O648" s="13" t="s">
        <v>107</v>
      </c>
      <c r="P648" s="13" t="s">
        <v>456</v>
      </c>
      <c r="Q648" s="13" t="s">
        <v>670</v>
      </c>
      <c r="R648" s="13" t="s">
        <v>2439</v>
      </c>
      <c r="S648" s="13" t="s">
        <v>458</v>
      </c>
      <c r="T648" s="28">
        <v>29.22</v>
      </c>
      <c r="U648" s="13" t="s">
        <v>765</v>
      </c>
      <c r="V648" s="13" t="s">
        <v>146</v>
      </c>
      <c r="W648" s="13" t="s">
        <v>454</v>
      </c>
      <c r="X648" s="17">
        <f>DATE(2023,9,29)</f>
        <v>45198</v>
      </c>
      <c r="Y648" s="3"/>
    </row>
    <row r="649" spans="1:25" ht="45" customHeight="1">
      <c r="A649" s="3">
        <v>647</v>
      </c>
      <c r="B649" s="13" t="s">
        <v>2440</v>
      </c>
      <c r="C649" s="13" t="s">
        <v>26</v>
      </c>
      <c r="D649" s="13" t="s">
        <v>2441</v>
      </c>
      <c r="E649" s="13" t="s">
        <v>499</v>
      </c>
      <c r="F649" s="13" t="s">
        <v>417</v>
      </c>
      <c r="G649" s="13" t="s">
        <v>756</v>
      </c>
      <c r="H649" s="13" t="s">
        <v>419</v>
      </c>
      <c r="I649" s="27" t="s">
        <v>2442</v>
      </c>
      <c r="J649" s="27" t="s">
        <v>33</v>
      </c>
      <c r="K649" s="27" t="s">
        <v>34</v>
      </c>
      <c r="L649" s="27" t="s">
        <v>35</v>
      </c>
      <c r="M649" s="27" t="s">
        <v>36</v>
      </c>
      <c r="N649" s="17">
        <f t="shared" si="52"/>
        <v>45110</v>
      </c>
      <c r="O649" s="13" t="s">
        <v>107</v>
      </c>
      <c r="P649" s="13" t="s">
        <v>693</v>
      </c>
      <c r="Q649" s="13" t="s">
        <v>501</v>
      </c>
      <c r="R649" s="13" t="s">
        <v>2443</v>
      </c>
      <c r="S649" s="13" t="s">
        <v>423</v>
      </c>
      <c r="T649" s="28">
        <v>39</v>
      </c>
      <c r="U649" s="13" t="s">
        <v>499</v>
      </c>
      <c r="V649" s="13" t="s">
        <v>752</v>
      </c>
      <c r="W649" s="13" t="s">
        <v>759</v>
      </c>
      <c r="X649" s="17">
        <f>DATE(2023,9,19)</f>
        <v>45188</v>
      </c>
      <c r="Y649" s="3"/>
    </row>
    <row r="650" spans="1:25" ht="45" customHeight="1">
      <c r="A650" s="3">
        <v>648</v>
      </c>
      <c r="B650" s="13" t="s">
        <v>2444</v>
      </c>
      <c r="C650" s="13" t="s">
        <v>26</v>
      </c>
      <c r="D650" s="13" t="s">
        <v>125</v>
      </c>
      <c r="E650" s="13" t="s">
        <v>1126</v>
      </c>
      <c r="F650" s="13" t="s">
        <v>29</v>
      </c>
      <c r="G650" s="13" t="s">
        <v>123</v>
      </c>
      <c r="H650" s="13" t="s">
        <v>406</v>
      </c>
      <c r="I650" s="27" t="s">
        <v>2445</v>
      </c>
      <c r="J650" s="27" t="s">
        <v>33</v>
      </c>
      <c r="K650" s="27" t="s">
        <v>34</v>
      </c>
      <c r="L650" s="27" t="s">
        <v>35</v>
      </c>
      <c r="M650" s="27" t="s">
        <v>36</v>
      </c>
      <c r="N650" s="17">
        <f t="shared" si="52"/>
        <v>45110</v>
      </c>
      <c r="O650" s="13" t="s">
        <v>107</v>
      </c>
      <c r="P650" s="13" t="s">
        <v>127</v>
      </c>
      <c r="Q650" s="13" t="s">
        <v>501</v>
      </c>
      <c r="R650" s="13" t="s">
        <v>2446</v>
      </c>
      <c r="S650" s="13" t="s">
        <v>503</v>
      </c>
      <c r="T650" s="28">
        <v>24.92</v>
      </c>
      <c r="U650" s="13" t="s">
        <v>499</v>
      </c>
      <c r="V650" s="13" t="s">
        <v>89</v>
      </c>
      <c r="W650" s="13" t="s">
        <v>128</v>
      </c>
      <c r="X650" s="17">
        <f>DATE(2023,9,21)</f>
        <v>45190</v>
      </c>
      <c r="Y650" s="3"/>
    </row>
    <row r="651" spans="1:25" ht="45" customHeight="1">
      <c r="A651" s="3">
        <v>649</v>
      </c>
      <c r="B651" s="13" t="s">
        <v>2447</v>
      </c>
      <c r="C651" s="13" t="s">
        <v>26</v>
      </c>
      <c r="D651" s="13" t="s">
        <v>952</v>
      </c>
      <c r="E651" s="13" t="s">
        <v>445</v>
      </c>
      <c r="F651" s="13" t="s">
        <v>491</v>
      </c>
      <c r="G651" s="13" t="s">
        <v>492</v>
      </c>
      <c r="H651" s="13" t="s">
        <v>406</v>
      </c>
      <c r="I651" s="27" t="s">
        <v>2448</v>
      </c>
      <c r="J651" s="27" t="s">
        <v>33</v>
      </c>
      <c r="K651" s="27" t="s">
        <v>34</v>
      </c>
      <c r="L651" s="27" t="s">
        <v>35</v>
      </c>
      <c r="M651" s="27" t="s">
        <v>36</v>
      </c>
      <c r="N651" s="17">
        <f t="shared" si="52"/>
        <v>45110</v>
      </c>
      <c r="O651" s="13" t="s">
        <v>107</v>
      </c>
      <c r="P651" s="13" t="s">
        <v>494</v>
      </c>
      <c r="Q651" s="13" t="s">
        <v>431</v>
      </c>
      <c r="R651" s="13" t="s">
        <v>2449</v>
      </c>
      <c r="S651" s="13" t="s">
        <v>496</v>
      </c>
      <c r="T651" s="28">
        <v>35.6</v>
      </c>
      <c r="U651" s="13" t="s">
        <v>445</v>
      </c>
      <c r="V651" s="13" t="s">
        <v>413</v>
      </c>
      <c r="W651" s="13" t="s">
        <v>492</v>
      </c>
      <c r="X651" s="17">
        <f>DATE(2023,9,26)</f>
        <v>45195</v>
      </c>
      <c r="Y651" s="3"/>
    </row>
    <row r="652" spans="1:25" ht="45" customHeight="1">
      <c r="A652" s="3">
        <v>650</v>
      </c>
      <c r="B652" s="13" t="s">
        <v>2450</v>
      </c>
      <c r="C652" s="13" t="s">
        <v>103</v>
      </c>
      <c r="D652" s="13" t="s">
        <v>1149</v>
      </c>
      <c r="E652" s="13" t="s">
        <v>1126</v>
      </c>
      <c r="F652" s="13" t="s">
        <v>29</v>
      </c>
      <c r="G652" s="13" t="s">
        <v>72</v>
      </c>
      <c r="H652" s="13" t="s">
        <v>406</v>
      </c>
      <c r="I652" s="27" t="s">
        <v>2451</v>
      </c>
      <c r="J652" s="27" t="s">
        <v>33</v>
      </c>
      <c r="K652" s="27" t="s">
        <v>106</v>
      </c>
      <c r="L652" s="27" t="s">
        <v>35</v>
      </c>
      <c r="M652" s="27" t="s">
        <v>36</v>
      </c>
      <c r="N652" s="17">
        <f>DATE(2023,7,17)</f>
        <v>45124</v>
      </c>
      <c r="O652" s="13" t="s">
        <v>107</v>
      </c>
      <c r="P652" s="13" t="s">
        <v>74</v>
      </c>
      <c r="Q652" s="13" t="s">
        <v>501</v>
      </c>
      <c r="R652" s="13" t="s">
        <v>2452</v>
      </c>
      <c r="S652" s="13" t="s">
        <v>503</v>
      </c>
      <c r="T652" s="28">
        <v>27.06</v>
      </c>
      <c r="U652" s="13" t="s">
        <v>499</v>
      </c>
      <c r="V652" s="13" t="s">
        <v>146</v>
      </c>
      <c r="W652" s="13" t="s">
        <v>72</v>
      </c>
      <c r="X652" s="17">
        <f>DATE(2023,10,17)</f>
        <v>45216</v>
      </c>
      <c r="Y652" s="3"/>
    </row>
    <row r="653" spans="1:25" ht="45" customHeight="1">
      <c r="A653" s="3">
        <v>651</v>
      </c>
      <c r="B653" s="13" t="s">
        <v>2453</v>
      </c>
      <c r="C653" s="13" t="s">
        <v>26</v>
      </c>
      <c r="D653" s="13" t="s">
        <v>2454</v>
      </c>
      <c r="E653" s="13" t="s">
        <v>738</v>
      </c>
      <c r="F653" s="13" t="s">
        <v>453</v>
      </c>
      <c r="G653" s="13" t="s">
        <v>739</v>
      </c>
      <c r="H653" s="13" t="s">
        <v>453</v>
      </c>
      <c r="I653" s="27" t="s">
        <v>2455</v>
      </c>
      <c r="J653" s="27" t="s">
        <v>33</v>
      </c>
      <c r="K653" s="27" t="s">
        <v>34</v>
      </c>
      <c r="L653" s="27" t="s">
        <v>35</v>
      </c>
      <c r="M653" s="27" t="s">
        <v>36</v>
      </c>
      <c r="N653" s="17">
        <f>DATE(2023,7,17)</f>
        <v>45124</v>
      </c>
      <c r="O653" s="13" t="s">
        <v>107</v>
      </c>
      <c r="P653" s="13" t="s">
        <v>456</v>
      </c>
      <c r="Q653" s="13" t="s">
        <v>670</v>
      </c>
      <c r="R653" s="13" t="s">
        <v>2456</v>
      </c>
      <c r="S653" s="13" t="s">
        <v>458</v>
      </c>
      <c r="T653" s="28">
        <v>29.93</v>
      </c>
      <c r="U653" s="13" t="s">
        <v>733</v>
      </c>
      <c r="V653" s="13" t="s">
        <v>53</v>
      </c>
      <c r="W653" s="13" t="s">
        <v>739</v>
      </c>
      <c r="X653" s="17">
        <f>DATE(2023,9,29)</f>
        <v>45198</v>
      </c>
      <c r="Y653" s="3"/>
    </row>
    <row r="654" spans="1:25" ht="45" customHeight="1">
      <c r="A654" s="3">
        <v>652</v>
      </c>
      <c r="B654" s="13" t="s">
        <v>2457</v>
      </c>
      <c r="C654" s="13" t="s">
        <v>26</v>
      </c>
      <c r="D654" s="13" t="s">
        <v>2458</v>
      </c>
      <c r="E654" s="13" t="s">
        <v>738</v>
      </c>
      <c r="F654" s="13" t="s">
        <v>744</v>
      </c>
      <c r="G654" s="13" t="s">
        <v>38</v>
      </c>
      <c r="H654" s="13" t="s">
        <v>744</v>
      </c>
      <c r="I654" s="27" t="s">
        <v>2459</v>
      </c>
      <c r="J654" s="27" t="s">
        <v>33</v>
      </c>
      <c r="K654" s="27" t="s">
        <v>34</v>
      </c>
      <c r="L654" s="27" t="s">
        <v>35</v>
      </c>
      <c r="M654" s="27" t="s">
        <v>36</v>
      </c>
      <c r="N654" s="17">
        <f>DATE(2023,7,17)</f>
        <v>45124</v>
      </c>
      <c r="O654" s="13" t="s">
        <v>107</v>
      </c>
      <c r="P654" s="13" t="s">
        <v>456</v>
      </c>
      <c r="Q654" s="13" t="s">
        <v>670</v>
      </c>
      <c r="R654" s="13" t="s">
        <v>2460</v>
      </c>
      <c r="S654" s="13" t="s">
        <v>458</v>
      </c>
      <c r="T654" s="28">
        <v>32.76</v>
      </c>
      <c r="U654" s="13" t="s">
        <v>733</v>
      </c>
      <c r="V654" s="13" t="s">
        <v>146</v>
      </c>
      <c r="W654" s="13" t="s">
        <v>778</v>
      </c>
      <c r="X654" s="17">
        <f>DATE(2023,10,9)</f>
        <v>45208</v>
      </c>
      <c r="Y654" s="3"/>
    </row>
    <row r="655" spans="1:25" ht="45" customHeight="1">
      <c r="A655" s="3">
        <v>653</v>
      </c>
      <c r="B655" s="13" t="s">
        <v>2461</v>
      </c>
      <c r="C655" s="13" t="s">
        <v>26</v>
      </c>
      <c r="D655" s="13" t="s">
        <v>2462</v>
      </c>
      <c r="E655" s="13" t="s">
        <v>738</v>
      </c>
      <c r="F655" s="13" t="s">
        <v>744</v>
      </c>
      <c r="G655" s="13" t="s">
        <v>745</v>
      </c>
      <c r="H655" s="13" t="s">
        <v>744</v>
      </c>
      <c r="I655" s="27" t="s">
        <v>2463</v>
      </c>
      <c r="J655" s="27" t="s">
        <v>33</v>
      </c>
      <c r="K655" s="27" t="s">
        <v>34</v>
      </c>
      <c r="L655" s="27" t="s">
        <v>35</v>
      </c>
      <c r="M655" s="27" t="s">
        <v>36</v>
      </c>
      <c r="N655" s="17">
        <f>DATE(2023,7,17)</f>
        <v>45124</v>
      </c>
      <c r="O655" s="13" t="s">
        <v>107</v>
      </c>
      <c r="P655" s="13" t="s">
        <v>456</v>
      </c>
      <c r="Q655" s="13" t="s">
        <v>670</v>
      </c>
      <c r="R655" s="13" t="s">
        <v>2464</v>
      </c>
      <c r="S655" s="13" t="s">
        <v>458</v>
      </c>
      <c r="T655" s="28">
        <v>25.83</v>
      </c>
      <c r="U655" s="13" t="s">
        <v>733</v>
      </c>
      <c r="V655" s="13" t="s">
        <v>146</v>
      </c>
      <c r="W655" s="13" t="s">
        <v>745</v>
      </c>
      <c r="X655" s="17">
        <f>DATE(2023,10,9)</f>
        <v>45208</v>
      </c>
      <c r="Y655" s="3"/>
    </row>
    <row r="656" spans="1:25" ht="45" customHeight="1">
      <c r="A656" s="3">
        <v>654</v>
      </c>
      <c r="B656" s="13" t="s">
        <v>2465</v>
      </c>
      <c r="C656" s="13" t="s">
        <v>26</v>
      </c>
      <c r="D656" s="13" t="s">
        <v>2466</v>
      </c>
      <c r="E656" s="13" t="s">
        <v>1064</v>
      </c>
      <c r="F656" s="13" t="s">
        <v>29</v>
      </c>
      <c r="G656" s="13" t="s">
        <v>56</v>
      </c>
      <c r="H656" s="13" t="s">
        <v>1031</v>
      </c>
      <c r="I656" s="27" t="s">
        <v>365</v>
      </c>
      <c r="J656" s="27" t="s">
        <v>1774</v>
      </c>
      <c r="K656" s="27" t="s">
        <v>34</v>
      </c>
      <c r="L656" s="27" t="s">
        <v>1291</v>
      </c>
      <c r="M656" s="27" t="s">
        <v>1775</v>
      </c>
      <c r="N656" s="17">
        <f t="shared" ref="N656:N702" si="53">DATE(2023,7,21)</f>
        <v>45128</v>
      </c>
      <c r="O656" s="13" t="s">
        <v>1776</v>
      </c>
      <c r="P656" s="13" t="s">
        <v>58</v>
      </c>
      <c r="Q656" s="13" t="s">
        <v>38</v>
      </c>
      <c r="R656" s="13" t="s">
        <v>365</v>
      </c>
      <c r="S656" s="13" t="s">
        <v>58</v>
      </c>
      <c r="T656" s="28">
        <v>26.05</v>
      </c>
      <c r="U656" s="13" t="s">
        <v>365</v>
      </c>
      <c r="V656" s="13" t="s">
        <v>53</v>
      </c>
      <c r="W656" s="13" t="s">
        <v>56</v>
      </c>
      <c r="X656" s="17">
        <f t="shared" ref="X656:X661" si="54">DATE(2023,10,21)</f>
        <v>45220</v>
      </c>
      <c r="Y656" s="3"/>
    </row>
    <row r="657" spans="1:25" ht="45" customHeight="1">
      <c r="A657" s="3">
        <v>655</v>
      </c>
      <c r="B657" s="13" t="s">
        <v>2467</v>
      </c>
      <c r="C657" s="13" t="s">
        <v>26</v>
      </c>
      <c r="D657" s="13" t="s">
        <v>2468</v>
      </c>
      <c r="E657" s="13" t="s">
        <v>28</v>
      </c>
      <c r="F657" s="13" t="s">
        <v>29</v>
      </c>
      <c r="G657" s="13" t="s">
        <v>56</v>
      </c>
      <c r="H657" s="13" t="s">
        <v>1031</v>
      </c>
      <c r="I657" s="27" t="s">
        <v>365</v>
      </c>
      <c r="J657" s="27" t="s">
        <v>1774</v>
      </c>
      <c r="K657" s="27" t="s">
        <v>34</v>
      </c>
      <c r="L657" s="27" t="s">
        <v>1291</v>
      </c>
      <c r="M657" s="27" t="s">
        <v>1775</v>
      </c>
      <c r="N657" s="17">
        <f t="shared" si="53"/>
        <v>45128</v>
      </c>
      <c r="O657" s="13" t="s">
        <v>1776</v>
      </c>
      <c r="P657" s="13" t="s">
        <v>58</v>
      </c>
      <c r="Q657" s="13" t="s">
        <v>38</v>
      </c>
      <c r="R657" s="13" t="s">
        <v>365</v>
      </c>
      <c r="S657" s="13" t="s">
        <v>58</v>
      </c>
      <c r="T657" s="28">
        <v>25.06</v>
      </c>
      <c r="U657" s="13" t="s">
        <v>28</v>
      </c>
      <c r="V657" s="13" t="s">
        <v>53</v>
      </c>
      <c r="W657" s="13" t="s">
        <v>56</v>
      </c>
      <c r="X657" s="17">
        <f t="shared" si="54"/>
        <v>45220</v>
      </c>
      <c r="Y657" s="3"/>
    </row>
    <row r="658" spans="1:25" ht="45" customHeight="1">
      <c r="A658" s="3">
        <v>656</v>
      </c>
      <c r="B658" s="13" t="s">
        <v>2469</v>
      </c>
      <c r="C658" s="13" t="s">
        <v>26</v>
      </c>
      <c r="D658" s="13" t="s">
        <v>2470</v>
      </c>
      <c r="E658" s="13" t="s">
        <v>1064</v>
      </c>
      <c r="F658" s="13" t="s">
        <v>29</v>
      </c>
      <c r="G658" s="13" t="s">
        <v>56</v>
      </c>
      <c r="H658" s="13" t="s">
        <v>1031</v>
      </c>
      <c r="I658" s="27" t="s">
        <v>365</v>
      </c>
      <c r="J658" s="27" t="s">
        <v>1774</v>
      </c>
      <c r="K658" s="27" t="s">
        <v>34</v>
      </c>
      <c r="L658" s="27" t="s">
        <v>1291</v>
      </c>
      <c r="M658" s="27" t="s">
        <v>1775</v>
      </c>
      <c r="N658" s="17">
        <f t="shared" si="53"/>
        <v>45128</v>
      </c>
      <c r="O658" s="13" t="s">
        <v>1776</v>
      </c>
      <c r="P658" s="13" t="s">
        <v>1033</v>
      </c>
      <c r="Q658" s="13" t="s">
        <v>38</v>
      </c>
      <c r="R658" s="13" t="s">
        <v>365</v>
      </c>
      <c r="S658" s="13" t="s">
        <v>58</v>
      </c>
      <c r="T658" s="28">
        <v>27.56</v>
      </c>
      <c r="U658" s="13" t="s">
        <v>365</v>
      </c>
      <c r="V658" s="13" t="s">
        <v>146</v>
      </c>
      <c r="W658" s="13" t="s">
        <v>56</v>
      </c>
      <c r="X658" s="17">
        <f t="shared" si="54"/>
        <v>45220</v>
      </c>
      <c r="Y658" s="3"/>
    </row>
    <row r="659" spans="1:25" ht="45" customHeight="1">
      <c r="A659" s="3">
        <v>657</v>
      </c>
      <c r="B659" s="13" t="s">
        <v>2471</v>
      </c>
      <c r="C659" s="13" t="s">
        <v>26</v>
      </c>
      <c r="D659" s="13" t="s">
        <v>2472</v>
      </c>
      <c r="E659" s="13" t="s">
        <v>28</v>
      </c>
      <c r="F659" s="13" t="s">
        <v>29</v>
      </c>
      <c r="G659" s="13" t="s">
        <v>48</v>
      </c>
      <c r="H659" s="13" t="s">
        <v>1031</v>
      </c>
      <c r="I659" s="27" t="s">
        <v>365</v>
      </c>
      <c r="J659" s="27" t="s">
        <v>1774</v>
      </c>
      <c r="K659" s="27" t="s">
        <v>34</v>
      </c>
      <c r="L659" s="27" t="s">
        <v>1291</v>
      </c>
      <c r="M659" s="27" t="s">
        <v>1775</v>
      </c>
      <c r="N659" s="17">
        <f t="shared" si="53"/>
        <v>45128</v>
      </c>
      <c r="O659" s="13" t="s">
        <v>1776</v>
      </c>
      <c r="P659" s="13" t="s">
        <v>50</v>
      </c>
      <c r="Q659" s="13" t="s">
        <v>38</v>
      </c>
      <c r="R659" s="13" t="s">
        <v>365</v>
      </c>
      <c r="S659" s="13" t="s">
        <v>52</v>
      </c>
      <c r="T659" s="28">
        <v>29.01</v>
      </c>
      <c r="U659" s="13" t="s">
        <v>28</v>
      </c>
      <c r="V659" s="13" t="s">
        <v>53</v>
      </c>
      <c r="W659" s="13" t="s">
        <v>48</v>
      </c>
      <c r="X659" s="17">
        <f t="shared" si="54"/>
        <v>45220</v>
      </c>
      <c r="Y659" s="3"/>
    </row>
    <row r="660" spans="1:25" ht="45" customHeight="1">
      <c r="A660" s="3">
        <v>658</v>
      </c>
      <c r="B660" s="13" t="s">
        <v>2473</v>
      </c>
      <c r="C660" s="13" t="s">
        <v>26</v>
      </c>
      <c r="D660" s="13" t="s">
        <v>2474</v>
      </c>
      <c r="E660" s="13" t="s">
        <v>28</v>
      </c>
      <c r="F660" s="13" t="s">
        <v>29</v>
      </c>
      <c r="G660" s="13" t="s">
        <v>48</v>
      </c>
      <c r="H660" s="13" t="s">
        <v>1031</v>
      </c>
      <c r="I660" s="27" t="s">
        <v>365</v>
      </c>
      <c r="J660" s="27" t="s">
        <v>1774</v>
      </c>
      <c r="K660" s="27" t="s">
        <v>34</v>
      </c>
      <c r="L660" s="27" t="s">
        <v>1291</v>
      </c>
      <c r="M660" s="27" t="s">
        <v>1775</v>
      </c>
      <c r="N660" s="17">
        <f t="shared" si="53"/>
        <v>45128</v>
      </c>
      <c r="O660" s="13" t="s">
        <v>1776</v>
      </c>
      <c r="P660" s="13" t="s">
        <v>182</v>
      </c>
      <c r="Q660" s="13" t="s">
        <v>38</v>
      </c>
      <c r="R660" s="13" t="s">
        <v>365</v>
      </c>
      <c r="S660" s="13" t="s">
        <v>52</v>
      </c>
      <c r="T660" s="28">
        <v>29.17</v>
      </c>
      <c r="U660" s="13" t="s">
        <v>28</v>
      </c>
      <c r="V660" s="13" t="s">
        <v>89</v>
      </c>
      <c r="W660" s="13" t="s">
        <v>48</v>
      </c>
      <c r="X660" s="17">
        <f t="shared" si="54"/>
        <v>45220</v>
      </c>
      <c r="Y660" s="3"/>
    </row>
    <row r="661" spans="1:25" ht="45" customHeight="1">
      <c r="A661" s="3">
        <v>659</v>
      </c>
      <c r="B661" s="13" t="s">
        <v>2475</v>
      </c>
      <c r="C661" s="13" t="s">
        <v>26</v>
      </c>
      <c r="D661" s="13" t="s">
        <v>2476</v>
      </c>
      <c r="E661" s="13" t="s">
        <v>28</v>
      </c>
      <c r="F661" s="13" t="s">
        <v>29</v>
      </c>
      <c r="G661" s="13" t="s">
        <v>48</v>
      </c>
      <c r="H661" s="13" t="s">
        <v>1031</v>
      </c>
      <c r="I661" s="27" t="s">
        <v>365</v>
      </c>
      <c r="J661" s="27" t="s">
        <v>1774</v>
      </c>
      <c r="K661" s="27" t="s">
        <v>34</v>
      </c>
      <c r="L661" s="27" t="s">
        <v>1291</v>
      </c>
      <c r="M661" s="27" t="s">
        <v>1775</v>
      </c>
      <c r="N661" s="17">
        <f t="shared" si="53"/>
        <v>45128</v>
      </c>
      <c r="O661" s="13" t="s">
        <v>1776</v>
      </c>
      <c r="P661" s="13" t="s">
        <v>52</v>
      </c>
      <c r="Q661" s="13" t="s">
        <v>38</v>
      </c>
      <c r="R661" s="13" t="s">
        <v>365</v>
      </c>
      <c r="S661" s="13" t="s">
        <v>52</v>
      </c>
      <c r="T661" s="28">
        <v>24.02</v>
      </c>
      <c r="U661" s="13" t="s">
        <v>28</v>
      </c>
      <c r="V661" s="13" t="s">
        <v>146</v>
      </c>
      <c r="W661" s="13" t="s">
        <v>48</v>
      </c>
      <c r="X661" s="17">
        <f t="shared" si="54"/>
        <v>45220</v>
      </c>
      <c r="Y661" s="3"/>
    </row>
    <row r="662" spans="1:25" ht="45" customHeight="1">
      <c r="A662" s="3">
        <v>660</v>
      </c>
      <c r="B662" s="13" t="s">
        <v>2477</v>
      </c>
      <c r="C662" s="13" t="s">
        <v>26</v>
      </c>
      <c r="D662" s="13" t="s">
        <v>2478</v>
      </c>
      <c r="E662" s="13" t="s">
        <v>1064</v>
      </c>
      <c r="F662" s="13" t="s">
        <v>29</v>
      </c>
      <c r="G662" s="13" t="s">
        <v>30</v>
      </c>
      <c r="H662" s="13" t="s">
        <v>1031</v>
      </c>
      <c r="I662" s="27" t="s">
        <v>365</v>
      </c>
      <c r="J662" s="27" t="s">
        <v>1774</v>
      </c>
      <c r="K662" s="27" t="s">
        <v>34</v>
      </c>
      <c r="L662" s="27" t="s">
        <v>1291</v>
      </c>
      <c r="M662" s="27" t="s">
        <v>1775</v>
      </c>
      <c r="N662" s="17">
        <f t="shared" si="53"/>
        <v>45128</v>
      </c>
      <c r="O662" s="13" t="s">
        <v>1776</v>
      </c>
      <c r="P662" s="13" t="s">
        <v>1781</v>
      </c>
      <c r="Q662" s="13" t="s">
        <v>38</v>
      </c>
      <c r="R662" s="13" t="s">
        <v>365</v>
      </c>
      <c r="S662" s="13" t="s">
        <v>37</v>
      </c>
      <c r="T662" s="28">
        <v>27.32</v>
      </c>
      <c r="U662" s="13" t="s">
        <v>365</v>
      </c>
      <c r="V662" s="13" t="s">
        <v>53</v>
      </c>
      <c r="W662" s="13" t="s">
        <v>30</v>
      </c>
      <c r="X662" s="17">
        <f>DATE(2023,10,6)</f>
        <v>45205</v>
      </c>
      <c r="Y662" s="3"/>
    </row>
    <row r="663" spans="1:25" ht="45" customHeight="1">
      <c r="A663" s="3">
        <v>661</v>
      </c>
      <c r="B663" s="13" t="s">
        <v>2479</v>
      </c>
      <c r="C663" s="13" t="s">
        <v>26</v>
      </c>
      <c r="D663" s="13" t="s">
        <v>2480</v>
      </c>
      <c r="E663" s="13" t="s">
        <v>1064</v>
      </c>
      <c r="F663" s="13" t="s">
        <v>29</v>
      </c>
      <c r="G663" s="13" t="s">
        <v>537</v>
      </c>
      <c r="H663" s="13" t="s">
        <v>1031</v>
      </c>
      <c r="I663" s="27" t="s">
        <v>365</v>
      </c>
      <c r="J663" s="27" t="s">
        <v>1774</v>
      </c>
      <c r="K663" s="27" t="s">
        <v>34</v>
      </c>
      <c r="L663" s="27" t="s">
        <v>1291</v>
      </c>
      <c r="M663" s="27" t="s">
        <v>1775</v>
      </c>
      <c r="N663" s="17">
        <f t="shared" si="53"/>
        <v>45128</v>
      </c>
      <c r="O663" s="13" t="s">
        <v>1776</v>
      </c>
      <c r="P663" s="13" t="s">
        <v>64</v>
      </c>
      <c r="Q663" s="13" t="s">
        <v>38</v>
      </c>
      <c r="R663" s="13" t="s">
        <v>365</v>
      </c>
      <c r="S663" s="13" t="s">
        <v>64</v>
      </c>
      <c r="T663" s="28">
        <v>32.869999999999997</v>
      </c>
      <c r="U663" s="13" t="s">
        <v>365</v>
      </c>
      <c r="V663" s="13" t="s">
        <v>146</v>
      </c>
      <c r="W663" s="13" t="s">
        <v>537</v>
      </c>
      <c r="X663" s="17">
        <f>DATE(2023,10,21)</f>
        <v>45220</v>
      </c>
      <c r="Y663" s="3"/>
    </row>
    <row r="664" spans="1:25" ht="45" customHeight="1">
      <c r="A664" s="3">
        <v>662</v>
      </c>
      <c r="B664" s="13" t="s">
        <v>2481</v>
      </c>
      <c r="C664" s="13" t="s">
        <v>26</v>
      </c>
      <c r="D664" s="13" t="s">
        <v>2482</v>
      </c>
      <c r="E664" s="13" t="s">
        <v>28</v>
      </c>
      <c r="F664" s="13" t="s">
        <v>29</v>
      </c>
      <c r="G664" s="13" t="s">
        <v>48</v>
      </c>
      <c r="H664" s="13" t="s">
        <v>1031</v>
      </c>
      <c r="I664" s="27" t="s">
        <v>365</v>
      </c>
      <c r="J664" s="27" t="s">
        <v>1774</v>
      </c>
      <c r="K664" s="27" t="s">
        <v>34</v>
      </c>
      <c r="L664" s="27" t="s">
        <v>1291</v>
      </c>
      <c r="M664" s="27" t="s">
        <v>1775</v>
      </c>
      <c r="N664" s="17">
        <f t="shared" si="53"/>
        <v>45128</v>
      </c>
      <c r="O664" s="13" t="s">
        <v>1776</v>
      </c>
      <c r="P664" s="13" t="s">
        <v>52</v>
      </c>
      <c r="Q664" s="13" t="s">
        <v>38</v>
      </c>
      <c r="R664" s="13" t="s">
        <v>365</v>
      </c>
      <c r="S664" s="13" t="s">
        <v>52</v>
      </c>
      <c r="T664" s="28">
        <v>26.82</v>
      </c>
      <c r="U664" s="13" t="s">
        <v>28</v>
      </c>
      <c r="V664" s="13" t="s">
        <v>146</v>
      </c>
      <c r="W664" s="13" t="s">
        <v>48</v>
      </c>
      <c r="X664" s="17">
        <f>DATE(2023,10,21)</f>
        <v>45220</v>
      </c>
      <c r="Y664" s="3"/>
    </row>
    <row r="665" spans="1:25" ht="45" customHeight="1">
      <c r="A665" s="3">
        <v>663</v>
      </c>
      <c r="B665" s="13" t="s">
        <v>2483</v>
      </c>
      <c r="C665" s="13" t="s">
        <v>26</v>
      </c>
      <c r="D665" s="13" t="s">
        <v>2484</v>
      </c>
      <c r="E665" s="13" t="s">
        <v>28</v>
      </c>
      <c r="F665" s="13" t="s">
        <v>29</v>
      </c>
      <c r="G665" s="13" t="s">
        <v>48</v>
      </c>
      <c r="H665" s="13" t="s">
        <v>1031</v>
      </c>
      <c r="I665" s="27" t="s">
        <v>365</v>
      </c>
      <c r="J665" s="27" t="s">
        <v>1774</v>
      </c>
      <c r="K665" s="27" t="s">
        <v>34</v>
      </c>
      <c r="L665" s="27" t="s">
        <v>1291</v>
      </c>
      <c r="M665" s="27" t="s">
        <v>1775</v>
      </c>
      <c r="N665" s="17">
        <f t="shared" si="53"/>
        <v>45128</v>
      </c>
      <c r="O665" s="13" t="s">
        <v>1776</v>
      </c>
      <c r="P665" s="13" t="s">
        <v>182</v>
      </c>
      <c r="Q665" s="13" t="s">
        <v>38</v>
      </c>
      <c r="R665" s="13" t="s">
        <v>365</v>
      </c>
      <c r="S665" s="13" t="s">
        <v>52</v>
      </c>
      <c r="T665" s="28">
        <v>22.09</v>
      </c>
      <c r="U665" s="13" t="s">
        <v>28</v>
      </c>
      <c r="V665" s="13" t="s">
        <v>89</v>
      </c>
      <c r="W665" s="13" t="s">
        <v>48</v>
      </c>
      <c r="X665" s="17">
        <f>DATE(2023,10,21)</f>
        <v>45220</v>
      </c>
      <c r="Y665" s="3"/>
    </row>
    <row r="666" spans="1:25" ht="45" customHeight="1">
      <c r="A666" s="3">
        <v>664</v>
      </c>
      <c r="B666" s="13" t="s">
        <v>2485</v>
      </c>
      <c r="C666" s="13" t="s">
        <v>26</v>
      </c>
      <c r="D666" s="13" t="s">
        <v>2486</v>
      </c>
      <c r="E666" s="13" t="s">
        <v>28</v>
      </c>
      <c r="F666" s="13" t="s">
        <v>29</v>
      </c>
      <c r="G666" s="13" t="s">
        <v>79</v>
      </c>
      <c r="H666" s="13" t="s">
        <v>1031</v>
      </c>
      <c r="I666" s="27" t="s">
        <v>365</v>
      </c>
      <c r="J666" s="27" t="s">
        <v>1774</v>
      </c>
      <c r="K666" s="27" t="s">
        <v>34</v>
      </c>
      <c r="L666" s="27" t="s">
        <v>1291</v>
      </c>
      <c r="M666" s="27" t="s">
        <v>1775</v>
      </c>
      <c r="N666" s="17">
        <f t="shared" si="53"/>
        <v>45128</v>
      </c>
      <c r="O666" s="13" t="s">
        <v>1776</v>
      </c>
      <c r="P666" s="13" t="s">
        <v>263</v>
      </c>
      <c r="Q666" s="13" t="s">
        <v>38</v>
      </c>
      <c r="R666" s="13" t="s">
        <v>365</v>
      </c>
      <c r="S666" s="13" t="s">
        <v>81</v>
      </c>
      <c r="T666" s="28">
        <v>35.81</v>
      </c>
      <c r="U666" s="13" t="s">
        <v>28</v>
      </c>
      <c r="V666" s="13" t="s">
        <v>53</v>
      </c>
      <c r="W666" s="13" t="s">
        <v>79</v>
      </c>
      <c r="X666" s="17">
        <f>DATE(2023,10,21)</f>
        <v>45220</v>
      </c>
      <c r="Y666" s="3"/>
    </row>
    <row r="667" spans="1:25" ht="45" customHeight="1">
      <c r="A667" s="3">
        <v>665</v>
      </c>
      <c r="B667" s="13" t="s">
        <v>2487</v>
      </c>
      <c r="C667" s="13" t="s">
        <v>26</v>
      </c>
      <c r="D667" s="13" t="s">
        <v>2488</v>
      </c>
      <c r="E667" s="13" t="s">
        <v>1064</v>
      </c>
      <c r="F667" s="13" t="s">
        <v>29</v>
      </c>
      <c r="G667" s="13" t="s">
        <v>85</v>
      </c>
      <c r="H667" s="13" t="s">
        <v>1031</v>
      </c>
      <c r="I667" s="27" t="s">
        <v>365</v>
      </c>
      <c r="J667" s="27" t="s">
        <v>1774</v>
      </c>
      <c r="K667" s="27" t="s">
        <v>34</v>
      </c>
      <c r="L667" s="27" t="s">
        <v>1291</v>
      </c>
      <c r="M667" s="27" t="s">
        <v>1775</v>
      </c>
      <c r="N667" s="17">
        <f t="shared" si="53"/>
        <v>45128</v>
      </c>
      <c r="O667" s="13" t="s">
        <v>1776</v>
      </c>
      <c r="P667" s="13" t="s">
        <v>87</v>
      </c>
      <c r="Q667" s="13" t="s">
        <v>38</v>
      </c>
      <c r="R667" s="13" t="s">
        <v>365</v>
      </c>
      <c r="S667" s="13" t="s">
        <v>87</v>
      </c>
      <c r="T667" s="28">
        <v>25.69</v>
      </c>
      <c r="U667" s="13" t="s">
        <v>365</v>
      </c>
      <c r="V667" s="13" t="s">
        <v>89</v>
      </c>
      <c r="W667" s="13" t="s">
        <v>85</v>
      </c>
      <c r="X667" s="17">
        <f>DATE(2023,10,21)</f>
        <v>45220</v>
      </c>
      <c r="Y667" s="3"/>
    </row>
    <row r="668" spans="1:25" ht="45" customHeight="1">
      <c r="A668" s="3">
        <v>666</v>
      </c>
      <c r="B668" s="13" t="s">
        <v>2489</v>
      </c>
      <c r="C668" s="13" t="s">
        <v>26</v>
      </c>
      <c r="D668" s="13" t="s">
        <v>2490</v>
      </c>
      <c r="E668" s="13" t="s">
        <v>28</v>
      </c>
      <c r="F668" s="13" t="s">
        <v>29</v>
      </c>
      <c r="G668" s="13" t="s">
        <v>30</v>
      </c>
      <c r="H668" s="13" t="s">
        <v>1031</v>
      </c>
      <c r="I668" s="27" t="s">
        <v>365</v>
      </c>
      <c r="J668" s="27" t="s">
        <v>1774</v>
      </c>
      <c r="K668" s="27" t="s">
        <v>34</v>
      </c>
      <c r="L668" s="27" t="s">
        <v>1291</v>
      </c>
      <c r="M668" s="27" t="s">
        <v>1775</v>
      </c>
      <c r="N668" s="17">
        <f t="shared" si="53"/>
        <v>45128</v>
      </c>
      <c r="O668" s="13" t="s">
        <v>1776</v>
      </c>
      <c r="P668" s="13" t="s">
        <v>1781</v>
      </c>
      <c r="Q668" s="13" t="s">
        <v>38</v>
      </c>
      <c r="R668" s="13" t="s">
        <v>365</v>
      </c>
      <c r="S668" s="13" t="s">
        <v>37</v>
      </c>
      <c r="T668" s="28">
        <v>26.53</v>
      </c>
      <c r="U668" s="13" t="s">
        <v>28</v>
      </c>
      <c r="V668" s="13" t="s">
        <v>53</v>
      </c>
      <c r="W668" s="13" t="s">
        <v>30</v>
      </c>
      <c r="X668" s="17">
        <f>DATE(2023,10,6)</f>
        <v>45205</v>
      </c>
      <c r="Y668" s="3"/>
    </row>
    <row r="669" spans="1:25" ht="45" customHeight="1">
      <c r="A669" s="3">
        <v>667</v>
      </c>
      <c r="B669" s="13" t="s">
        <v>2491</v>
      </c>
      <c r="C669" s="13" t="s">
        <v>26</v>
      </c>
      <c r="D669" s="13" t="s">
        <v>2492</v>
      </c>
      <c r="E669" s="13" t="s">
        <v>28</v>
      </c>
      <c r="F669" s="13" t="s">
        <v>29</v>
      </c>
      <c r="G669" s="13" t="s">
        <v>30</v>
      </c>
      <c r="H669" s="13" t="s">
        <v>1031</v>
      </c>
      <c r="I669" s="27" t="s">
        <v>365</v>
      </c>
      <c r="J669" s="27" t="s">
        <v>1774</v>
      </c>
      <c r="K669" s="27" t="s">
        <v>34</v>
      </c>
      <c r="L669" s="27" t="s">
        <v>1291</v>
      </c>
      <c r="M669" s="27" t="s">
        <v>1775</v>
      </c>
      <c r="N669" s="17">
        <f t="shared" si="53"/>
        <v>45128</v>
      </c>
      <c r="O669" s="13" t="s">
        <v>1776</v>
      </c>
      <c r="P669" s="13" t="s">
        <v>1606</v>
      </c>
      <c r="Q669" s="13" t="s">
        <v>38</v>
      </c>
      <c r="R669" s="13" t="s">
        <v>2493</v>
      </c>
      <c r="S669" s="13" t="s">
        <v>37</v>
      </c>
      <c r="T669" s="28">
        <v>23.84</v>
      </c>
      <c r="U669" s="13" t="s">
        <v>28</v>
      </c>
      <c r="V669" s="13" t="s">
        <v>89</v>
      </c>
      <c r="W669" s="13" t="s">
        <v>30</v>
      </c>
      <c r="X669" s="17">
        <f>DATE(2023,10,6)</f>
        <v>45205</v>
      </c>
      <c r="Y669" s="3"/>
    </row>
    <row r="670" spans="1:25" ht="45" customHeight="1">
      <c r="A670" s="3">
        <v>668</v>
      </c>
      <c r="B670" s="13" t="s">
        <v>2494</v>
      </c>
      <c r="C670" s="13" t="s">
        <v>26</v>
      </c>
      <c r="D670" s="13" t="s">
        <v>2495</v>
      </c>
      <c r="E670" s="13" t="s">
        <v>1064</v>
      </c>
      <c r="F670" s="13" t="s">
        <v>29</v>
      </c>
      <c r="G670" s="13" t="s">
        <v>62</v>
      </c>
      <c r="H670" s="13" t="s">
        <v>1031</v>
      </c>
      <c r="I670" s="27" t="s">
        <v>365</v>
      </c>
      <c r="J670" s="27" t="s">
        <v>1774</v>
      </c>
      <c r="K670" s="27" t="s">
        <v>34</v>
      </c>
      <c r="L670" s="27" t="s">
        <v>1291</v>
      </c>
      <c r="M670" s="27" t="s">
        <v>1775</v>
      </c>
      <c r="N670" s="17">
        <f t="shared" si="53"/>
        <v>45128</v>
      </c>
      <c r="O670" s="13" t="s">
        <v>1776</v>
      </c>
      <c r="P670" s="13" t="s">
        <v>1816</v>
      </c>
      <c r="Q670" s="13" t="s">
        <v>38</v>
      </c>
      <c r="R670" s="13" t="s">
        <v>365</v>
      </c>
      <c r="S670" s="13" t="s">
        <v>64</v>
      </c>
      <c r="T670" s="28">
        <v>35.799999999999997</v>
      </c>
      <c r="U670" s="13" t="s">
        <v>28</v>
      </c>
      <c r="V670" s="13" t="s">
        <v>89</v>
      </c>
      <c r="W670" s="13" t="s">
        <v>62</v>
      </c>
      <c r="X670" s="17">
        <f>DATE(2023,10,11)</f>
        <v>45210</v>
      </c>
      <c r="Y670" s="3"/>
    </row>
    <row r="671" spans="1:25" ht="45" customHeight="1">
      <c r="A671" s="3">
        <v>669</v>
      </c>
      <c r="B671" s="13" t="s">
        <v>2496</v>
      </c>
      <c r="C671" s="13" t="s">
        <v>26</v>
      </c>
      <c r="D671" s="13" t="s">
        <v>2497</v>
      </c>
      <c r="E671" s="13" t="s">
        <v>28</v>
      </c>
      <c r="F671" s="13" t="s">
        <v>29</v>
      </c>
      <c r="G671" s="13" t="s">
        <v>30</v>
      </c>
      <c r="H671" s="13" t="s">
        <v>1031</v>
      </c>
      <c r="I671" s="27" t="s">
        <v>365</v>
      </c>
      <c r="J671" s="27" t="s">
        <v>1774</v>
      </c>
      <c r="K671" s="27" t="s">
        <v>34</v>
      </c>
      <c r="L671" s="27" t="s">
        <v>1291</v>
      </c>
      <c r="M671" s="27" t="s">
        <v>1775</v>
      </c>
      <c r="N671" s="17">
        <f t="shared" si="53"/>
        <v>45128</v>
      </c>
      <c r="O671" s="13" t="s">
        <v>1776</v>
      </c>
      <c r="P671" s="13" t="s">
        <v>1781</v>
      </c>
      <c r="Q671" s="13" t="s">
        <v>38</v>
      </c>
      <c r="R671" s="13" t="s">
        <v>365</v>
      </c>
      <c r="S671" s="13" t="s">
        <v>37</v>
      </c>
      <c r="T671" s="28">
        <v>32.01</v>
      </c>
      <c r="U671" s="13" t="s">
        <v>28</v>
      </c>
      <c r="V671" s="13" t="s">
        <v>53</v>
      </c>
      <c r="W671" s="13" t="s">
        <v>30</v>
      </c>
      <c r="X671" s="17">
        <f>DATE(2023,10,6)</f>
        <v>45205</v>
      </c>
      <c r="Y671" s="3"/>
    </row>
    <row r="672" spans="1:25" ht="45" customHeight="1">
      <c r="A672" s="3">
        <v>670</v>
      </c>
      <c r="B672" s="13" t="s">
        <v>2498</v>
      </c>
      <c r="C672" s="13" t="s">
        <v>26</v>
      </c>
      <c r="D672" s="13" t="s">
        <v>2499</v>
      </c>
      <c r="E672" s="13" t="s">
        <v>1064</v>
      </c>
      <c r="F672" s="13" t="s">
        <v>29</v>
      </c>
      <c r="G672" s="13" t="s">
        <v>30</v>
      </c>
      <c r="H672" s="13" t="s">
        <v>1031</v>
      </c>
      <c r="I672" s="27" t="s">
        <v>365</v>
      </c>
      <c r="J672" s="27" t="s">
        <v>1774</v>
      </c>
      <c r="K672" s="27" t="s">
        <v>34</v>
      </c>
      <c r="L672" s="27" t="s">
        <v>1291</v>
      </c>
      <c r="M672" s="27" t="s">
        <v>1775</v>
      </c>
      <c r="N672" s="17">
        <f t="shared" si="53"/>
        <v>45128</v>
      </c>
      <c r="O672" s="13" t="s">
        <v>1776</v>
      </c>
      <c r="P672" s="13" t="s">
        <v>1154</v>
      </c>
      <c r="Q672" s="13" t="s">
        <v>38</v>
      </c>
      <c r="R672" s="13" t="s">
        <v>365</v>
      </c>
      <c r="S672" s="13" t="s">
        <v>37</v>
      </c>
      <c r="T672" s="28">
        <v>24.16</v>
      </c>
      <c r="U672" s="13" t="s">
        <v>365</v>
      </c>
      <c r="V672" s="13" t="s">
        <v>146</v>
      </c>
      <c r="W672" s="13" t="s">
        <v>30</v>
      </c>
      <c r="X672" s="17">
        <f>DATE(2023,10,6)</f>
        <v>45205</v>
      </c>
      <c r="Y672" s="3"/>
    </row>
    <row r="673" spans="1:25" ht="45" customHeight="1">
      <c r="A673" s="3">
        <v>671</v>
      </c>
      <c r="B673" s="13" t="s">
        <v>2500</v>
      </c>
      <c r="C673" s="13" t="s">
        <v>26</v>
      </c>
      <c r="D673" s="13" t="s">
        <v>2501</v>
      </c>
      <c r="E673" s="13" t="s">
        <v>1064</v>
      </c>
      <c r="F673" s="13" t="s">
        <v>29</v>
      </c>
      <c r="G673" s="13" t="s">
        <v>1216</v>
      </c>
      <c r="H673" s="13" t="s">
        <v>1031</v>
      </c>
      <c r="I673" s="27" t="s">
        <v>365</v>
      </c>
      <c r="J673" s="27" t="s">
        <v>1774</v>
      </c>
      <c r="K673" s="27" t="s">
        <v>34</v>
      </c>
      <c r="L673" s="27" t="s">
        <v>1291</v>
      </c>
      <c r="M673" s="27" t="s">
        <v>1775</v>
      </c>
      <c r="N673" s="17">
        <f t="shared" si="53"/>
        <v>45128</v>
      </c>
      <c r="O673" s="13" t="s">
        <v>1776</v>
      </c>
      <c r="P673" s="13" t="s">
        <v>1221</v>
      </c>
      <c r="Q673" s="13" t="s">
        <v>38</v>
      </c>
      <c r="R673" s="13" t="s">
        <v>365</v>
      </c>
      <c r="S673" s="13" t="s">
        <v>1215</v>
      </c>
      <c r="T673" s="28">
        <v>34.450000000000003</v>
      </c>
      <c r="U673" s="13" t="s">
        <v>365</v>
      </c>
      <c r="V673" s="13" t="s">
        <v>53</v>
      </c>
      <c r="W673" s="13" t="s">
        <v>1219</v>
      </c>
      <c r="X673" s="17">
        <f>DATE(2023,10,21)</f>
        <v>45220</v>
      </c>
      <c r="Y673" s="3"/>
    </row>
    <row r="674" spans="1:25" ht="45" customHeight="1">
      <c r="A674" s="3">
        <v>672</v>
      </c>
      <c r="B674" s="13" t="s">
        <v>2502</v>
      </c>
      <c r="C674" s="13" t="s">
        <v>26</v>
      </c>
      <c r="D674" s="13" t="s">
        <v>2503</v>
      </c>
      <c r="E674" s="13" t="s">
        <v>1064</v>
      </c>
      <c r="F674" s="13" t="s">
        <v>29</v>
      </c>
      <c r="G674" s="13" t="s">
        <v>62</v>
      </c>
      <c r="H674" s="13" t="s">
        <v>1031</v>
      </c>
      <c r="I674" s="27" t="s">
        <v>365</v>
      </c>
      <c r="J674" s="27" t="s">
        <v>1774</v>
      </c>
      <c r="K674" s="27" t="s">
        <v>34</v>
      </c>
      <c r="L674" s="27" t="s">
        <v>1291</v>
      </c>
      <c r="M674" s="27" t="s">
        <v>1775</v>
      </c>
      <c r="N674" s="17">
        <f t="shared" si="53"/>
        <v>45128</v>
      </c>
      <c r="O674" s="13" t="s">
        <v>1776</v>
      </c>
      <c r="P674" s="13" t="s">
        <v>1816</v>
      </c>
      <c r="Q674" s="13" t="s">
        <v>38</v>
      </c>
      <c r="R674" s="13" t="s">
        <v>365</v>
      </c>
      <c r="S674" s="13" t="s">
        <v>64</v>
      </c>
      <c r="T674" s="28">
        <v>26.04</v>
      </c>
      <c r="U674" s="13" t="s">
        <v>28</v>
      </c>
      <c r="V674" s="13" t="s">
        <v>89</v>
      </c>
      <c r="W674" s="13" t="s">
        <v>62</v>
      </c>
      <c r="X674" s="17">
        <f>DATE(2023,10,11)</f>
        <v>45210</v>
      </c>
      <c r="Y674" s="3"/>
    </row>
    <row r="675" spans="1:25" ht="45" customHeight="1">
      <c r="A675" s="3">
        <v>673</v>
      </c>
      <c r="B675" s="13" t="s">
        <v>2504</v>
      </c>
      <c r="C675" s="13" t="s">
        <v>26</v>
      </c>
      <c r="D675" s="13" t="s">
        <v>2505</v>
      </c>
      <c r="E675" s="13" t="s">
        <v>1064</v>
      </c>
      <c r="F675" s="13" t="s">
        <v>29</v>
      </c>
      <c r="G675" s="13" t="s">
        <v>72</v>
      </c>
      <c r="H675" s="13" t="s">
        <v>1031</v>
      </c>
      <c r="I675" s="27" t="s">
        <v>365</v>
      </c>
      <c r="J675" s="27" t="s">
        <v>1774</v>
      </c>
      <c r="K675" s="27" t="s">
        <v>34</v>
      </c>
      <c r="L675" s="27" t="s">
        <v>1291</v>
      </c>
      <c r="M675" s="27" t="s">
        <v>1775</v>
      </c>
      <c r="N675" s="17">
        <f t="shared" si="53"/>
        <v>45128</v>
      </c>
      <c r="O675" s="13" t="s">
        <v>1776</v>
      </c>
      <c r="P675" s="13" t="s">
        <v>1100</v>
      </c>
      <c r="Q675" s="13" t="s">
        <v>38</v>
      </c>
      <c r="R675" s="13" t="s">
        <v>365</v>
      </c>
      <c r="S675" s="13" t="s">
        <v>74</v>
      </c>
      <c r="T675" s="28">
        <v>37.700000000000003</v>
      </c>
      <c r="U675" s="13" t="s">
        <v>365</v>
      </c>
      <c r="V675" s="13" t="s">
        <v>89</v>
      </c>
      <c r="W675" s="13" t="s">
        <v>72</v>
      </c>
      <c r="X675" s="17">
        <f>DATE(2023,10,21)</f>
        <v>45220</v>
      </c>
      <c r="Y675" s="3"/>
    </row>
    <row r="676" spans="1:25" ht="45" customHeight="1">
      <c r="A676" s="3">
        <v>674</v>
      </c>
      <c r="B676" s="13" t="s">
        <v>2506</v>
      </c>
      <c r="C676" s="13" t="s">
        <v>26</v>
      </c>
      <c r="D676" s="13" t="s">
        <v>2507</v>
      </c>
      <c r="E676" s="13" t="s">
        <v>28</v>
      </c>
      <c r="F676" s="13" t="s">
        <v>29</v>
      </c>
      <c r="G676" s="13" t="s">
        <v>79</v>
      </c>
      <c r="H676" s="13" t="s">
        <v>1031</v>
      </c>
      <c r="I676" s="27" t="s">
        <v>365</v>
      </c>
      <c r="J676" s="27" t="s">
        <v>1774</v>
      </c>
      <c r="K676" s="27" t="s">
        <v>34</v>
      </c>
      <c r="L676" s="27" t="s">
        <v>1291</v>
      </c>
      <c r="M676" s="27" t="s">
        <v>1775</v>
      </c>
      <c r="N676" s="17">
        <f t="shared" si="53"/>
        <v>45128</v>
      </c>
      <c r="O676" s="13" t="s">
        <v>1776</v>
      </c>
      <c r="P676" s="13" t="s">
        <v>263</v>
      </c>
      <c r="Q676" s="13" t="s">
        <v>38</v>
      </c>
      <c r="R676" s="13" t="s">
        <v>365</v>
      </c>
      <c r="S676" s="13" t="s">
        <v>81</v>
      </c>
      <c r="T676" s="28">
        <v>29.06</v>
      </c>
      <c r="U676" s="13" t="s">
        <v>28</v>
      </c>
      <c r="V676" s="13" t="s">
        <v>53</v>
      </c>
      <c r="W676" s="13" t="s">
        <v>79</v>
      </c>
      <c r="X676" s="17">
        <f>DATE(2023,10,21)</f>
        <v>45220</v>
      </c>
      <c r="Y676" s="3"/>
    </row>
    <row r="677" spans="1:25" ht="45" customHeight="1">
      <c r="A677" s="3">
        <v>675</v>
      </c>
      <c r="B677" s="13" t="s">
        <v>2508</v>
      </c>
      <c r="C677" s="13" t="s">
        <v>26</v>
      </c>
      <c r="D677" s="13" t="s">
        <v>2509</v>
      </c>
      <c r="E677" s="13" t="s">
        <v>28</v>
      </c>
      <c r="F677" s="13" t="s">
        <v>29</v>
      </c>
      <c r="G677" s="13" t="s">
        <v>30</v>
      </c>
      <c r="H677" s="13" t="s">
        <v>1031</v>
      </c>
      <c r="I677" s="27" t="s">
        <v>365</v>
      </c>
      <c r="J677" s="27" t="s">
        <v>1774</v>
      </c>
      <c r="K677" s="27" t="s">
        <v>34</v>
      </c>
      <c r="L677" s="27" t="s">
        <v>1291</v>
      </c>
      <c r="M677" s="27" t="s">
        <v>1775</v>
      </c>
      <c r="N677" s="17">
        <f t="shared" si="53"/>
        <v>45128</v>
      </c>
      <c r="O677" s="13" t="s">
        <v>1776</v>
      </c>
      <c r="P677" s="13" t="s">
        <v>1606</v>
      </c>
      <c r="Q677" s="13" t="s">
        <v>38</v>
      </c>
      <c r="R677" s="13" t="s">
        <v>365</v>
      </c>
      <c r="S677" s="13" t="s">
        <v>37</v>
      </c>
      <c r="T677" s="28">
        <v>29.76</v>
      </c>
      <c r="U677" s="13" t="s">
        <v>28</v>
      </c>
      <c r="V677" s="13" t="s">
        <v>89</v>
      </c>
      <c r="W677" s="13" t="s">
        <v>30</v>
      </c>
      <c r="X677" s="17">
        <f>DATE(2023,10,6)</f>
        <v>45205</v>
      </c>
      <c r="Y677" s="3"/>
    </row>
    <row r="678" spans="1:25" ht="45" customHeight="1">
      <c r="A678" s="3">
        <v>676</v>
      </c>
      <c r="B678" s="13" t="s">
        <v>2510</v>
      </c>
      <c r="C678" s="13" t="s">
        <v>26</v>
      </c>
      <c r="D678" s="13" t="s">
        <v>2511</v>
      </c>
      <c r="E678" s="13" t="s">
        <v>28</v>
      </c>
      <c r="F678" s="13" t="s">
        <v>29</v>
      </c>
      <c r="G678" s="13" t="s">
        <v>30</v>
      </c>
      <c r="H678" s="13" t="s">
        <v>1031</v>
      </c>
      <c r="I678" s="27" t="s">
        <v>365</v>
      </c>
      <c r="J678" s="27" t="s">
        <v>1774</v>
      </c>
      <c r="K678" s="27" t="s">
        <v>34</v>
      </c>
      <c r="L678" s="27" t="s">
        <v>1291</v>
      </c>
      <c r="M678" s="27" t="s">
        <v>1775</v>
      </c>
      <c r="N678" s="17">
        <f t="shared" si="53"/>
        <v>45128</v>
      </c>
      <c r="O678" s="13" t="s">
        <v>1776</v>
      </c>
      <c r="P678" s="13" t="s">
        <v>1154</v>
      </c>
      <c r="Q678" s="13" t="s">
        <v>38</v>
      </c>
      <c r="R678" s="13" t="s">
        <v>365</v>
      </c>
      <c r="S678" s="13" t="s">
        <v>37</v>
      </c>
      <c r="T678" s="28">
        <v>27.91</v>
      </c>
      <c r="U678" s="13" t="s">
        <v>28</v>
      </c>
      <c r="V678" s="13" t="s">
        <v>146</v>
      </c>
      <c r="W678" s="13" t="s">
        <v>30</v>
      </c>
      <c r="X678" s="17">
        <f>DATE(2023,10,6)</f>
        <v>45205</v>
      </c>
      <c r="Y678" s="3"/>
    </row>
    <row r="679" spans="1:25" ht="45" customHeight="1">
      <c r="A679" s="3">
        <v>677</v>
      </c>
      <c r="B679" s="13" t="s">
        <v>2512</v>
      </c>
      <c r="C679" s="13" t="s">
        <v>26</v>
      </c>
      <c r="D679" s="13" t="s">
        <v>2513</v>
      </c>
      <c r="E679" s="13" t="s">
        <v>1064</v>
      </c>
      <c r="F679" s="13" t="s">
        <v>29</v>
      </c>
      <c r="G679" s="13" t="s">
        <v>85</v>
      </c>
      <c r="H679" s="13" t="s">
        <v>1031</v>
      </c>
      <c r="I679" s="27" t="s">
        <v>365</v>
      </c>
      <c r="J679" s="27" t="s">
        <v>1774</v>
      </c>
      <c r="K679" s="27" t="s">
        <v>34</v>
      </c>
      <c r="L679" s="27" t="s">
        <v>1291</v>
      </c>
      <c r="M679" s="27" t="s">
        <v>1775</v>
      </c>
      <c r="N679" s="17">
        <f t="shared" si="53"/>
        <v>45128</v>
      </c>
      <c r="O679" s="13" t="s">
        <v>1776</v>
      </c>
      <c r="P679" s="13" t="s">
        <v>230</v>
      </c>
      <c r="Q679" s="13" t="s">
        <v>38</v>
      </c>
      <c r="R679" s="13" t="s">
        <v>365</v>
      </c>
      <c r="S679" s="13" t="s">
        <v>87</v>
      </c>
      <c r="T679" s="28">
        <v>29.62</v>
      </c>
      <c r="U679" s="13" t="s">
        <v>365</v>
      </c>
      <c r="V679" s="13" t="s">
        <v>146</v>
      </c>
      <c r="W679" s="13" t="s">
        <v>85</v>
      </c>
      <c r="X679" s="17">
        <f>DATE(2023,10,21)</f>
        <v>45220</v>
      </c>
      <c r="Y679" s="3"/>
    </row>
    <row r="680" spans="1:25" ht="45" customHeight="1">
      <c r="A680" s="3">
        <v>678</v>
      </c>
      <c r="B680" s="13" t="s">
        <v>2514</v>
      </c>
      <c r="C680" s="13" t="s">
        <v>26</v>
      </c>
      <c r="D680" s="13" t="s">
        <v>2515</v>
      </c>
      <c r="E680" s="13" t="s">
        <v>1064</v>
      </c>
      <c r="F680" s="13" t="s">
        <v>29</v>
      </c>
      <c r="G680" s="13" t="s">
        <v>30</v>
      </c>
      <c r="H680" s="13" t="s">
        <v>1031</v>
      </c>
      <c r="I680" s="27" t="s">
        <v>365</v>
      </c>
      <c r="J680" s="27" t="s">
        <v>1774</v>
      </c>
      <c r="K680" s="27" t="s">
        <v>34</v>
      </c>
      <c r="L680" s="27" t="s">
        <v>1291</v>
      </c>
      <c r="M680" s="27" t="s">
        <v>1775</v>
      </c>
      <c r="N680" s="17">
        <f t="shared" si="53"/>
        <v>45128</v>
      </c>
      <c r="O680" s="13" t="s">
        <v>1776</v>
      </c>
      <c r="P680" s="13" t="s">
        <v>1154</v>
      </c>
      <c r="Q680" s="13" t="s">
        <v>38</v>
      </c>
      <c r="R680" s="13" t="s">
        <v>365</v>
      </c>
      <c r="S680" s="13" t="s">
        <v>37</v>
      </c>
      <c r="T680" s="28">
        <v>27.62</v>
      </c>
      <c r="U680" s="13" t="s">
        <v>365</v>
      </c>
      <c r="V680" s="13" t="s">
        <v>146</v>
      </c>
      <c r="W680" s="13" t="s">
        <v>30</v>
      </c>
      <c r="X680" s="17">
        <f>DATE(2023,10,6)</f>
        <v>45205</v>
      </c>
      <c r="Y680" s="3"/>
    </row>
    <row r="681" spans="1:25" ht="45" customHeight="1">
      <c r="A681" s="3">
        <v>679</v>
      </c>
      <c r="B681" s="13" t="s">
        <v>2516</v>
      </c>
      <c r="C681" s="13" t="s">
        <v>26</v>
      </c>
      <c r="D681" s="13" t="s">
        <v>2517</v>
      </c>
      <c r="E681" s="13" t="s">
        <v>1064</v>
      </c>
      <c r="F681" s="13" t="s">
        <v>29</v>
      </c>
      <c r="G681" s="13" t="s">
        <v>85</v>
      </c>
      <c r="H681" s="13" t="s">
        <v>1031</v>
      </c>
      <c r="I681" s="27" t="s">
        <v>365</v>
      </c>
      <c r="J681" s="27" t="s">
        <v>1774</v>
      </c>
      <c r="K681" s="27" t="s">
        <v>34</v>
      </c>
      <c r="L681" s="27" t="s">
        <v>1291</v>
      </c>
      <c r="M681" s="27" t="s">
        <v>1775</v>
      </c>
      <c r="N681" s="17">
        <f t="shared" si="53"/>
        <v>45128</v>
      </c>
      <c r="O681" s="13" t="s">
        <v>1776</v>
      </c>
      <c r="P681" s="13" t="s">
        <v>230</v>
      </c>
      <c r="Q681" s="13" t="s">
        <v>38</v>
      </c>
      <c r="R681" s="13" t="s">
        <v>365</v>
      </c>
      <c r="S681" s="13" t="s">
        <v>87</v>
      </c>
      <c r="T681" s="28">
        <v>35.979999999999997</v>
      </c>
      <c r="U681" s="13" t="s">
        <v>365</v>
      </c>
      <c r="V681" s="13" t="s">
        <v>146</v>
      </c>
      <c r="W681" s="13" t="s">
        <v>85</v>
      </c>
      <c r="X681" s="17">
        <f t="shared" ref="X681:X702" si="55">DATE(2023,10,21)</f>
        <v>45220</v>
      </c>
      <c r="Y681" s="3"/>
    </row>
    <row r="682" spans="1:25" ht="45" customHeight="1">
      <c r="A682" s="3">
        <v>680</v>
      </c>
      <c r="B682" s="13" t="s">
        <v>2518</v>
      </c>
      <c r="C682" s="13" t="s">
        <v>26</v>
      </c>
      <c r="D682" s="13" t="s">
        <v>2519</v>
      </c>
      <c r="E682" s="13" t="s">
        <v>1064</v>
      </c>
      <c r="F682" s="13" t="s">
        <v>29</v>
      </c>
      <c r="G682" s="13" t="s">
        <v>72</v>
      </c>
      <c r="H682" s="13" t="s">
        <v>1031</v>
      </c>
      <c r="I682" s="27" t="s">
        <v>365</v>
      </c>
      <c r="J682" s="27" t="s">
        <v>1774</v>
      </c>
      <c r="K682" s="27" t="s">
        <v>34</v>
      </c>
      <c r="L682" s="27" t="s">
        <v>1291</v>
      </c>
      <c r="M682" s="27" t="s">
        <v>1775</v>
      </c>
      <c r="N682" s="17">
        <f t="shared" si="53"/>
        <v>45128</v>
      </c>
      <c r="O682" s="13" t="s">
        <v>1776</v>
      </c>
      <c r="P682" s="13" t="s">
        <v>1149</v>
      </c>
      <c r="Q682" s="13" t="s">
        <v>38</v>
      </c>
      <c r="R682" s="13" t="s">
        <v>365</v>
      </c>
      <c r="S682" s="13" t="s">
        <v>74</v>
      </c>
      <c r="T682" s="28">
        <v>24.45</v>
      </c>
      <c r="U682" s="13" t="s">
        <v>365</v>
      </c>
      <c r="V682" s="13" t="s">
        <v>146</v>
      </c>
      <c r="W682" s="13" t="s">
        <v>72</v>
      </c>
      <c r="X682" s="17">
        <f t="shared" si="55"/>
        <v>45220</v>
      </c>
      <c r="Y682" s="3"/>
    </row>
    <row r="683" spans="1:25" ht="45" customHeight="1">
      <c r="A683" s="3">
        <v>681</v>
      </c>
      <c r="B683" s="13" t="s">
        <v>2520</v>
      </c>
      <c r="C683" s="13" t="s">
        <v>26</v>
      </c>
      <c r="D683" s="13" t="s">
        <v>2521</v>
      </c>
      <c r="E683" s="13" t="s">
        <v>28</v>
      </c>
      <c r="F683" s="13" t="s">
        <v>29</v>
      </c>
      <c r="G683" s="13" t="s">
        <v>1216</v>
      </c>
      <c r="H683" s="13" t="s">
        <v>31</v>
      </c>
      <c r="I683" s="27" t="s">
        <v>365</v>
      </c>
      <c r="J683" s="27" t="s">
        <v>1774</v>
      </c>
      <c r="K683" s="27" t="s">
        <v>34</v>
      </c>
      <c r="L683" s="27" t="s">
        <v>1291</v>
      </c>
      <c r="M683" s="27" t="s">
        <v>1775</v>
      </c>
      <c r="N683" s="17">
        <f t="shared" si="53"/>
        <v>45128</v>
      </c>
      <c r="O683" s="13" t="s">
        <v>1776</v>
      </c>
      <c r="P683" s="13" t="s">
        <v>1231</v>
      </c>
      <c r="Q683" s="13" t="s">
        <v>38</v>
      </c>
      <c r="R683" s="13" t="s">
        <v>365</v>
      </c>
      <c r="S683" s="13" t="s">
        <v>1215</v>
      </c>
      <c r="T683" s="28">
        <v>34.46</v>
      </c>
      <c r="U683" s="13" t="s">
        <v>28</v>
      </c>
      <c r="V683" s="13" t="s">
        <v>89</v>
      </c>
      <c r="W683" s="13" t="s">
        <v>1219</v>
      </c>
      <c r="X683" s="17">
        <f t="shared" si="55"/>
        <v>45220</v>
      </c>
      <c r="Y683" s="3"/>
    </row>
    <row r="684" spans="1:25" ht="45" customHeight="1">
      <c r="A684" s="3">
        <v>682</v>
      </c>
      <c r="B684" s="13" t="s">
        <v>2522</v>
      </c>
      <c r="C684" s="13" t="s">
        <v>26</v>
      </c>
      <c r="D684" s="13" t="s">
        <v>2523</v>
      </c>
      <c r="E684" s="13" t="s">
        <v>1064</v>
      </c>
      <c r="F684" s="13" t="s">
        <v>29</v>
      </c>
      <c r="G684" s="13" t="s">
        <v>72</v>
      </c>
      <c r="H684" s="13" t="s">
        <v>1031</v>
      </c>
      <c r="I684" s="27" t="s">
        <v>365</v>
      </c>
      <c r="J684" s="27" t="s">
        <v>1774</v>
      </c>
      <c r="K684" s="27" t="s">
        <v>34</v>
      </c>
      <c r="L684" s="27" t="s">
        <v>1291</v>
      </c>
      <c r="M684" s="27" t="s">
        <v>1775</v>
      </c>
      <c r="N684" s="17">
        <f t="shared" si="53"/>
        <v>45128</v>
      </c>
      <c r="O684" s="13" t="s">
        <v>1776</v>
      </c>
      <c r="P684" s="13" t="s">
        <v>1100</v>
      </c>
      <c r="Q684" s="13" t="s">
        <v>38</v>
      </c>
      <c r="R684" s="13" t="s">
        <v>365</v>
      </c>
      <c r="S684" s="13" t="s">
        <v>74</v>
      </c>
      <c r="T684" s="28">
        <v>26.45</v>
      </c>
      <c r="U684" s="13" t="s">
        <v>365</v>
      </c>
      <c r="V684" s="13" t="s">
        <v>89</v>
      </c>
      <c r="W684" s="13" t="s">
        <v>72</v>
      </c>
      <c r="X684" s="17">
        <f t="shared" si="55"/>
        <v>45220</v>
      </c>
      <c r="Y684" s="3"/>
    </row>
    <row r="685" spans="1:25" ht="45" customHeight="1">
      <c r="A685" s="3">
        <v>683</v>
      </c>
      <c r="B685" s="13" t="s">
        <v>2524</v>
      </c>
      <c r="C685" s="13" t="s">
        <v>26</v>
      </c>
      <c r="D685" s="13" t="s">
        <v>2525</v>
      </c>
      <c r="E685" s="13" t="s">
        <v>1064</v>
      </c>
      <c r="F685" s="13" t="s">
        <v>29</v>
      </c>
      <c r="G685" s="13" t="s">
        <v>85</v>
      </c>
      <c r="H685" s="13" t="s">
        <v>1031</v>
      </c>
      <c r="I685" s="27" t="s">
        <v>365</v>
      </c>
      <c r="J685" s="27" t="s">
        <v>1774</v>
      </c>
      <c r="K685" s="27" t="s">
        <v>34</v>
      </c>
      <c r="L685" s="27" t="s">
        <v>1291</v>
      </c>
      <c r="M685" s="27" t="s">
        <v>1775</v>
      </c>
      <c r="N685" s="17">
        <f t="shared" si="53"/>
        <v>45128</v>
      </c>
      <c r="O685" s="13" t="s">
        <v>1776</v>
      </c>
      <c r="P685" s="13" t="s">
        <v>230</v>
      </c>
      <c r="Q685" s="13" t="s">
        <v>38</v>
      </c>
      <c r="R685" s="13" t="s">
        <v>365</v>
      </c>
      <c r="S685" s="13" t="s">
        <v>87</v>
      </c>
      <c r="T685" s="28">
        <v>23.83</v>
      </c>
      <c r="U685" s="13" t="s">
        <v>365</v>
      </c>
      <c r="V685" s="13" t="s">
        <v>146</v>
      </c>
      <c r="W685" s="13" t="s">
        <v>85</v>
      </c>
      <c r="X685" s="17">
        <f t="shared" si="55"/>
        <v>45220</v>
      </c>
      <c r="Y685" s="3"/>
    </row>
    <row r="686" spans="1:25" ht="45" customHeight="1">
      <c r="A686" s="3">
        <v>684</v>
      </c>
      <c r="B686" s="13" t="s">
        <v>2526</v>
      </c>
      <c r="C686" s="13" t="s">
        <v>26</v>
      </c>
      <c r="D686" s="13" t="s">
        <v>2527</v>
      </c>
      <c r="E686" s="13" t="s">
        <v>1064</v>
      </c>
      <c r="F686" s="13" t="s">
        <v>29</v>
      </c>
      <c r="G686" s="13" t="s">
        <v>72</v>
      </c>
      <c r="H686" s="13" t="s">
        <v>1031</v>
      </c>
      <c r="I686" s="27" t="s">
        <v>365</v>
      </c>
      <c r="J686" s="27" t="s">
        <v>1774</v>
      </c>
      <c r="K686" s="27" t="s">
        <v>34</v>
      </c>
      <c r="L686" s="27" t="s">
        <v>1291</v>
      </c>
      <c r="M686" s="27" t="s">
        <v>1775</v>
      </c>
      <c r="N686" s="17">
        <f t="shared" si="53"/>
        <v>45128</v>
      </c>
      <c r="O686" s="13" t="s">
        <v>1776</v>
      </c>
      <c r="P686" s="13" t="s">
        <v>1149</v>
      </c>
      <c r="Q686" s="13" t="s">
        <v>38</v>
      </c>
      <c r="R686" s="13" t="s">
        <v>365</v>
      </c>
      <c r="S686" s="13" t="s">
        <v>74</v>
      </c>
      <c r="T686" s="28">
        <v>27.28</v>
      </c>
      <c r="U686" s="13" t="s">
        <v>365</v>
      </c>
      <c r="V686" s="13" t="s">
        <v>146</v>
      </c>
      <c r="W686" s="13" t="s">
        <v>72</v>
      </c>
      <c r="X686" s="17">
        <f t="shared" si="55"/>
        <v>45220</v>
      </c>
      <c r="Y686" s="3"/>
    </row>
    <row r="687" spans="1:25" ht="45" customHeight="1">
      <c r="A687" s="3">
        <v>685</v>
      </c>
      <c r="B687" s="13" t="s">
        <v>2528</v>
      </c>
      <c r="C687" s="13" t="s">
        <v>26</v>
      </c>
      <c r="D687" s="13" t="s">
        <v>2529</v>
      </c>
      <c r="E687" s="13" t="s">
        <v>1064</v>
      </c>
      <c r="F687" s="13" t="s">
        <v>29</v>
      </c>
      <c r="G687" s="13" t="s">
        <v>72</v>
      </c>
      <c r="H687" s="13" t="s">
        <v>1031</v>
      </c>
      <c r="I687" s="27" t="s">
        <v>365</v>
      </c>
      <c r="J687" s="27" t="s">
        <v>1774</v>
      </c>
      <c r="K687" s="27" t="s">
        <v>34</v>
      </c>
      <c r="L687" s="27" t="s">
        <v>1291</v>
      </c>
      <c r="M687" s="27" t="s">
        <v>1775</v>
      </c>
      <c r="N687" s="17">
        <f t="shared" si="53"/>
        <v>45128</v>
      </c>
      <c r="O687" s="13" t="s">
        <v>1776</v>
      </c>
      <c r="P687" s="13" t="s">
        <v>1144</v>
      </c>
      <c r="Q687" s="13" t="s">
        <v>38</v>
      </c>
      <c r="R687" s="13" t="s">
        <v>365</v>
      </c>
      <c r="S687" s="13" t="s">
        <v>74</v>
      </c>
      <c r="T687" s="28">
        <v>26.31</v>
      </c>
      <c r="U687" s="13" t="s">
        <v>365</v>
      </c>
      <c r="V687" s="13" t="s">
        <v>53</v>
      </c>
      <c r="W687" s="13" t="s">
        <v>72</v>
      </c>
      <c r="X687" s="17">
        <f t="shared" si="55"/>
        <v>45220</v>
      </c>
      <c r="Y687" s="3"/>
    </row>
    <row r="688" spans="1:25" ht="45" customHeight="1">
      <c r="A688" s="3">
        <v>686</v>
      </c>
      <c r="B688" s="13" t="s">
        <v>2530</v>
      </c>
      <c r="C688" s="13" t="s">
        <v>26</v>
      </c>
      <c r="D688" s="13" t="s">
        <v>2531</v>
      </c>
      <c r="E688" s="13" t="s">
        <v>1064</v>
      </c>
      <c r="F688" s="13" t="s">
        <v>29</v>
      </c>
      <c r="G688" s="13" t="s">
        <v>85</v>
      </c>
      <c r="H688" s="13" t="s">
        <v>1031</v>
      </c>
      <c r="I688" s="27" t="s">
        <v>365</v>
      </c>
      <c r="J688" s="27" t="s">
        <v>1774</v>
      </c>
      <c r="K688" s="27" t="s">
        <v>34</v>
      </c>
      <c r="L688" s="27" t="s">
        <v>1291</v>
      </c>
      <c r="M688" s="27" t="s">
        <v>1775</v>
      </c>
      <c r="N688" s="17">
        <f t="shared" si="53"/>
        <v>45128</v>
      </c>
      <c r="O688" s="13" t="s">
        <v>1776</v>
      </c>
      <c r="P688" s="13" t="s">
        <v>87</v>
      </c>
      <c r="Q688" s="13" t="s">
        <v>38</v>
      </c>
      <c r="R688" s="13" t="s">
        <v>365</v>
      </c>
      <c r="S688" s="13" t="s">
        <v>87</v>
      </c>
      <c r="T688" s="28">
        <v>26.71</v>
      </c>
      <c r="U688" s="13" t="s">
        <v>365</v>
      </c>
      <c r="V688" s="13" t="s">
        <v>89</v>
      </c>
      <c r="W688" s="13" t="s">
        <v>85</v>
      </c>
      <c r="X688" s="17">
        <f t="shared" si="55"/>
        <v>45220</v>
      </c>
      <c r="Y688" s="3"/>
    </row>
    <row r="689" spans="1:25" ht="45" customHeight="1">
      <c r="A689" s="3">
        <v>687</v>
      </c>
      <c r="B689" s="13" t="s">
        <v>2532</v>
      </c>
      <c r="C689" s="13" t="s">
        <v>26</v>
      </c>
      <c r="D689" s="13" t="s">
        <v>2533</v>
      </c>
      <c r="E689" s="13" t="s">
        <v>28</v>
      </c>
      <c r="F689" s="13" t="s">
        <v>29</v>
      </c>
      <c r="G689" s="13" t="s">
        <v>72</v>
      </c>
      <c r="H689" s="13" t="s">
        <v>1031</v>
      </c>
      <c r="I689" s="27" t="s">
        <v>365</v>
      </c>
      <c r="J689" s="27" t="s">
        <v>1774</v>
      </c>
      <c r="K689" s="27" t="s">
        <v>34</v>
      </c>
      <c r="L689" s="27" t="s">
        <v>1291</v>
      </c>
      <c r="M689" s="27" t="s">
        <v>1775</v>
      </c>
      <c r="N689" s="17">
        <f t="shared" si="53"/>
        <v>45128</v>
      </c>
      <c r="O689" s="13" t="s">
        <v>1776</v>
      </c>
      <c r="P689" s="13" t="s">
        <v>1144</v>
      </c>
      <c r="Q689" s="13" t="s">
        <v>38</v>
      </c>
      <c r="R689" s="13" t="s">
        <v>365</v>
      </c>
      <c r="S689" s="13" t="s">
        <v>74</v>
      </c>
      <c r="T689" s="28">
        <v>30.93</v>
      </c>
      <c r="U689" s="13" t="s">
        <v>28</v>
      </c>
      <c r="V689" s="13" t="s">
        <v>53</v>
      </c>
      <c r="W689" s="13" t="s">
        <v>72</v>
      </c>
      <c r="X689" s="17">
        <f t="shared" si="55"/>
        <v>45220</v>
      </c>
      <c r="Y689" s="3"/>
    </row>
    <row r="690" spans="1:25" ht="45" customHeight="1">
      <c r="A690" s="3">
        <v>688</v>
      </c>
      <c r="B690" s="13" t="s">
        <v>2534</v>
      </c>
      <c r="C690" s="13" t="s">
        <v>26</v>
      </c>
      <c r="D690" s="13" t="s">
        <v>2535</v>
      </c>
      <c r="E690" s="13" t="s">
        <v>28</v>
      </c>
      <c r="F690" s="13" t="s">
        <v>29</v>
      </c>
      <c r="G690" s="13" t="s">
        <v>85</v>
      </c>
      <c r="H690" s="13" t="s">
        <v>1031</v>
      </c>
      <c r="I690" s="27" t="s">
        <v>365</v>
      </c>
      <c r="J690" s="27" t="s">
        <v>1774</v>
      </c>
      <c r="K690" s="27" t="s">
        <v>34</v>
      </c>
      <c r="L690" s="27" t="s">
        <v>1291</v>
      </c>
      <c r="M690" s="27" t="s">
        <v>1775</v>
      </c>
      <c r="N690" s="17">
        <f t="shared" si="53"/>
        <v>45128</v>
      </c>
      <c r="O690" s="13" t="s">
        <v>1776</v>
      </c>
      <c r="P690" s="13" t="s">
        <v>230</v>
      </c>
      <c r="Q690" s="13" t="s">
        <v>38</v>
      </c>
      <c r="R690" s="13" t="s">
        <v>365</v>
      </c>
      <c r="S690" s="13" t="s">
        <v>87</v>
      </c>
      <c r="T690" s="28">
        <v>36.07</v>
      </c>
      <c r="U690" s="13" t="s">
        <v>28</v>
      </c>
      <c r="V690" s="13" t="s">
        <v>146</v>
      </c>
      <c r="W690" s="13" t="s">
        <v>85</v>
      </c>
      <c r="X690" s="17">
        <f t="shared" si="55"/>
        <v>45220</v>
      </c>
      <c r="Y690" s="3"/>
    </row>
    <row r="691" spans="1:25" ht="45" customHeight="1">
      <c r="A691" s="3">
        <v>689</v>
      </c>
      <c r="B691" s="13" t="s">
        <v>2536</v>
      </c>
      <c r="C691" s="13" t="s">
        <v>26</v>
      </c>
      <c r="D691" s="13" t="s">
        <v>2537</v>
      </c>
      <c r="E691" s="13" t="s">
        <v>28</v>
      </c>
      <c r="F691" s="13" t="s">
        <v>29</v>
      </c>
      <c r="G691" s="13" t="s">
        <v>79</v>
      </c>
      <c r="H691" s="13" t="s">
        <v>1031</v>
      </c>
      <c r="I691" s="27" t="s">
        <v>365</v>
      </c>
      <c r="J691" s="27" t="s">
        <v>1774</v>
      </c>
      <c r="K691" s="27" t="s">
        <v>34</v>
      </c>
      <c r="L691" s="27" t="s">
        <v>1291</v>
      </c>
      <c r="M691" s="27" t="s">
        <v>1775</v>
      </c>
      <c r="N691" s="17">
        <f t="shared" si="53"/>
        <v>45128</v>
      </c>
      <c r="O691" s="13" t="s">
        <v>1776</v>
      </c>
      <c r="P691" s="13" t="s">
        <v>263</v>
      </c>
      <c r="Q691" s="13" t="s">
        <v>38</v>
      </c>
      <c r="R691" s="13" t="s">
        <v>365</v>
      </c>
      <c r="S691" s="13" t="s">
        <v>81</v>
      </c>
      <c r="T691" s="28">
        <v>29.47</v>
      </c>
      <c r="U691" s="13" t="s">
        <v>28</v>
      </c>
      <c r="V691" s="13" t="s">
        <v>53</v>
      </c>
      <c r="W691" s="13" t="s">
        <v>79</v>
      </c>
      <c r="X691" s="17">
        <f t="shared" si="55"/>
        <v>45220</v>
      </c>
      <c r="Y691" s="3"/>
    </row>
    <row r="692" spans="1:25" ht="45" customHeight="1">
      <c r="A692" s="3">
        <v>690</v>
      </c>
      <c r="B692" s="13" t="s">
        <v>2538</v>
      </c>
      <c r="C692" s="13" t="s">
        <v>26</v>
      </c>
      <c r="D692" s="13" t="s">
        <v>2539</v>
      </c>
      <c r="E692" s="13" t="s">
        <v>28</v>
      </c>
      <c r="F692" s="13" t="s">
        <v>29</v>
      </c>
      <c r="G692" s="13" t="s">
        <v>79</v>
      </c>
      <c r="H692" s="13" t="s">
        <v>1031</v>
      </c>
      <c r="I692" s="27" t="s">
        <v>365</v>
      </c>
      <c r="J692" s="27" t="s">
        <v>1774</v>
      </c>
      <c r="K692" s="27" t="s">
        <v>34</v>
      </c>
      <c r="L692" s="27" t="s">
        <v>1291</v>
      </c>
      <c r="M692" s="27" t="s">
        <v>1775</v>
      </c>
      <c r="N692" s="17">
        <f t="shared" si="53"/>
        <v>45128</v>
      </c>
      <c r="O692" s="13" t="s">
        <v>1776</v>
      </c>
      <c r="P692" s="13" t="s">
        <v>498</v>
      </c>
      <c r="Q692" s="13" t="s">
        <v>38</v>
      </c>
      <c r="R692" s="13" t="s">
        <v>365</v>
      </c>
      <c r="S692" s="13" t="s">
        <v>81</v>
      </c>
      <c r="T692" s="28">
        <v>28.35</v>
      </c>
      <c r="U692" s="13" t="s">
        <v>28</v>
      </c>
      <c r="V692" s="13" t="s">
        <v>146</v>
      </c>
      <c r="W692" s="13" t="s">
        <v>79</v>
      </c>
      <c r="X692" s="17">
        <f t="shared" si="55"/>
        <v>45220</v>
      </c>
      <c r="Y692" s="3"/>
    </row>
    <row r="693" spans="1:25" ht="45" customHeight="1">
      <c r="A693" s="3">
        <v>691</v>
      </c>
      <c r="B693" s="13" t="s">
        <v>2540</v>
      </c>
      <c r="C693" s="13" t="s">
        <v>26</v>
      </c>
      <c r="D693" s="13" t="s">
        <v>2541</v>
      </c>
      <c r="E693" s="13" t="s">
        <v>28</v>
      </c>
      <c r="F693" s="13" t="s">
        <v>29</v>
      </c>
      <c r="G693" s="13" t="s">
        <v>1216</v>
      </c>
      <c r="H693" s="13" t="s">
        <v>1031</v>
      </c>
      <c r="I693" s="27" t="s">
        <v>365</v>
      </c>
      <c r="J693" s="27" t="s">
        <v>1774</v>
      </c>
      <c r="K693" s="27" t="s">
        <v>34</v>
      </c>
      <c r="L693" s="27" t="s">
        <v>1291</v>
      </c>
      <c r="M693" s="27" t="s">
        <v>1775</v>
      </c>
      <c r="N693" s="17">
        <f t="shared" si="53"/>
        <v>45128</v>
      </c>
      <c r="O693" s="13" t="s">
        <v>1776</v>
      </c>
      <c r="P693" s="13" t="s">
        <v>1221</v>
      </c>
      <c r="Q693" s="13" t="s">
        <v>38</v>
      </c>
      <c r="R693" s="13" t="s">
        <v>365</v>
      </c>
      <c r="S693" s="13" t="s">
        <v>1215</v>
      </c>
      <c r="T693" s="28">
        <v>28.44</v>
      </c>
      <c r="U693" s="13" t="s">
        <v>28</v>
      </c>
      <c r="V693" s="13" t="s">
        <v>53</v>
      </c>
      <c r="W693" s="13" t="s">
        <v>1219</v>
      </c>
      <c r="X693" s="17">
        <f t="shared" si="55"/>
        <v>45220</v>
      </c>
      <c r="Y693" s="3"/>
    </row>
    <row r="694" spans="1:25" ht="45" customHeight="1">
      <c r="A694" s="3">
        <v>692</v>
      </c>
      <c r="B694" s="13" t="s">
        <v>2542</v>
      </c>
      <c r="C694" s="13" t="s">
        <v>26</v>
      </c>
      <c r="D694" s="13" t="s">
        <v>2158</v>
      </c>
      <c r="E694" s="13" t="s">
        <v>28</v>
      </c>
      <c r="F694" s="13" t="s">
        <v>29</v>
      </c>
      <c r="G694" s="13" t="s">
        <v>79</v>
      </c>
      <c r="H694" s="13" t="s">
        <v>1031</v>
      </c>
      <c r="I694" s="27" t="s">
        <v>365</v>
      </c>
      <c r="J694" s="27" t="s">
        <v>1774</v>
      </c>
      <c r="K694" s="27" t="s">
        <v>34</v>
      </c>
      <c r="L694" s="27" t="s">
        <v>1291</v>
      </c>
      <c r="M694" s="27" t="s">
        <v>1775</v>
      </c>
      <c r="N694" s="17">
        <f t="shared" si="53"/>
        <v>45128</v>
      </c>
      <c r="O694" s="13" t="s">
        <v>1776</v>
      </c>
      <c r="P694" s="13" t="s">
        <v>263</v>
      </c>
      <c r="Q694" s="13" t="s">
        <v>38</v>
      </c>
      <c r="R694" s="13" t="s">
        <v>365</v>
      </c>
      <c r="S694" s="13" t="s">
        <v>81</v>
      </c>
      <c r="T694" s="28">
        <v>26.22</v>
      </c>
      <c r="U694" s="13" t="s">
        <v>28</v>
      </c>
      <c r="V694" s="13" t="s">
        <v>53</v>
      </c>
      <c r="W694" s="13" t="s">
        <v>79</v>
      </c>
      <c r="X694" s="17">
        <f t="shared" si="55"/>
        <v>45220</v>
      </c>
      <c r="Y694" s="3"/>
    </row>
    <row r="695" spans="1:25" ht="45" customHeight="1">
      <c r="A695" s="3">
        <v>693</v>
      </c>
      <c r="B695" s="13" t="s">
        <v>2543</v>
      </c>
      <c r="C695" s="13" t="s">
        <v>26</v>
      </c>
      <c r="D695" s="13" t="s">
        <v>2544</v>
      </c>
      <c r="E695" s="13" t="s">
        <v>28</v>
      </c>
      <c r="F695" s="13" t="s">
        <v>29</v>
      </c>
      <c r="G695" s="13" t="s">
        <v>1216</v>
      </c>
      <c r="H695" s="13" t="s">
        <v>1031</v>
      </c>
      <c r="I695" s="27" t="s">
        <v>365</v>
      </c>
      <c r="J695" s="27" t="s">
        <v>1774</v>
      </c>
      <c r="K695" s="27" t="s">
        <v>34</v>
      </c>
      <c r="L695" s="27" t="s">
        <v>1291</v>
      </c>
      <c r="M695" s="27" t="s">
        <v>1775</v>
      </c>
      <c r="N695" s="17">
        <f t="shared" si="53"/>
        <v>45128</v>
      </c>
      <c r="O695" s="13" t="s">
        <v>1776</v>
      </c>
      <c r="P695" s="13" t="s">
        <v>1215</v>
      </c>
      <c r="Q695" s="13" t="s">
        <v>38</v>
      </c>
      <c r="R695" s="13" t="s">
        <v>365</v>
      </c>
      <c r="S695" s="13" t="s">
        <v>1215</v>
      </c>
      <c r="T695" s="28">
        <v>28.94</v>
      </c>
      <c r="U695" s="13" t="s">
        <v>28</v>
      </c>
      <c r="V695" s="13" t="s">
        <v>146</v>
      </c>
      <c r="W695" s="13" t="s">
        <v>1219</v>
      </c>
      <c r="X695" s="17">
        <f t="shared" si="55"/>
        <v>45220</v>
      </c>
      <c r="Y695" s="3"/>
    </row>
    <row r="696" spans="1:25" ht="45" customHeight="1">
      <c r="A696" s="3">
        <v>694</v>
      </c>
      <c r="B696" s="13" t="s">
        <v>2545</v>
      </c>
      <c r="C696" s="13" t="s">
        <v>26</v>
      </c>
      <c r="D696" s="13" t="s">
        <v>2546</v>
      </c>
      <c r="E696" s="13" t="s">
        <v>28</v>
      </c>
      <c r="F696" s="13" t="s">
        <v>29</v>
      </c>
      <c r="G696" s="13" t="s">
        <v>48</v>
      </c>
      <c r="H696" s="13" t="s">
        <v>1031</v>
      </c>
      <c r="I696" s="27" t="s">
        <v>365</v>
      </c>
      <c r="J696" s="27" t="s">
        <v>1774</v>
      </c>
      <c r="K696" s="27" t="s">
        <v>34</v>
      </c>
      <c r="L696" s="27" t="s">
        <v>1291</v>
      </c>
      <c r="M696" s="27" t="s">
        <v>1775</v>
      </c>
      <c r="N696" s="17">
        <f t="shared" si="53"/>
        <v>45128</v>
      </c>
      <c r="O696" s="13" t="s">
        <v>1776</v>
      </c>
      <c r="P696" s="13" t="s">
        <v>52</v>
      </c>
      <c r="Q696" s="13" t="s">
        <v>38</v>
      </c>
      <c r="R696" s="13" t="s">
        <v>365</v>
      </c>
      <c r="S696" s="13" t="s">
        <v>52</v>
      </c>
      <c r="T696" s="28">
        <v>26.93</v>
      </c>
      <c r="U696" s="13" t="s">
        <v>28</v>
      </c>
      <c r="V696" s="13" t="s">
        <v>146</v>
      </c>
      <c r="W696" s="13" t="s">
        <v>48</v>
      </c>
      <c r="X696" s="17">
        <f t="shared" si="55"/>
        <v>45220</v>
      </c>
      <c r="Y696" s="3"/>
    </row>
    <row r="697" spans="1:25" ht="45" customHeight="1">
      <c r="A697" s="3">
        <v>695</v>
      </c>
      <c r="B697" s="13" t="s">
        <v>2547</v>
      </c>
      <c r="C697" s="13" t="s">
        <v>26</v>
      </c>
      <c r="D697" s="13" t="s">
        <v>2548</v>
      </c>
      <c r="E697" s="13" t="s">
        <v>28</v>
      </c>
      <c r="F697" s="13" t="s">
        <v>29</v>
      </c>
      <c r="G697" s="13" t="s">
        <v>79</v>
      </c>
      <c r="H697" s="13" t="s">
        <v>1031</v>
      </c>
      <c r="I697" s="27" t="s">
        <v>365</v>
      </c>
      <c r="J697" s="27" t="s">
        <v>1774</v>
      </c>
      <c r="K697" s="27" t="s">
        <v>34</v>
      </c>
      <c r="L697" s="27" t="s">
        <v>1291</v>
      </c>
      <c r="M697" s="27" t="s">
        <v>1775</v>
      </c>
      <c r="N697" s="17">
        <f t="shared" si="53"/>
        <v>45128</v>
      </c>
      <c r="O697" s="13" t="s">
        <v>1776</v>
      </c>
      <c r="P697" s="13" t="s">
        <v>1387</v>
      </c>
      <c r="Q697" s="13" t="s">
        <v>38</v>
      </c>
      <c r="R697" s="13" t="s">
        <v>365</v>
      </c>
      <c r="S697" s="13" t="s">
        <v>81</v>
      </c>
      <c r="T697" s="28">
        <v>30.28</v>
      </c>
      <c r="U697" s="13" t="s">
        <v>28</v>
      </c>
      <c r="V697" s="13" t="s">
        <v>89</v>
      </c>
      <c r="W697" s="13" t="s">
        <v>79</v>
      </c>
      <c r="X697" s="17">
        <f t="shared" si="55"/>
        <v>45220</v>
      </c>
      <c r="Y697" s="3"/>
    </row>
    <row r="698" spans="1:25" ht="45" customHeight="1">
      <c r="A698" s="3">
        <v>696</v>
      </c>
      <c r="B698" s="13" t="s">
        <v>2549</v>
      </c>
      <c r="C698" s="13" t="s">
        <v>26</v>
      </c>
      <c r="D698" s="13" t="s">
        <v>2550</v>
      </c>
      <c r="E698" s="13" t="s">
        <v>28</v>
      </c>
      <c r="F698" s="13" t="s">
        <v>29</v>
      </c>
      <c r="G698" s="13" t="s">
        <v>79</v>
      </c>
      <c r="H698" s="13" t="s">
        <v>1031</v>
      </c>
      <c r="I698" s="27" t="s">
        <v>365</v>
      </c>
      <c r="J698" s="27" t="s">
        <v>1774</v>
      </c>
      <c r="K698" s="27" t="s">
        <v>34</v>
      </c>
      <c r="L698" s="27" t="s">
        <v>1291</v>
      </c>
      <c r="M698" s="27" t="s">
        <v>1775</v>
      </c>
      <c r="N698" s="17">
        <f t="shared" si="53"/>
        <v>45128</v>
      </c>
      <c r="O698" s="13" t="s">
        <v>1776</v>
      </c>
      <c r="P698" s="13" t="s">
        <v>263</v>
      </c>
      <c r="Q698" s="13" t="s">
        <v>38</v>
      </c>
      <c r="R698" s="13" t="s">
        <v>365</v>
      </c>
      <c r="S698" s="13" t="s">
        <v>81</v>
      </c>
      <c r="T698" s="28">
        <v>24.33</v>
      </c>
      <c r="U698" s="13" t="s">
        <v>28</v>
      </c>
      <c r="V698" s="13" t="s">
        <v>53</v>
      </c>
      <c r="W698" s="13" t="s">
        <v>79</v>
      </c>
      <c r="X698" s="17">
        <f t="shared" si="55"/>
        <v>45220</v>
      </c>
      <c r="Y698" s="3"/>
    </row>
    <row r="699" spans="1:25" ht="45" customHeight="1">
      <c r="A699" s="3">
        <v>697</v>
      </c>
      <c r="B699" s="13" t="s">
        <v>2551</v>
      </c>
      <c r="C699" s="13" t="s">
        <v>26</v>
      </c>
      <c r="D699" s="13" t="s">
        <v>2552</v>
      </c>
      <c r="E699" s="13" t="s">
        <v>28</v>
      </c>
      <c r="F699" s="13" t="s">
        <v>29</v>
      </c>
      <c r="G699" s="13" t="s">
        <v>79</v>
      </c>
      <c r="H699" s="13" t="s">
        <v>1031</v>
      </c>
      <c r="I699" s="27" t="s">
        <v>365</v>
      </c>
      <c r="J699" s="27" t="s">
        <v>1774</v>
      </c>
      <c r="K699" s="27" t="s">
        <v>34</v>
      </c>
      <c r="L699" s="27" t="s">
        <v>1291</v>
      </c>
      <c r="M699" s="27" t="s">
        <v>1775</v>
      </c>
      <c r="N699" s="17">
        <f t="shared" si="53"/>
        <v>45128</v>
      </c>
      <c r="O699" s="13" t="s">
        <v>1776</v>
      </c>
      <c r="P699" s="13" t="s">
        <v>1387</v>
      </c>
      <c r="Q699" s="13" t="s">
        <v>38</v>
      </c>
      <c r="R699" s="13" t="s">
        <v>365</v>
      </c>
      <c r="S699" s="13" t="s">
        <v>81</v>
      </c>
      <c r="T699" s="28">
        <v>27.61</v>
      </c>
      <c r="U699" s="13" t="s">
        <v>28</v>
      </c>
      <c r="V699" s="13" t="s">
        <v>89</v>
      </c>
      <c r="W699" s="13" t="s">
        <v>79</v>
      </c>
      <c r="X699" s="17">
        <f t="shared" si="55"/>
        <v>45220</v>
      </c>
      <c r="Y699" s="3"/>
    </row>
    <row r="700" spans="1:25" ht="45" customHeight="1">
      <c r="A700" s="3">
        <v>698</v>
      </c>
      <c r="B700" s="13" t="s">
        <v>2553</v>
      </c>
      <c r="C700" s="13" t="s">
        <v>26</v>
      </c>
      <c r="D700" s="13" t="s">
        <v>2554</v>
      </c>
      <c r="E700" s="13" t="s">
        <v>28</v>
      </c>
      <c r="F700" s="13" t="s">
        <v>29</v>
      </c>
      <c r="G700" s="13" t="s">
        <v>1216</v>
      </c>
      <c r="H700" s="13" t="s">
        <v>1031</v>
      </c>
      <c r="I700" s="27" t="s">
        <v>365</v>
      </c>
      <c r="J700" s="27" t="s">
        <v>1774</v>
      </c>
      <c r="K700" s="27" t="s">
        <v>34</v>
      </c>
      <c r="L700" s="27" t="s">
        <v>1291</v>
      </c>
      <c r="M700" s="27" t="s">
        <v>1775</v>
      </c>
      <c r="N700" s="17">
        <f t="shared" si="53"/>
        <v>45128</v>
      </c>
      <c r="O700" s="13" t="s">
        <v>1776</v>
      </c>
      <c r="P700" s="13" t="s">
        <v>1215</v>
      </c>
      <c r="Q700" s="13" t="s">
        <v>38</v>
      </c>
      <c r="R700" s="13" t="s">
        <v>365</v>
      </c>
      <c r="S700" s="13" t="s">
        <v>1215</v>
      </c>
      <c r="T700" s="28">
        <v>34.630000000000003</v>
      </c>
      <c r="U700" s="13" t="s">
        <v>28</v>
      </c>
      <c r="V700" s="13" t="s">
        <v>146</v>
      </c>
      <c r="W700" s="13" t="s">
        <v>1219</v>
      </c>
      <c r="X700" s="17">
        <f t="shared" si="55"/>
        <v>45220</v>
      </c>
      <c r="Y700" s="3"/>
    </row>
    <row r="701" spans="1:25" ht="45" customHeight="1">
      <c r="A701" s="3">
        <v>699</v>
      </c>
      <c r="B701" s="13" t="s">
        <v>2555</v>
      </c>
      <c r="C701" s="13" t="s">
        <v>26</v>
      </c>
      <c r="D701" s="13" t="s">
        <v>2556</v>
      </c>
      <c r="E701" s="13" t="s">
        <v>28</v>
      </c>
      <c r="F701" s="13" t="s">
        <v>29</v>
      </c>
      <c r="G701" s="13" t="s">
        <v>1058</v>
      </c>
      <c r="H701" s="13" t="s">
        <v>1031</v>
      </c>
      <c r="I701" s="27" t="s">
        <v>365</v>
      </c>
      <c r="J701" s="27" t="s">
        <v>1774</v>
      </c>
      <c r="K701" s="27" t="s">
        <v>34</v>
      </c>
      <c r="L701" s="27" t="s">
        <v>1291</v>
      </c>
      <c r="M701" s="27" t="s">
        <v>1775</v>
      </c>
      <c r="N701" s="17">
        <f t="shared" si="53"/>
        <v>45128</v>
      </c>
      <c r="O701" s="13" t="s">
        <v>1776</v>
      </c>
      <c r="P701" s="13" t="s">
        <v>1060</v>
      </c>
      <c r="Q701" s="13" t="s">
        <v>38</v>
      </c>
      <c r="R701" s="13" t="s">
        <v>365</v>
      </c>
      <c r="S701" s="13" t="s">
        <v>87</v>
      </c>
      <c r="T701" s="28">
        <v>40.270000000000003</v>
      </c>
      <c r="U701" s="13" t="s">
        <v>28</v>
      </c>
      <c r="V701" s="13" t="s">
        <v>53</v>
      </c>
      <c r="W701" s="13" t="s">
        <v>1058</v>
      </c>
      <c r="X701" s="17">
        <f t="shared" si="55"/>
        <v>45220</v>
      </c>
      <c r="Y701" s="3"/>
    </row>
    <row r="702" spans="1:25" ht="45" customHeight="1">
      <c r="A702" s="3">
        <v>700</v>
      </c>
      <c r="B702" s="13" t="s">
        <v>2557</v>
      </c>
      <c r="C702" s="13" t="s">
        <v>26</v>
      </c>
      <c r="D702" s="13" t="s">
        <v>2558</v>
      </c>
      <c r="E702" s="13" t="s">
        <v>28</v>
      </c>
      <c r="F702" s="13" t="s">
        <v>29</v>
      </c>
      <c r="G702" s="13" t="s">
        <v>85</v>
      </c>
      <c r="H702" s="13" t="s">
        <v>1031</v>
      </c>
      <c r="I702" s="27" t="s">
        <v>365</v>
      </c>
      <c r="J702" s="27" t="s">
        <v>1774</v>
      </c>
      <c r="K702" s="27" t="s">
        <v>34</v>
      </c>
      <c r="L702" s="27" t="s">
        <v>1291</v>
      </c>
      <c r="M702" s="27" t="s">
        <v>1775</v>
      </c>
      <c r="N702" s="17">
        <f t="shared" si="53"/>
        <v>45128</v>
      </c>
      <c r="O702" s="13" t="s">
        <v>1776</v>
      </c>
      <c r="P702" s="13" t="s">
        <v>87</v>
      </c>
      <c r="Q702" s="13" t="s">
        <v>38</v>
      </c>
      <c r="R702" s="13" t="s">
        <v>365</v>
      </c>
      <c r="S702" s="13" t="s">
        <v>87</v>
      </c>
      <c r="T702" s="28">
        <v>38.049999999999997</v>
      </c>
      <c r="U702" s="13" t="s">
        <v>28</v>
      </c>
      <c r="V702" s="13" t="s">
        <v>89</v>
      </c>
      <c r="W702" s="13" t="s">
        <v>85</v>
      </c>
      <c r="X702" s="17">
        <f t="shared" si="55"/>
        <v>45220</v>
      </c>
      <c r="Y702" s="3"/>
    </row>
    <row r="703" spans="1:25" ht="45" customHeight="1">
      <c r="A703" s="3">
        <v>701</v>
      </c>
      <c r="B703" s="13" t="s">
        <v>2559</v>
      </c>
      <c r="C703" s="13" t="s">
        <v>26</v>
      </c>
      <c r="D703" s="13" t="s">
        <v>2560</v>
      </c>
      <c r="E703" s="13" t="s">
        <v>762</v>
      </c>
      <c r="F703" s="13" t="s">
        <v>446</v>
      </c>
      <c r="G703" s="13" t="s">
        <v>860</v>
      </c>
      <c r="H703" s="13" t="s">
        <v>406</v>
      </c>
      <c r="I703" s="27" t="s">
        <v>2561</v>
      </c>
      <c r="J703" s="27" t="s">
        <v>33</v>
      </c>
      <c r="K703" s="27" t="s">
        <v>34</v>
      </c>
      <c r="L703" s="27" t="s">
        <v>35</v>
      </c>
      <c r="M703" s="27" t="s">
        <v>36</v>
      </c>
      <c r="N703" s="17">
        <f>DATE(2023,7,31)</f>
        <v>45138</v>
      </c>
      <c r="O703" s="13" t="s">
        <v>107</v>
      </c>
      <c r="P703" s="13" t="s">
        <v>449</v>
      </c>
      <c r="Q703" s="13" t="s">
        <v>670</v>
      </c>
      <c r="R703" s="13" t="s">
        <v>2562</v>
      </c>
      <c r="S703" s="13" t="s">
        <v>449</v>
      </c>
      <c r="T703" s="28">
        <v>27.93</v>
      </c>
      <c r="U703" s="13" t="s">
        <v>765</v>
      </c>
      <c r="V703" s="13" t="s">
        <v>146</v>
      </c>
      <c r="W703" s="13" t="s">
        <v>860</v>
      </c>
      <c r="X703" s="17">
        <f>DATE(2023,10,31)</f>
        <v>45230</v>
      </c>
      <c r="Y703" s="3"/>
    </row>
    <row r="704" spans="1:25" ht="45" customHeight="1">
      <c r="A704" s="3">
        <v>702</v>
      </c>
      <c r="B704" s="13" t="s">
        <v>2563</v>
      </c>
      <c r="C704" s="13" t="s">
        <v>103</v>
      </c>
      <c r="D704" s="13" t="s">
        <v>2564</v>
      </c>
      <c r="E704" s="13" t="s">
        <v>762</v>
      </c>
      <c r="F704" s="13" t="s">
        <v>744</v>
      </c>
      <c r="G704" s="13" t="s">
        <v>745</v>
      </c>
      <c r="H704" s="13" t="s">
        <v>744</v>
      </c>
      <c r="I704" s="27" t="s">
        <v>2565</v>
      </c>
      <c r="J704" s="27" t="s">
        <v>33</v>
      </c>
      <c r="K704" s="27" t="s">
        <v>106</v>
      </c>
      <c r="L704" s="27" t="s">
        <v>35</v>
      </c>
      <c r="M704" s="27" t="s">
        <v>36</v>
      </c>
      <c r="N704" s="17">
        <f>DATE(2023,7,31)</f>
        <v>45138</v>
      </c>
      <c r="O704" s="13" t="s">
        <v>107</v>
      </c>
      <c r="P704" s="13" t="s">
        <v>456</v>
      </c>
      <c r="Q704" s="13" t="s">
        <v>670</v>
      </c>
      <c r="R704" s="13" t="s">
        <v>2566</v>
      </c>
      <c r="S704" s="13" t="s">
        <v>458</v>
      </c>
      <c r="T704" s="28">
        <v>30.56</v>
      </c>
      <c r="U704" s="13" t="s">
        <v>765</v>
      </c>
      <c r="V704" s="13" t="s">
        <v>53</v>
      </c>
      <c r="W704" s="13" t="s">
        <v>745</v>
      </c>
      <c r="X704" s="17">
        <f>DATE(2023,10,12)</f>
        <v>45211</v>
      </c>
      <c r="Y704" s="3"/>
    </row>
    <row r="705" spans="1:25" ht="45" customHeight="1">
      <c r="A705" s="3">
        <v>703</v>
      </c>
      <c r="B705" s="13" t="s">
        <v>2567</v>
      </c>
      <c r="C705" s="13" t="s">
        <v>103</v>
      </c>
      <c r="D705" s="13" t="s">
        <v>2568</v>
      </c>
      <c r="E705" s="13" t="s">
        <v>765</v>
      </c>
      <c r="F705" s="13" t="s">
        <v>491</v>
      </c>
      <c r="G705" s="13" t="s">
        <v>830</v>
      </c>
      <c r="H705" s="13" t="s">
        <v>406</v>
      </c>
      <c r="I705" s="27" t="s">
        <v>2569</v>
      </c>
      <c r="J705" s="27" t="s">
        <v>33</v>
      </c>
      <c r="K705" s="27" t="s">
        <v>106</v>
      </c>
      <c r="L705" s="27" t="s">
        <v>35</v>
      </c>
      <c r="M705" s="27" t="s">
        <v>36</v>
      </c>
      <c r="N705" s="17">
        <f>DATE(2023,7,31)</f>
        <v>45138</v>
      </c>
      <c r="O705" s="13" t="s">
        <v>107</v>
      </c>
      <c r="P705" s="13" t="s">
        <v>505</v>
      </c>
      <c r="Q705" s="13" t="s">
        <v>670</v>
      </c>
      <c r="R705" s="13" t="s">
        <v>2570</v>
      </c>
      <c r="S705" s="13" t="s">
        <v>496</v>
      </c>
      <c r="T705" s="28">
        <v>29.9</v>
      </c>
      <c r="U705" s="13" t="s">
        <v>765</v>
      </c>
      <c r="V705" s="13" t="s">
        <v>146</v>
      </c>
      <c r="W705" s="13" t="s">
        <v>833</v>
      </c>
      <c r="X705" s="17">
        <f>DATE(2023,10,26)</f>
        <v>45225</v>
      </c>
      <c r="Y705" s="3"/>
    </row>
    <row r="706" spans="1:25" ht="45" customHeight="1">
      <c r="A706" s="3">
        <v>704</v>
      </c>
      <c r="B706" s="13" t="s">
        <v>2571</v>
      </c>
      <c r="C706" s="13" t="s">
        <v>103</v>
      </c>
      <c r="D706" s="13" t="s">
        <v>2572</v>
      </c>
      <c r="E706" s="13" t="s">
        <v>1755</v>
      </c>
      <c r="F706" s="13" t="s">
        <v>568</v>
      </c>
      <c r="G706" s="13" t="s">
        <v>568</v>
      </c>
      <c r="H706" s="13" t="s">
        <v>568</v>
      </c>
      <c r="I706" s="27" t="s">
        <v>2573</v>
      </c>
      <c r="J706" s="27" t="s">
        <v>33</v>
      </c>
      <c r="K706" s="27" t="s">
        <v>106</v>
      </c>
      <c r="L706" s="27" t="s">
        <v>208</v>
      </c>
      <c r="M706" s="27" t="s">
        <v>209</v>
      </c>
      <c r="N706" s="17">
        <f>DATE(2023,7,31)</f>
        <v>45138</v>
      </c>
      <c r="O706" s="13" t="s">
        <v>107</v>
      </c>
      <c r="P706" s="13" t="s">
        <v>567</v>
      </c>
      <c r="Q706" s="13" t="s">
        <v>465</v>
      </c>
      <c r="R706" s="13" t="s">
        <v>2574</v>
      </c>
      <c r="S706" s="13" t="s">
        <v>570</v>
      </c>
      <c r="T706" s="28">
        <v>30.28</v>
      </c>
      <c r="U706" s="13" t="s">
        <v>694</v>
      </c>
      <c r="V706" s="13" t="s">
        <v>413</v>
      </c>
      <c r="W706" s="13" t="s">
        <v>572</v>
      </c>
      <c r="X706" s="17">
        <f>DATE(2023,10,30)</f>
        <v>45229</v>
      </c>
      <c r="Y706" s="3"/>
    </row>
    <row r="707" spans="1:25" ht="45" customHeight="1">
      <c r="A707" s="3">
        <v>705</v>
      </c>
      <c r="B707" s="13" t="s">
        <v>2575</v>
      </c>
      <c r="C707" s="13" t="s">
        <v>26</v>
      </c>
      <c r="D707" s="13" t="s">
        <v>2576</v>
      </c>
      <c r="E707" s="13" t="s">
        <v>1064</v>
      </c>
      <c r="F707" s="13" t="s">
        <v>29</v>
      </c>
      <c r="G707" s="13" t="s">
        <v>30</v>
      </c>
      <c r="H707" s="13" t="s">
        <v>1031</v>
      </c>
      <c r="I707" s="27" t="s">
        <v>2577</v>
      </c>
      <c r="J707" s="27" t="s">
        <v>33</v>
      </c>
      <c r="K707" s="27" t="s">
        <v>34</v>
      </c>
      <c r="L707" s="27" t="s">
        <v>35</v>
      </c>
      <c r="M707" s="27" t="s">
        <v>36</v>
      </c>
      <c r="N707" s="17">
        <f t="shared" ref="N707:N732" si="56">DATE(2023,8,1)</f>
        <v>45139</v>
      </c>
      <c r="O707" s="13" t="s">
        <v>34</v>
      </c>
      <c r="P707" s="13" t="s">
        <v>1781</v>
      </c>
      <c r="Q707" s="13" t="s">
        <v>38</v>
      </c>
      <c r="R707" s="13" t="s">
        <v>2578</v>
      </c>
      <c r="S707" s="13" t="s">
        <v>37</v>
      </c>
      <c r="T707" s="28">
        <v>33.380000000000003</v>
      </c>
      <c r="U707" s="13" t="s">
        <v>365</v>
      </c>
      <c r="V707" s="13" t="s">
        <v>53</v>
      </c>
      <c r="W707" s="13" t="s">
        <v>30</v>
      </c>
      <c r="X707" s="17">
        <f t="shared" ref="X707:X732" si="57">DATE(2023,9,1)</f>
        <v>45170</v>
      </c>
      <c r="Y707" s="3"/>
    </row>
    <row r="708" spans="1:25" ht="45" customHeight="1">
      <c r="A708" s="3">
        <v>706</v>
      </c>
      <c r="B708" s="13" t="s">
        <v>2579</v>
      </c>
      <c r="C708" s="13" t="s">
        <v>103</v>
      </c>
      <c r="D708" s="13" t="s">
        <v>2580</v>
      </c>
      <c r="E708" s="13" t="s">
        <v>28</v>
      </c>
      <c r="F708" s="13" t="s">
        <v>491</v>
      </c>
      <c r="G708" s="13" t="s">
        <v>1042</v>
      </c>
      <c r="H708" s="13" t="s">
        <v>406</v>
      </c>
      <c r="I708" s="27" t="s">
        <v>2581</v>
      </c>
      <c r="J708" s="27" t="s">
        <v>33</v>
      </c>
      <c r="K708" s="27" t="s">
        <v>106</v>
      </c>
      <c r="L708" s="27" t="s">
        <v>35</v>
      </c>
      <c r="M708" s="27" t="s">
        <v>36</v>
      </c>
      <c r="N708" s="17">
        <f t="shared" si="56"/>
        <v>45139</v>
      </c>
      <c r="O708" s="13" t="s">
        <v>34</v>
      </c>
      <c r="P708" s="13" t="s">
        <v>717</v>
      </c>
      <c r="Q708" s="13" t="s">
        <v>38</v>
      </c>
      <c r="R708" s="13" t="s">
        <v>2582</v>
      </c>
      <c r="S708" s="13" t="s">
        <v>496</v>
      </c>
      <c r="T708" s="28">
        <v>26.93</v>
      </c>
      <c r="U708" s="13" t="s">
        <v>28</v>
      </c>
      <c r="V708" s="13" t="s">
        <v>89</v>
      </c>
      <c r="W708" s="13" t="s">
        <v>1042</v>
      </c>
      <c r="X708" s="17">
        <f t="shared" si="57"/>
        <v>45170</v>
      </c>
      <c r="Y708" s="3"/>
    </row>
    <row r="709" spans="1:25" ht="45" customHeight="1">
      <c r="A709" s="3">
        <v>707</v>
      </c>
      <c r="B709" s="13" t="s">
        <v>2583</v>
      </c>
      <c r="C709" s="13" t="s">
        <v>103</v>
      </c>
      <c r="D709" s="13" t="s">
        <v>2584</v>
      </c>
      <c r="E709" s="13" t="s">
        <v>1054</v>
      </c>
      <c r="F709" s="13" t="s">
        <v>29</v>
      </c>
      <c r="G709" s="13" t="s">
        <v>1216</v>
      </c>
      <c r="H709" s="13" t="s">
        <v>1031</v>
      </c>
      <c r="I709" s="27" t="s">
        <v>2585</v>
      </c>
      <c r="J709" s="27" t="s">
        <v>33</v>
      </c>
      <c r="K709" s="27" t="s">
        <v>106</v>
      </c>
      <c r="L709" s="27" t="s">
        <v>35</v>
      </c>
      <c r="M709" s="27" t="s">
        <v>36</v>
      </c>
      <c r="N709" s="17">
        <f t="shared" si="56"/>
        <v>45139</v>
      </c>
      <c r="O709" s="13" t="s">
        <v>107</v>
      </c>
      <c r="P709" s="13" t="s">
        <v>1231</v>
      </c>
      <c r="Q709" s="13" t="s">
        <v>1054</v>
      </c>
      <c r="R709" s="13" t="s">
        <v>2586</v>
      </c>
      <c r="S709" s="13" t="s">
        <v>1215</v>
      </c>
      <c r="T709" s="28">
        <v>23.63</v>
      </c>
      <c r="U709" s="13" t="s">
        <v>1054</v>
      </c>
      <c r="V709" s="13" t="s">
        <v>89</v>
      </c>
      <c r="W709" s="13" t="s">
        <v>1219</v>
      </c>
      <c r="X709" s="17">
        <f t="shared" si="57"/>
        <v>45170</v>
      </c>
      <c r="Y709" s="3"/>
    </row>
    <row r="710" spans="1:25" ht="45" customHeight="1">
      <c r="A710" s="3">
        <v>708</v>
      </c>
      <c r="B710" s="13" t="s">
        <v>2587</v>
      </c>
      <c r="C710" s="13" t="s">
        <v>26</v>
      </c>
      <c r="D710" s="13" t="s">
        <v>2588</v>
      </c>
      <c r="E710" s="13" t="s">
        <v>28</v>
      </c>
      <c r="F710" s="13" t="s">
        <v>29</v>
      </c>
      <c r="G710" s="13" t="s">
        <v>30</v>
      </c>
      <c r="H710" s="13" t="s">
        <v>1031</v>
      </c>
      <c r="I710" s="27" t="s">
        <v>2589</v>
      </c>
      <c r="J710" s="27" t="s">
        <v>33</v>
      </c>
      <c r="K710" s="27" t="s">
        <v>34</v>
      </c>
      <c r="L710" s="27" t="s">
        <v>35</v>
      </c>
      <c r="M710" s="27" t="s">
        <v>36</v>
      </c>
      <c r="N710" s="17">
        <f t="shared" si="56"/>
        <v>45139</v>
      </c>
      <c r="O710" s="13" t="s">
        <v>34</v>
      </c>
      <c r="P710" s="13" t="s">
        <v>1154</v>
      </c>
      <c r="Q710" s="13" t="s">
        <v>38</v>
      </c>
      <c r="R710" s="13" t="s">
        <v>2590</v>
      </c>
      <c r="S710" s="13" t="s">
        <v>37</v>
      </c>
      <c r="T710" s="28">
        <v>33.11</v>
      </c>
      <c r="U710" s="13" t="s">
        <v>28</v>
      </c>
      <c r="V710" s="13" t="s">
        <v>146</v>
      </c>
      <c r="W710" s="13" t="s">
        <v>30</v>
      </c>
      <c r="X710" s="17">
        <f t="shared" si="57"/>
        <v>45170</v>
      </c>
      <c r="Y710" s="3"/>
    </row>
    <row r="711" spans="1:25" ht="45" customHeight="1">
      <c r="A711" s="3">
        <v>709</v>
      </c>
      <c r="B711" s="13" t="s">
        <v>2591</v>
      </c>
      <c r="C711" s="13" t="s">
        <v>103</v>
      </c>
      <c r="D711" s="13" t="s">
        <v>2592</v>
      </c>
      <c r="E711" s="13" t="s">
        <v>28</v>
      </c>
      <c r="F711" s="13" t="s">
        <v>491</v>
      </c>
      <c r="G711" s="13" t="s">
        <v>978</v>
      </c>
      <c r="H711" s="13" t="s">
        <v>406</v>
      </c>
      <c r="I711" s="27" t="s">
        <v>2593</v>
      </c>
      <c r="J711" s="27" t="s">
        <v>33</v>
      </c>
      <c r="K711" s="27" t="s">
        <v>106</v>
      </c>
      <c r="L711" s="27" t="s">
        <v>35</v>
      </c>
      <c r="M711" s="27" t="s">
        <v>36</v>
      </c>
      <c r="N711" s="17">
        <f t="shared" si="56"/>
        <v>45139</v>
      </c>
      <c r="O711" s="13" t="s">
        <v>1198</v>
      </c>
      <c r="P711" s="13" t="s">
        <v>596</v>
      </c>
      <c r="Q711" s="13" t="s">
        <v>38</v>
      </c>
      <c r="R711" s="13" t="s">
        <v>2594</v>
      </c>
      <c r="S711" s="13" t="s">
        <v>496</v>
      </c>
      <c r="T711" s="28">
        <v>32.31</v>
      </c>
      <c r="U711" s="13" t="s">
        <v>28</v>
      </c>
      <c r="V711" s="13" t="s">
        <v>53</v>
      </c>
      <c r="W711" s="13" t="s">
        <v>981</v>
      </c>
      <c r="X711" s="17">
        <f t="shared" si="57"/>
        <v>45170</v>
      </c>
      <c r="Y711" s="3"/>
    </row>
    <row r="712" spans="1:25" ht="45" customHeight="1">
      <c r="A712" s="3">
        <v>710</v>
      </c>
      <c r="B712" s="13" t="s">
        <v>2595</v>
      </c>
      <c r="C712" s="13" t="s">
        <v>103</v>
      </c>
      <c r="D712" s="13" t="s">
        <v>2596</v>
      </c>
      <c r="E712" s="13" t="s">
        <v>28</v>
      </c>
      <c r="F712" s="13" t="s">
        <v>29</v>
      </c>
      <c r="G712" s="13" t="s">
        <v>1216</v>
      </c>
      <c r="H712" s="13" t="s">
        <v>31</v>
      </c>
      <c r="I712" s="27" t="s">
        <v>2597</v>
      </c>
      <c r="J712" s="27" t="s">
        <v>33</v>
      </c>
      <c r="K712" s="27" t="s">
        <v>106</v>
      </c>
      <c r="L712" s="27" t="s">
        <v>35</v>
      </c>
      <c r="M712" s="27" t="s">
        <v>36</v>
      </c>
      <c r="N712" s="17">
        <f t="shared" si="56"/>
        <v>45139</v>
      </c>
      <c r="O712" s="13" t="s">
        <v>34</v>
      </c>
      <c r="P712" s="13" t="s">
        <v>1221</v>
      </c>
      <c r="Q712" s="13" t="s">
        <v>38</v>
      </c>
      <c r="R712" s="13" t="s">
        <v>2598</v>
      </c>
      <c r="S712" s="13" t="s">
        <v>1215</v>
      </c>
      <c r="T712" s="28">
        <v>24.86</v>
      </c>
      <c r="U712" s="13" t="s">
        <v>28</v>
      </c>
      <c r="V712" s="13" t="s">
        <v>53</v>
      </c>
      <c r="W712" s="13" t="s">
        <v>1219</v>
      </c>
      <c r="X712" s="17">
        <f t="shared" si="57"/>
        <v>45170</v>
      </c>
      <c r="Y712" s="3"/>
    </row>
    <row r="713" spans="1:25" ht="45" customHeight="1">
      <c r="A713" s="3">
        <v>711</v>
      </c>
      <c r="B713" s="13" t="s">
        <v>2599</v>
      </c>
      <c r="C713" s="13" t="s">
        <v>26</v>
      </c>
      <c r="D713" s="13" t="s">
        <v>2600</v>
      </c>
      <c r="E713" s="13" t="s">
        <v>28</v>
      </c>
      <c r="F713" s="13" t="s">
        <v>491</v>
      </c>
      <c r="G713" s="13" t="s">
        <v>978</v>
      </c>
      <c r="H713" s="13" t="s">
        <v>406</v>
      </c>
      <c r="I713" s="27" t="s">
        <v>2601</v>
      </c>
      <c r="J713" s="27" t="s">
        <v>33</v>
      </c>
      <c r="K713" s="27" t="s">
        <v>34</v>
      </c>
      <c r="L713" s="27" t="s">
        <v>35</v>
      </c>
      <c r="M713" s="27" t="s">
        <v>36</v>
      </c>
      <c r="N713" s="17">
        <f t="shared" si="56"/>
        <v>45139</v>
      </c>
      <c r="O713" s="13" t="s">
        <v>34</v>
      </c>
      <c r="P713" s="13" t="s">
        <v>596</v>
      </c>
      <c r="Q713" s="13" t="s">
        <v>38</v>
      </c>
      <c r="R713" s="13" t="s">
        <v>2602</v>
      </c>
      <c r="S713" s="13" t="s">
        <v>496</v>
      </c>
      <c r="T713" s="28">
        <v>25.99</v>
      </c>
      <c r="U713" s="13" t="s">
        <v>28</v>
      </c>
      <c r="V713" s="13" t="s">
        <v>53</v>
      </c>
      <c r="W713" s="13" t="s">
        <v>981</v>
      </c>
      <c r="X713" s="17">
        <f t="shared" si="57"/>
        <v>45170</v>
      </c>
      <c r="Y713" s="3"/>
    </row>
    <row r="714" spans="1:25" ht="45" customHeight="1">
      <c r="A714" s="3">
        <v>712</v>
      </c>
      <c r="B714" s="13" t="s">
        <v>2603</v>
      </c>
      <c r="C714" s="13" t="s">
        <v>26</v>
      </c>
      <c r="D714" s="13" t="s">
        <v>2604</v>
      </c>
      <c r="E714" s="13" t="s">
        <v>1064</v>
      </c>
      <c r="F714" s="13" t="s">
        <v>475</v>
      </c>
      <c r="G714" s="13" t="s">
        <v>476</v>
      </c>
      <c r="H714" s="13" t="s">
        <v>406</v>
      </c>
      <c r="I714" s="27" t="s">
        <v>2605</v>
      </c>
      <c r="J714" s="27" t="s">
        <v>33</v>
      </c>
      <c r="K714" s="27" t="s">
        <v>34</v>
      </c>
      <c r="L714" s="27" t="s">
        <v>35</v>
      </c>
      <c r="M714" s="27" t="s">
        <v>36</v>
      </c>
      <c r="N714" s="17">
        <f t="shared" si="56"/>
        <v>45139</v>
      </c>
      <c r="O714" s="13" t="s">
        <v>34</v>
      </c>
      <c r="P714" s="13" t="s">
        <v>473</v>
      </c>
      <c r="Q714" s="13" t="s">
        <v>38</v>
      </c>
      <c r="R714" s="13" t="s">
        <v>2606</v>
      </c>
      <c r="S714" s="13" t="s">
        <v>478</v>
      </c>
      <c r="T714" s="28">
        <v>21.64</v>
      </c>
      <c r="U714" s="13" t="s">
        <v>28</v>
      </c>
      <c r="V714" s="13" t="s">
        <v>89</v>
      </c>
      <c r="W714" s="13" t="s">
        <v>476</v>
      </c>
      <c r="X714" s="17">
        <f t="shared" si="57"/>
        <v>45170</v>
      </c>
      <c r="Y714" s="3"/>
    </row>
    <row r="715" spans="1:25" ht="45" customHeight="1">
      <c r="A715" s="3">
        <v>713</v>
      </c>
      <c r="B715" s="13" t="s">
        <v>2607</v>
      </c>
      <c r="C715" s="13" t="s">
        <v>103</v>
      </c>
      <c r="D715" s="13" t="s">
        <v>2608</v>
      </c>
      <c r="E715" s="13" t="s">
        <v>1064</v>
      </c>
      <c r="F715" s="13" t="s">
        <v>29</v>
      </c>
      <c r="G715" s="13" t="s">
        <v>85</v>
      </c>
      <c r="H715" s="13" t="s">
        <v>1031</v>
      </c>
      <c r="I715" s="27" t="s">
        <v>2609</v>
      </c>
      <c r="J715" s="27" t="s">
        <v>33</v>
      </c>
      <c r="K715" s="27" t="s">
        <v>106</v>
      </c>
      <c r="L715" s="27" t="s">
        <v>35</v>
      </c>
      <c r="M715" s="27" t="s">
        <v>36</v>
      </c>
      <c r="N715" s="17">
        <f t="shared" si="56"/>
        <v>45139</v>
      </c>
      <c r="O715" s="13" t="s">
        <v>34</v>
      </c>
      <c r="P715" s="13" t="s">
        <v>230</v>
      </c>
      <c r="Q715" s="13" t="s">
        <v>38</v>
      </c>
      <c r="R715" s="13" t="s">
        <v>2610</v>
      </c>
      <c r="S715" s="13" t="s">
        <v>87</v>
      </c>
      <c r="T715" s="28">
        <v>22.04</v>
      </c>
      <c r="U715" s="13" t="s">
        <v>365</v>
      </c>
      <c r="V715" s="13" t="s">
        <v>146</v>
      </c>
      <c r="W715" s="13" t="s">
        <v>85</v>
      </c>
      <c r="X715" s="17">
        <f t="shared" si="57"/>
        <v>45170</v>
      </c>
      <c r="Y715" s="3"/>
    </row>
    <row r="716" spans="1:25" ht="45" customHeight="1">
      <c r="A716" s="3">
        <v>714</v>
      </c>
      <c r="B716" s="13" t="s">
        <v>2611</v>
      </c>
      <c r="C716" s="13" t="s">
        <v>26</v>
      </c>
      <c r="D716" s="13" t="s">
        <v>2612</v>
      </c>
      <c r="E716" s="13" t="s">
        <v>28</v>
      </c>
      <c r="F716" s="13" t="s">
        <v>29</v>
      </c>
      <c r="G716" s="13" t="s">
        <v>1058</v>
      </c>
      <c r="H716" s="13" t="s">
        <v>31</v>
      </c>
      <c r="I716" s="27" t="s">
        <v>2613</v>
      </c>
      <c r="J716" s="27" t="s">
        <v>33</v>
      </c>
      <c r="K716" s="27" t="s">
        <v>34</v>
      </c>
      <c r="L716" s="27" t="s">
        <v>35</v>
      </c>
      <c r="M716" s="27" t="s">
        <v>36</v>
      </c>
      <c r="N716" s="17">
        <f t="shared" si="56"/>
        <v>45139</v>
      </c>
      <c r="O716" s="13" t="s">
        <v>34</v>
      </c>
      <c r="P716" s="13" t="s">
        <v>87</v>
      </c>
      <c r="Q716" s="13" t="s">
        <v>38</v>
      </c>
      <c r="R716" s="13" t="s">
        <v>2614</v>
      </c>
      <c r="S716" s="13" t="s">
        <v>87</v>
      </c>
      <c r="T716" s="28">
        <v>24.04</v>
      </c>
      <c r="U716" s="13" t="s">
        <v>28</v>
      </c>
      <c r="V716" s="13" t="s">
        <v>53</v>
      </c>
      <c r="W716" s="13" t="s">
        <v>1058</v>
      </c>
      <c r="X716" s="17">
        <f t="shared" si="57"/>
        <v>45170</v>
      </c>
      <c r="Y716" s="3"/>
    </row>
    <row r="717" spans="1:25" ht="45" customHeight="1">
      <c r="A717" s="3">
        <v>715</v>
      </c>
      <c r="B717" s="13" t="s">
        <v>2615</v>
      </c>
      <c r="C717" s="13" t="s">
        <v>26</v>
      </c>
      <c r="D717" s="13" t="s">
        <v>2616</v>
      </c>
      <c r="E717" s="13" t="s">
        <v>1064</v>
      </c>
      <c r="F717" s="13" t="s">
        <v>29</v>
      </c>
      <c r="G717" s="13" t="s">
        <v>1216</v>
      </c>
      <c r="H717" s="13" t="s">
        <v>1031</v>
      </c>
      <c r="I717" s="27" t="s">
        <v>2617</v>
      </c>
      <c r="J717" s="27" t="s">
        <v>33</v>
      </c>
      <c r="K717" s="27" t="s">
        <v>34</v>
      </c>
      <c r="L717" s="27" t="s">
        <v>35</v>
      </c>
      <c r="M717" s="27" t="s">
        <v>36</v>
      </c>
      <c r="N717" s="17">
        <f t="shared" si="56"/>
        <v>45139</v>
      </c>
      <c r="O717" s="13" t="s">
        <v>34</v>
      </c>
      <c r="P717" s="13" t="s">
        <v>1231</v>
      </c>
      <c r="Q717" s="13" t="s">
        <v>38</v>
      </c>
      <c r="R717" s="13" t="s">
        <v>2618</v>
      </c>
      <c r="S717" s="13" t="s">
        <v>1215</v>
      </c>
      <c r="T717" s="28">
        <v>24.96</v>
      </c>
      <c r="U717" s="13" t="s">
        <v>365</v>
      </c>
      <c r="V717" s="13" t="s">
        <v>89</v>
      </c>
      <c r="W717" s="13" t="s">
        <v>1219</v>
      </c>
      <c r="X717" s="17">
        <f t="shared" si="57"/>
        <v>45170</v>
      </c>
      <c r="Y717" s="3"/>
    </row>
    <row r="718" spans="1:25" ht="45" customHeight="1">
      <c r="A718" s="3">
        <v>716</v>
      </c>
      <c r="B718" s="13" t="s">
        <v>2619</v>
      </c>
      <c r="C718" s="13" t="s">
        <v>26</v>
      </c>
      <c r="D718" s="13" t="s">
        <v>2620</v>
      </c>
      <c r="E718" s="13" t="s">
        <v>1064</v>
      </c>
      <c r="F718" s="13" t="s">
        <v>29</v>
      </c>
      <c r="G718" s="13" t="s">
        <v>537</v>
      </c>
      <c r="H718" s="13" t="s">
        <v>1031</v>
      </c>
      <c r="I718" s="27" t="s">
        <v>2621</v>
      </c>
      <c r="J718" s="27" t="s">
        <v>33</v>
      </c>
      <c r="K718" s="27" t="s">
        <v>34</v>
      </c>
      <c r="L718" s="27" t="s">
        <v>35</v>
      </c>
      <c r="M718" s="27" t="s">
        <v>36</v>
      </c>
      <c r="N718" s="17">
        <f t="shared" si="56"/>
        <v>45139</v>
      </c>
      <c r="O718" s="13" t="s">
        <v>34</v>
      </c>
      <c r="P718" s="13" t="s">
        <v>549</v>
      </c>
      <c r="Q718" s="13" t="s">
        <v>38</v>
      </c>
      <c r="R718" s="13" t="s">
        <v>2622</v>
      </c>
      <c r="S718" s="13" t="s">
        <v>64</v>
      </c>
      <c r="T718" s="28">
        <v>21.72</v>
      </c>
      <c r="U718" s="13" t="s">
        <v>365</v>
      </c>
      <c r="V718" s="13" t="s">
        <v>53</v>
      </c>
      <c r="W718" s="13" t="s">
        <v>537</v>
      </c>
      <c r="X718" s="17">
        <f t="shared" si="57"/>
        <v>45170</v>
      </c>
      <c r="Y718" s="3"/>
    </row>
    <row r="719" spans="1:25" ht="45" customHeight="1">
      <c r="A719" s="3">
        <v>717</v>
      </c>
      <c r="B719" s="13" t="s">
        <v>2623</v>
      </c>
      <c r="C719" s="13" t="s">
        <v>26</v>
      </c>
      <c r="D719" s="13" t="s">
        <v>2624</v>
      </c>
      <c r="E719" s="13" t="s">
        <v>1064</v>
      </c>
      <c r="F719" s="13" t="s">
        <v>475</v>
      </c>
      <c r="G719" s="13" t="s">
        <v>476</v>
      </c>
      <c r="H719" s="13" t="s">
        <v>406</v>
      </c>
      <c r="I719" s="27" t="s">
        <v>2625</v>
      </c>
      <c r="J719" s="27" t="s">
        <v>33</v>
      </c>
      <c r="K719" s="27" t="s">
        <v>34</v>
      </c>
      <c r="L719" s="27" t="s">
        <v>35</v>
      </c>
      <c r="M719" s="27" t="s">
        <v>36</v>
      </c>
      <c r="N719" s="17">
        <f t="shared" si="56"/>
        <v>45139</v>
      </c>
      <c r="O719" s="13" t="s">
        <v>34</v>
      </c>
      <c r="P719" s="13" t="s">
        <v>473</v>
      </c>
      <c r="Q719" s="13" t="s">
        <v>38</v>
      </c>
      <c r="R719" s="13" t="s">
        <v>2626</v>
      </c>
      <c r="S719" s="13" t="s">
        <v>478</v>
      </c>
      <c r="T719" s="28">
        <v>23.6</v>
      </c>
      <c r="U719" s="13" t="s">
        <v>365</v>
      </c>
      <c r="V719" s="13" t="s">
        <v>89</v>
      </c>
      <c r="W719" s="13" t="s">
        <v>476</v>
      </c>
      <c r="X719" s="17">
        <f t="shared" si="57"/>
        <v>45170</v>
      </c>
      <c r="Y719" s="3"/>
    </row>
    <row r="720" spans="1:25" ht="45" customHeight="1">
      <c r="A720" s="3">
        <v>718</v>
      </c>
      <c r="B720" s="13" t="s">
        <v>2627</v>
      </c>
      <c r="C720" s="13" t="s">
        <v>26</v>
      </c>
      <c r="D720" s="13" t="s">
        <v>2628</v>
      </c>
      <c r="E720" s="13" t="s">
        <v>28</v>
      </c>
      <c r="F720" s="13" t="s">
        <v>491</v>
      </c>
      <c r="G720" s="13" t="s">
        <v>950</v>
      </c>
      <c r="H720" s="13" t="s">
        <v>406</v>
      </c>
      <c r="I720" s="27" t="s">
        <v>2629</v>
      </c>
      <c r="J720" s="27" t="s">
        <v>33</v>
      </c>
      <c r="K720" s="27" t="s">
        <v>34</v>
      </c>
      <c r="L720" s="27" t="s">
        <v>35</v>
      </c>
      <c r="M720" s="27" t="s">
        <v>36</v>
      </c>
      <c r="N720" s="17">
        <f t="shared" si="56"/>
        <v>45139</v>
      </c>
      <c r="O720" s="13" t="s">
        <v>34</v>
      </c>
      <c r="P720" s="13" t="s">
        <v>952</v>
      </c>
      <c r="Q720" s="13" t="s">
        <v>38</v>
      </c>
      <c r="R720" s="13" t="s">
        <v>2630</v>
      </c>
      <c r="S720" s="13" t="s">
        <v>496</v>
      </c>
      <c r="T720" s="28">
        <v>29.77</v>
      </c>
      <c r="U720" s="13" t="s">
        <v>28</v>
      </c>
      <c r="V720" s="13" t="s">
        <v>146</v>
      </c>
      <c r="W720" s="13" t="s">
        <v>954</v>
      </c>
      <c r="X720" s="17">
        <f t="shared" si="57"/>
        <v>45170</v>
      </c>
      <c r="Y720" s="3"/>
    </row>
    <row r="721" spans="1:25" ht="45" customHeight="1">
      <c r="A721" s="3">
        <v>719</v>
      </c>
      <c r="B721" s="13" t="s">
        <v>2631</v>
      </c>
      <c r="C721" s="13" t="s">
        <v>26</v>
      </c>
      <c r="D721" s="13" t="s">
        <v>2632</v>
      </c>
      <c r="E721" s="13" t="s">
        <v>28</v>
      </c>
      <c r="F721" s="13" t="s">
        <v>29</v>
      </c>
      <c r="G721" s="13" t="s">
        <v>1216</v>
      </c>
      <c r="H721" s="13" t="s">
        <v>1031</v>
      </c>
      <c r="I721" s="27" t="s">
        <v>2633</v>
      </c>
      <c r="J721" s="27" t="s">
        <v>33</v>
      </c>
      <c r="K721" s="27" t="s">
        <v>34</v>
      </c>
      <c r="L721" s="27" t="s">
        <v>35</v>
      </c>
      <c r="M721" s="27" t="s">
        <v>36</v>
      </c>
      <c r="N721" s="17">
        <f t="shared" si="56"/>
        <v>45139</v>
      </c>
      <c r="O721" s="13" t="s">
        <v>34</v>
      </c>
      <c r="P721" s="13" t="s">
        <v>1215</v>
      </c>
      <c r="Q721" s="13" t="s">
        <v>38</v>
      </c>
      <c r="R721" s="13" t="s">
        <v>2634</v>
      </c>
      <c r="S721" s="13" t="s">
        <v>1215</v>
      </c>
      <c r="T721" s="28">
        <v>41.63</v>
      </c>
      <c r="U721" s="13" t="s">
        <v>28</v>
      </c>
      <c r="V721" s="13" t="s">
        <v>146</v>
      </c>
      <c r="W721" s="13" t="s">
        <v>1219</v>
      </c>
      <c r="X721" s="17">
        <f t="shared" si="57"/>
        <v>45170</v>
      </c>
      <c r="Y721" s="3"/>
    </row>
    <row r="722" spans="1:25" ht="45" customHeight="1">
      <c r="A722" s="3">
        <v>720</v>
      </c>
      <c r="B722" s="13" t="s">
        <v>2635</v>
      </c>
      <c r="C722" s="13" t="s">
        <v>26</v>
      </c>
      <c r="D722" s="13" t="s">
        <v>2636</v>
      </c>
      <c r="E722" s="13" t="s">
        <v>28</v>
      </c>
      <c r="F722" s="13" t="s">
        <v>29</v>
      </c>
      <c r="G722" s="13" t="s">
        <v>1058</v>
      </c>
      <c r="H722" s="13" t="s">
        <v>1031</v>
      </c>
      <c r="I722" s="27" t="s">
        <v>2637</v>
      </c>
      <c r="J722" s="27" t="s">
        <v>33</v>
      </c>
      <c r="K722" s="27" t="s">
        <v>34</v>
      </c>
      <c r="L722" s="27" t="s">
        <v>35</v>
      </c>
      <c r="M722" s="27" t="s">
        <v>36</v>
      </c>
      <c r="N722" s="17">
        <f t="shared" si="56"/>
        <v>45139</v>
      </c>
      <c r="O722" s="13" t="s">
        <v>34</v>
      </c>
      <c r="P722" s="13" t="s">
        <v>87</v>
      </c>
      <c r="Q722" s="13" t="s">
        <v>38</v>
      </c>
      <c r="R722" s="13" t="s">
        <v>2638</v>
      </c>
      <c r="S722" s="13" t="s">
        <v>87</v>
      </c>
      <c r="T722" s="28">
        <v>25.5</v>
      </c>
      <c r="U722" s="13" t="s">
        <v>28</v>
      </c>
      <c r="V722" s="13" t="s">
        <v>89</v>
      </c>
      <c r="W722" s="13" t="s">
        <v>1058</v>
      </c>
      <c r="X722" s="17">
        <f t="shared" si="57"/>
        <v>45170</v>
      </c>
      <c r="Y722" s="3"/>
    </row>
    <row r="723" spans="1:25" ht="45" customHeight="1">
      <c r="A723" s="3">
        <v>721</v>
      </c>
      <c r="B723" s="13" t="s">
        <v>2639</v>
      </c>
      <c r="C723" s="13" t="s">
        <v>26</v>
      </c>
      <c r="D723" s="13" t="s">
        <v>2640</v>
      </c>
      <c r="E723" s="13" t="s">
        <v>1054</v>
      </c>
      <c r="F723" s="13" t="s">
        <v>29</v>
      </c>
      <c r="G723" s="13" t="s">
        <v>79</v>
      </c>
      <c r="H723" s="13" t="s">
        <v>1031</v>
      </c>
      <c r="I723" s="27" t="s">
        <v>2641</v>
      </c>
      <c r="J723" s="27" t="s">
        <v>33</v>
      </c>
      <c r="K723" s="27" t="s">
        <v>34</v>
      </c>
      <c r="L723" s="27" t="s">
        <v>35</v>
      </c>
      <c r="M723" s="27" t="s">
        <v>36</v>
      </c>
      <c r="N723" s="17">
        <f t="shared" si="56"/>
        <v>45139</v>
      </c>
      <c r="O723" s="13" t="s">
        <v>34</v>
      </c>
      <c r="P723" s="13" t="s">
        <v>1387</v>
      </c>
      <c r="Q723" s="13" t="s">
        <v>1054</v>
      </c>
      <c r="R723" s="13" t="s">
        <v>2642</v>
      </c>
      <c r="S723" s="13" t="s">
        <v>81</v>
      </c>
      <c r="T723" s="28">
        <v>24.62</v>
      </c>
      <c r="U723" s="13" t="s">
        <v>1054</v>
      </c>
      <c r="V723" s="13" t="s">
        <v>89</v>
      </c>
      <c r="W723" s="13" t="s">
        <v>79</v>
      </c>
      <c r="X723" s="17">
        <f t="shared" si="57"/>
        <v>45170</v>
      </c>
      <c r="Y723" s="3"/>
    </row>
    <row r="724" spans="1:25" ht="45" customHeight="1">
      <c r="A724" s="3">
        <v>722</v>
      </c>
      <c r="B724" s="13" t="s">
        <v>2643</v>
      </c>
      <c r="C724" s="13" t="s">
        <v>26</v>
      </c>
      <c r="D724" s="13" t="s">
        <v>1387</v>
      </c>
      <c r="E724" s="13" t="s">
        <v>499</v>
      </c>
      <c r="F724" s="13" t="s">
        <v>29</v>
      </c>
      <c r="G724" s="13" t="s">
        <v>79</v>
      </c>
      <c r="H724" s="13" t="s">
        <v>406</v>
      </c>
      <c r="I724" s="27" t="s">
        <v>2644</v>
      </c>
      <c r="J724" s="27" t="s">
        <v>33</v>
      </c>
      <c r="K724" s="27" t="s">
        <v>34</v>
      </c>
      <c r="L724" s="27" t="s">
        <v>35</v>
      </c>
      <c r="M724" s="27" t="s">
        <v>36</v>
      </c>
      <c r="N724" s="17">
        <f t="shared" si="56"/>
        <v>45139</v>
      </c>
      <c r="O724" s="13" t="s">
        <v>107</v>
      </c>
      <c r="P724" s="13" t="s">
        <v>81</v>
      </c>
      <c r="Q724" s="13" t="s">
        <v>501</v>
      </c>
      <c r="R724" s="13" t="s">
        <v>2645</v>
      </c>
      <c r="S724" s="13" t="s">
        <v>503</v>
      </c>
      <c r="T724" s="28">
        <v>29.08</v>
      </c>
      <c r="U724" s="13" t="s">
        <v>499</v>
      </c>
      <c r="V724" s="13" t="s">
        <v>89</v>
      </c>
      <c r="W724" s="13" t="s">
        <v>79</v>
      </c>
      <c r="X724" s="17">
        <f t="shared" si="57"/>
        <v>45170</v>
      </c>
      <c r="Y724" s="3"/>
    </row>
    <row r="725" spans="1:25" ht="45" customHeight="1">
      <c r="A725" s="3">
        <v>723</v>
      </c>
      <c r="B725" s="13" t="s">
        <v>2646</v>
      </c>
      <c r="C725" s="13" t="s">
        <v>26</v>
      </c>
      <c r="D725" s="13" t="s">
        <v>2647</v>
      </c>
      <c r="E725" s="13" t="s">
        <v>28</v>
      </c>
      <c r="F725" s="13" t="s">
        <v>29</v>
      </c>
      <c r="G725" s="13" t="s">
        <v>79</v>
      </c>
      <c r="H725" s="13" t="s">
        <v>1031</v>
      </c>
      <c r="I725" s="27" t="s">
        <v>2648</v>
      </c>
      <c r="J725" s="27" t="s">
        <v>33</v>
      </c>
      <c r="K725" s="27" t="s">
        <v>34</v>
      </c>
      <c r="L725" s="27" t="s">
        <v>35</v>
      </c>
      <c r="M725" s="27" t="s">
        <v>36</v>
      </c>
      <c r="N725" s="17">
        <f t="shared" si="56"/>
        <v>45139</v>
      </c>
      <c r="O725" s="13" t="s">
        <v>34</v>
      </c>
      <c r="P725" s="13" t="s">
        <v>1387</v>
      </c>
      <c r="Q725" s="13" t="s">
        <v>38</v>
      </c>
      <c r="R725" s="13" t="s">
        <v>2649</v>
      </c>
      <c r="S725" s="13" t="s">
        <v>81</v>
      </c>
      <c r="T725" s="28">
        <v>25.07</v>
      </c>
      <c r="U725" s="13" t="s">
        <v>28</v>
      </c>
      <c r="V725" s="13" t="s">
        <v>89</v>
      </c>
      <c r="W725" s="13" t="s">
        <v>79</v>
      </c>
      <c r="X725" s="17">
        <f t="shared" si="57"/>
        <v>45170</v>
      </c>
      <c r="Y725" s="3"/>
    </row>
    <row r="726" spans="1:25" ht="45" customHeight="1">
      <c r="A726" s="3">
        <v>724</v>
      </c>
      <c r="B726" s="13" t="s">
        <v>2650</v>
      </c>
      <c r="C726" s="13" t="s">
        <v>26</v>
      </c>
      <c r="D726" s="13" t="s">
        <v>50</v>
      </c>
      <c r="E726" s="13" t="s">
        <v>499</v>
      </c>
      <c r="F726" s="13" t="s">
        <v>29</v>
      </c>
      <c r="G726" s="13" t="s">
        <v>48</v>
      </c>
      <c r="H726" s="13" t="s">
        <v>406</v>
      </c>
      <c r="I726" s="27" t="s">
        <v>2651</v>
      </c>
      <c r="J726" s="27" t="s">
        <v>33</v>
      </c>
      <c r="K726" s="27" t="s">
        <v>34</v>
      </c>
      <c r="L726" s="27" t="s">
        <v>35</v>
      </c>
      <c r="M726" s="27" t="s">
        <v>36</v>
      </c>
      <c r="N726" s="17">
        <f t="shared" si="56"/>
        <v>45139</v>
      </c>
      <c r="O726" s="13" t="s">
        <v>107</v>
      </c>
      <c r="P726" s="13" t="s">
        <v>52</v>
      </c>
      <c r="Q726" s="13" t="s">
        <v>501</v>
      </c>
      <c r="R726" s="13" t="s">
        <v>2652</v>
      </c>
      <c r="S726" s="13" t="s">
        <v>503</v>
      </c>
      <c r="T726" s="28">
        <v>28.41</v>
      </c>
      <c r="U726" s="13" t="s">
        <v>499</v>
      </c>
      <c r="V726" s="13" t="s">
        <v>53</v>
      </c>
      <c r="W726" s="13" t="s">
        <v>48</v>
      </c>
      <c r="X726" s="17">
        <f t="shared" si="57"/>
        <v>45170</v>
      </c>
      <c r="Y726" s="3"/>
    </row>
    <row r="727" spans="1:25" ht="45" customHeight="1">
      <c r="A727" s="3">
        <v>725</v>
      </c>
      <c r="B727" s="13" t="s">
        <v>2653</v>
      </c>
      <c r="C727" s="13" t="s">
        <v>26</v>
      </c>
      <c r="D727" s="13" t="s">
        <v>2654</v>
      </c>
      <c r="E727" s="13" t="s">
        <v>28</v>
      </c>
      <c r="F727" s="13" t="s">
        <v>29</v>
      </c>
      <c r="G727" s="13" t="s">
        <v>48</v>
      </c>
      <c r="H727" s="13" t="s">
        <v>31</v>
      </c>
      <c r="I727" s="27" t="s">
        <v>2655</v>
      </c>
      <c r="J727" s="27" t="s">
        <v>33</v>
      </c>
      <c r="K727" s="27" t="s">
        <v>34</v>
      </c>
      <c r="L727" s="27" t="s">
        <v>35</v>
      </c>
      <c r="M727" s="27" t="s">
        <v>36</v>
      </c>
      <c r="N727" s="17">
        <f t="shared" si="56"/>
        <v>45139</v>
      </c>
      <c r="O727" s="13" t="s">
        <v>34</v>
      </c>
      <c r="P727" s="13" t="s">
        <v>182</v>
      </c>
      <c r="Q727" s="13" t="s">
        <v>38</v>
      </c>
      <c r="R727" s="13" t="s">
        <v>2656</v>
      </c>
      <c r="S727" s="13" t="s">
        <v>52</v>
      </c>
      <c r="T727" s="28">
        <v>34.81</v>
      </c>
      <c r="U727" s="13" t="s">
        <v>28</v>
      </c>
      <c r="V727" s="13" t="s">
        <v>89</v>
      </c>
      <c r="W727" s="13" t="s">
        <v>48</v>
      </c>
      <c r="X727" s="17">
        <f t="shared" si="57"/>
        <v>45170</v>
      </c>
      <c r="Y727" s="3"/>
    </row>
    <row r="728" spans="1:25" ht="45" customHeight="1">
      <c r="A728" s="3">
        <v>726</v>
      </c>
      <c r="B728" s="13" t="s">
        <v>2657</v>
      </c>
      <c r="C728" s="13" t="s">
        <v>26</v>
      </c>
      <c r="D728" s="13" t="s">
        <v>2658</v>
      </c>
      <c r="E728" s="13" t="s">
        <v>28</v>
      </c>
      <c r="F728" s="13" t="s">
        <v>491</v>
      </c>
      <c r="G728" s="13" t="s">
        <v>950</v>
      </c>
      <c r="H728" s="13" t="s">
        <v>406</v>
      </c>
      <c r="I728" s="27" t="s">
        <v>2659</v>
      </c>
      <c r="J728" s="27" t="s">
        <v>33</v>
      </c>
      <c r="K728" s="27" t="s">
        <v>34</v>
      </c>
      <c r="L728" s="27" t="s">
        <v>35</v>
      </c>
      <c r="M728" s="27" t="s">
        <v>36</v>
      </c>
      <c r="N728" s="17">
        <f t="shared" si="56"/>
        <v>45139</v>
      </c>
      <c r="O728" s="13" t="s">
        <v>34</v>
      </c>
      <c r="P728" s="13" t="s">
        <v>952</v>
      </c>
      <c r="Q728" s="13" t="s">
        <v>38</v>
      </c>
      <c r="R728" s="13" t="s">
        <v>2660</v>
      </c>
      <c r="S728" s="13" t="s">
        <v>496</v>
      </c>
      <c r="T728" s="28">
        <v>38.200000000000003</v>
      </c>
      <c r="U728" s="13" t="s">
        <v>28</v>
      </c>
      <c r="V728" s="13" t="s">
        <v>89</v>
      </c>
      <c r="W728" s="13" t="s">
        <v>954</v>
      </c>
      <c r="X728" s="17">
        <f t="shared" si="57"/>
        <v>45170</v>
      </c>
      <c r="Y728" s="3"/>
    </row>
    <row r="729" spans="1:25" ht="45" customHeight="1">
      <c r="A729" s="3">
        <v>727</v>
      </c>
      <c r="B729" s="13" t="s">
        <v>2661</v>
      </c>
      <c r="C729" s="13" t="s">
        <v>26</v>
      </c>
      <c r="D729" s="13" t="s">
        <v>2662</v>
      </c>
      <c r="E729" s="13" t="s">
        <v>28</v>
      </c>
      <c r="F729" s="13" t="s">
        <v>29</v>
      </c>
      <c r="G729" s="13" t="s">
        <v>79</v>
      </c>
      <c r="H729" s="13" t="s">
        <v>1031</v>
      </c>
      <c r="I729" s="27" t="s">
        <v>2663</v>
      </c>
      <c r="J729" s="27" t="s">
        <v>33</v>
      </c>
      <c r="K729" s="27" t="s">
        <v>34</v>
      </c>
      <c r="L729" s="27" t="s">
        <v>35</v>
      </c>
      <c r="M729" s="27" t="s">
        <v>36</v>
      </c>
      <c r="N729" s="17">
        <f t="shared" si="56"/>
        <v>45139</v>
      </c>
      <c r="O729" s="13" t="s">
        <v>34</v>
      </c>
      <c r="P729" s="13" t="s">
        <v>498</v>
      </c>
      <c r="Q729" s="13" t="s">
        <v>38</v>
      </c>
      <c r="R729" s="13" t="s">
        <v>2664</v>
      </c>
      <c r="S729" s="13" t="s">
        <v>81</v>
      </c>
      <c r="T729" s="28">
        <v>24.01</v>
      </c>
      <c r="U729" s="13" t="s">
        <v>28</v>
      </c>
      <c r="V729" s="13" t="s">
        <v>146</v>
      </c>
      <c r="W729" s="13" t="s">
        <v>79</v>
      </c>
      <c r="X729" s="17">
        <f t="shared" si="57"/>
        <v>45170</v>
      </c>
      <c r="Y729" s="3"/>
    </row>
    <row r="730" spans="1:25" ht="45" customHeight="1">
      <c r="A730" s="3">
        <v>728</v>
      </c>
      <c r="B730" s="13" t="s">
        <v>2665</v>
      </c>
      <c r="C730" s="13" t="s">
        <v>103</v>
      </c>
      <c r="D730" s="13" t="s">
        <v>2666</v>
      </c>
      <c r="E730" s="13" t="s">
        <v>28</v>
      </c>
      <c r="F730" s="13" t="s">
        <v>29</v>
      </c>
      <c r="G730" s="13" t="s">
        <v>72</v>
      </c>
      <c r="H730" s="13" t="s">
        <v>31</v>
      </c>
      <c r="I730" s="27" t="s">
        <v>2667</v>
      </c>
      <c r="J730" s="27" t="s">
        <v>33</v>
      </c>
      <c r="K730" s="27" t="s">
        <v>106</v>
      </c>
      <c r="L730" s="27" t="s">
        <v>35</v>
      </c>
      <c r="M730" s="27" t="s">
        <v>36</v>
      </c>
      <c r="N730" s="17">
        <f t="shared" si="56"/>
        <v>45139</v>
      </c>
      <c r="O730" s="13" t="s">
        <v>34</v>
      </c>
      <c r="P730" s="13" t="s">
        <v>74</v>
      </c>
      <c r="Q730" s="13" t="s">
        <v>38</v>
      </c>
      <c r="R730" s="13" t="s">
        <v>2668</v>
      </c>
      <c r="S730" s="13" t="s">
        <v>74</v>
      </c>
      <c r="T730" s="28">
        <v>23.68</v>
      </c>
      <c r="U730" s="13" t="s">
        <v>28</v>
      </c>
      <c r="V730" s="13" t="s">
        <v>76</v>
      </c>
      <c r="W730" s="13" t="s">
        <v>72</v>
      </c>
      <c r="X730" s="17">
        <f t="shared" si="57"/>
        <v>45170</v>
      </c>
      <c r="Y730" s="3"/>
    </row>
    <row r="731" spans="1:25" ht="45" customHeight="1">
      <c r="A731" s="3">
        <v>729</v>
      </c>
      <c r="B731" s="13" t="s">
        <v>2669</v>
      </c>
      <c r="C731" s="13" t="s">
        <v>103</v>
      </c>
      <c r="D731" s="13" t="s">
        <v>2670</v>
      </c>
      <c r="E731" s="13" t="s">
        <v>28</v>
      </c>
      <c r="F731" s="13" t="s">
        <v>491</v>
      </c>
      <c r="G731" s="13" t="s">
        <v>978</v>
      </c>
      <c r="H731" s="13" t="s">
        <v>406</v>
      </c>
      <c r="I731" s="27" t="s">
        <v>2671</v>
      </c>
      <c r="J731" s="27" t="s">
        <v>33</v>
      </c>
      <c r="K731" s="27" t="s">
        <v>106</v>
      </c>
      <c r="L731" s="27" t="s">
        <v>35</v>
      </c>
      <c r="M731" s="27" t="s">
        <v>36</v>
      </c>
      <c r="N731" s="17">
        <f t="shared" si="56"/>
        <v>45139</v>
      </c>
      <c r="O731" s="13" t="s">
        <v>34</v>
      </c>
      <c r="P731" s="13" t="s">
        <v>596</v>
      </c>
      <c r="Q731" s="13" t="s">
        <v>38</v>
      </c>
      <c r="R731" s="13" t="s">
        <v>2672</v>
      </c>
      <c r="S731" s="13" t="s">
        <v>496</v>
      </c>
      <c r="T731" s="28">
        <v>28.15</v>
      </c>
      <c r="U731" s="13" t="s">
        <v>28</v>
      </c>
      <c r="V731" s="13" t="s">
        <v>53</v>
      </c>
      <c r="W731" s="13" t="s">
        <v>981</v>
      </c>
      <c r="X731" s="17">
        <f t="shared" si="57"/>
        <v>45170</v>
      </c>
      <c r="Y731" s="3"/>
    </row>
    <row r="732" spans="1:25" ht="45" customHeight="1">
      <c r="A732" s="3">
        <v>730</v>
      </c>
      <c r="B732" s="13" t="s">
        <v>2673</v>
      </c>
      <c r="C732" s="13" t="s">
        <v>103</v>
      </c>
      <c r="D732" s="13" t="s">
        <v>2674</v>
      </c>
      <c r="E732" s="13" t="s">
        <v>1064</v>
      </c>
      <c r="F732" s="13" t="s">
        <v>29</v>
      </c>
      <c r="G732" s="13" t="s">
        <v>537</v>
      </c>
      <c r="H732" s="13" t="s">
        <v>1031</v>
      </c>
      <c r="I732" s="27" t="s">
        <v>2675</v>
      </c>
      <c r="J732" s="27" t="s">
        <v>33</v>
      </c>
      <c r="K732" s="27" t="s">
        <v>106</v>
      </c>
      <c r="L732" s="27" t="s">
        <v>35</v>
      </c>
      <c r="M732" s="27" t="s">
        <v>36</v>
      </c>
      <c r="N732" s="17">
        <f t="shared" si="56"/>
        <v>45139</v>
      </c>
      <c r="O732" s="13" t="s">
        <v>34</v>
      </c>
      <c r="P732" s="13" t="s">
        <v>549</v>
      </c>
      <c r="Q732" s="13" t="s">
        <v>38</v>
      </c>
      <c r="R732" s="13" t="s">
        <v>2676</v>
      </c>
      <c r="S732" s="13" t="s">
        <v>64</v>
      </c>
      <c r="T732" s="28">
        <v>24.34</v>
      </c>
      <c r="U732" s="13" t="s">
        <v>365</v>
      </c>
      <c r="V732" s="13" t="s">
        <v>53</v>
      </c>
      <c r="W732" s="13" t="s">
        <v>537</v>
      </c>
      <c r="X732" s="17">
        <f t="shared" si="57"/>
        <v>45170</v>
      </c>
      <c r="Y732" s="3"/>
    </row>
    <row r="733" spans="1:25" ht="45" customHeight="1">
      <c r="A733" s="3">
        <v>731</v>
      </c>
      <c r="B733" s="13" t="s">
        <v>2677</v>
      </c>
      <c r="C733" s="13" t="s">
        <v>26</v>
      </c>
      <c r="D733" s="13" t="s">
        <v>2678</v>
      </c>
      <c r="E733" s="13" t="s">
        <v>755</v>
      </c>
      <c r="F733" s="13" t="s">
        <v>417</v>
      </c>
      <c r="G733" s="13" t="s">
        <v>756</v>
      </c>
      <c r="H733" s="13" t="s">
        <v>419</v>
      </c>
      <c r="I733" s="27" t="s">
        <v>2679</v>
      </c>
      <c r="J733" s="27" t="s">
        <v>33</v>
      </c>
      <c r="K733" s="27" t="s">
        <v>34</v>
      </c>
      <c r="L733" s="27" t="s">
        <v>35</v>
      </c>
      <c r="M733" s="27" t="s">
        <v>36</v>
      </c>
      <c r="N733" s="17">
        <f>DATE(2023,8,7)</f>
        <v>45145</v>
      </c>
      <c r="O733" s="13" t="s">
        <v>34</v>
      </c>
      <c r="P733" s="13" t="s">
        <v>693</v>
      </c>
      <c r="Q733" s="13" t="s">
        <v>38</v>
      </c>
      <c r="R733" s="13" t="s">
        <v>2680</v>
      </c>
      <c r="S733" s="13" t="s">
        <v>423</v>
      </c>
      <c r="T733" s="28">
        <v>26.73</v>
      </c>
      <c r="U733" s="13" t="s">
        <v>755</v>
      </c>
      <c r="V733" s="13" t="s">
        <v>799</v>
      </c>
      <c r="W733" s="13" t="s">
        <v>759</v>
      </c>
      <c r="X733" s="17">
        <f>DATE(2023,11,1)</f>
        <v>45231</v>
      </c>
      <c r="Y733" s="3"/>
    </row>
    <row r="734" spans="1:25" ht="45" customHeight="1">
      <c r="A734" s="3">
        <v>732</v>
      </c>
      <c r="B734" s="13" t="s">
        <v>2681</v>
      </c>
      <c r="C734" s="13" t="s">
        <v>26</v>
      </c>
      <c r="D734" s="13" t="s">
        <v>2682</v>
      </c>
      <c r="E734" s="13" t="s">
        <v>762</v>
      </c>
      <c r="F734" s="13" t="s">
        <v>453</v>
      </c>
      <c r="G734" s="13" t="s">
        <v>739</v>
      </c>
      <c r="H734" s="13" t="s">
        <v>453</v>
      </c>
      <c r="I734" s="27" t="s">
        <v>2683</v>
      </c>
      <c r="J734" s="27" t="s">
        <v>33</v>
      </c>
      <c r="K734" s="27" t="s">
        <v>34</v>
      </c>
      <c r="L734" s="27" t="s">
        <v>35</v>
      </c>
      <c r="M734" s="27" t="s">
        <v>36</v>
      </c>
      <c r="N734" s="17">
        <f>DATE(2023,8,14)</f>
        <v>45152</v>
      </c>
      <c r="O734" s="13" t="s">
        <v>107</v>
      </c>
      <c r="P734" s="13" t="s">
        <v>456</v>
      </c>
      <c r="Q734" s="13" t="s">
        <v>670</v>
      </c>
      <c r="R734" s="13" t="s">
        <v>2684</v>
      </c>
      <c r="S734" s="13" t="s">
        <v>458</v>
      </c>
      <c r="T734" s="28">
        <v>30.39</v>
      </c>
      <c r="U734" s="13" t="s">
        <v>765</v>
      </c>
      <c r="V734" s="13" t="s">
        <v>89</v>
      </c>
      <c r="W734" s="13" t="s">
        <v>739</v>
      </c>
      <c r="X734" s="17">
        <f>DATE(2023,11,14)</f>
        <v>45244</v>
      </c>
      <c r="Y734" s="3"/>
    </row>
    <row r="735" spans="1:25" ht="45" customHeight="1">
      <c r="A735" s="3">
        <v>733</v>
      </c>
      <c r="B735" s="13" t="s">
        <v>2685</v>
      </c>
      <c r="C735" s="13" t="s">
        <v>103</v>
      </c>
      <c r="D735" s="13" t="s">
        <v>2686</v>
      </c>
      <c r="E735" s="13" t="s">
        <v>499</v>
      </c>
      <c r="F735" s="13" t="s">
        <v>491</v>
      </c>
      <c r="G735" s="13" t="s">
        <v>978</v>
      </c>
      <c r="H735" s="13" t="s">
        <v>406</v>
      </c>
      <c r="I735" s="27" t="s">
        <v>2687</v>
      </c>
      <c r="J735" s="27" t="s">
        <v>33</v>
      </c>
      <c r="K735" s="27" t="s">
        <v>106</v>
      </c>
      <c r="L735" s="27" t="s">
        <v>35</v>
      </c>
      <c r="M735" s="27" t="s">
        <v>36</v>
      </c>
      <c r="N735" s="17">
        <f>DATE(2023,8,14)</f>
        <v>45152</v>
      </c>
      <c r="O735" s="13" t="s">
        <v>107</v>
      </c>
      <c r="P735" s="13" t="s">
        <v>596</v>
      </c>
      <c r="Q735" s="13" t="s">
        <v>501</v>
      </c>
      <c r="R735" s="13" t="s">
        <v>2688</v>
      </c>
      <c r="S735" s="13" t="s">
        <v>496</v>
      </c>
      <c r="T735" s="28">
        <v>27.79</v>
      </c>
      <c r="U735" s="13" t="s">
        <v>499</v>
      </c>
      <c r="V735" s="13" t="s">
        <v>89</v>
      </c>
      <c r="W735" s="13" t="s">
        <v>981</v>
      </c>
      <c r="X735" s="17">
        <f>DATE(2023,11,14)</f>
        <v>45244</v>
      </c>
      <c r="Y735" s="3"/>
    </row>
    <row r="736" spans="1:25" ht="45" customHeight="1">
      <c r="A736" s="3">
        <v>734</v>
      </c>
      <c r="B736" s="13" t="s">
        <v>2689</v>
      </c>
      <c r="C736" s="13" t="s">
        <v>26</v>
      </c>
      <c r="D736" s="13" t="s">
        <v>2690</v>
      </c>
      <c r="E736" s="13" t="s">
        <v>660</v>
      </c>
      <c r="F736" s="13" t="s">
        <v>446</v>
      </c>
      <c r="G736" s="13" t="s">
        <v>860</v>
      </c>
      <c r="H736" s="13" t="s">
        <v>406</v>
      </c>
      <c r="I736" s="27" t="s">
        <v>2691</v>
      </c>
      <c r="J736" s="27" t="s">
        <v>33</v>
      </c>
      <c r="K736" s="27" t="s">
        <v>34</v>
      </c>
      <c r="L736" s="27" t="s">
        <v>35</v>
      </c>
      <c r="M736" s="27" t="s">
        <v>36</v>
      </c>
      <c r="N736" s="17">
        <f>DATE(2023,8,21)</f>
        <v>45159</v>
      </c>
      <c r="O736" s="13" t="s">
        <v>107</v>
      </c>
      <c r="P736" s="13" t="s">
        <v>449</v>
      </c>
      <c r="Q736" s="13" t="s">
        <v>431</v>
      </c>
      <c r="R736" s="13" t="s">
        <v>2692</v>
      </c>
      <c r="S736" s="13" t="s">
        <v>403</v>
      </c>
      <c r="T736" s="28">
        <v>26.63</v>
      </c>
      <c r="U736" s="13" t="s">
        <v>445</v>
      </c>
      <c r="V736" s="13" t="s">
        <v>413</v>
      </c>
      <c r="W736" s="13" t="s">
        <v>860</v>
      </c>
      <c r="X736" s="17">
        <f>DATE(2023,11,20)</f>
        <v>45250</v>
      </c>
      <c r="Y736" s="3"/>
    </row>
    <row r="737" spans="1:25" ht="45" customHeight="1">
      <c r="A737" s="3">
        <v>735</v>
      </c>
      <c r="B737" s="13" t="s">
        <v>2693</v>
      </c>
      <c r="C737" s="13" t="s">
        <v>26</v>
      </c>
      <c r="D737" s="13" t="s">
        <v>2694</v>
      </c>
      <c r="E737" s="13" t="s">
        <v>762</v>
      </c>
      <c r="F737" s="13" t="s">
        <v>706</v>
      </c>
      <c r="G737" s="13" t="s">
        <v>870</v>
      </c>
      <c r="H737" s="13" t="s">
        <v>706</v>
      </c>
      <c r="I737" s="27" t="s">
        <v>2695</v>
      </c>
      <c r="J737" s="27" t="s">
        <v>33</v>
      </c>
      <c r="K737" s="27" t="s">
        <v>34</v>
      </c>
      <c r="L737" s="27" t="s">
        <v>35</v>
      </c>
      <c r="M737" s="27" t="s">
        <v>36</v>
      </c>
      <c r="N737" s="17">
        <f>DATE(2023,8,21)</f>
        <v>45159</v>
      </c>
      <c r="O737" s="13" t="s">
        <v>107</v>
      </c>
      <c r="P737" s="13" t="s">
        <v>709</v>
      </c>
      <c r="Q737" s="13" t="s">
        <v>670</v>
      </c>
      <c r="R737" s="13" t="s">
        <v>2696</v>
      </c>
      <c r="S737" s="13" t="s">
        <v>458</v>
      </c>
      <c r="T737" s="28">
        <v>31.01</v>
      </c>
      <c r="U737" s="13" t="s">
        <v>765</v>
      </c>
      <c r="V737" s="13" t="s">
        <v>53</v>
      </c>
      <c r="W737" s="13" t="s">
        <v>873</v>
      </c>
      <c r="X737" s="17">
        <f>DATE(2023,11,21)</f>
        <v>45251</v>
      </c>
      <c r="Y737" s="3"/>
    </row>
    <row r="738" spans="1:25" ht="45" customHeight="1">
      <c r="A738" s="3">
        <v>736</v>
      </c>
      <c r="B738" s="13" t="s">
        <v>2697</v>
      </c>
      <c r="C738" s="13" t="s">
        <v>103</v>
      </c>
      <c r="D738" s="13" t="s">
        <v>2698</v>
      </c>
      <c r="E738" s="13" t="s">
        <v>445</v>
      </c>
      <c r="F738" s="13" t="s">
        <v>608</v>
      </c>
      <c r="G738" s="13" t="s">
        <v>609</v>
      </c>
      <c r="H738" s="13" t="s">
        <v>406</v>
      </c>
      <c r="I738" s="27" t="s">
        <v>2699</v>
      </c>
      <c r="J738" s="27" t="s">
        <v>33</v>
      </c>
      <c r="K738" s="27" t="s">
        <v>106</v>
      </c>
      <c r="L738" s="27" t="s">
        <v>35</v>
      </c>
      <c r="M738" s="27" t="s">
        <v>36</v>
      </c>
      <c r="N738" s="17">
        <f>DATE(2023,9,4)</f>
        <v>45173</v>
      </c>
      <c r="O738" s="13" t="s">
        <v>107</v>
      </c>
      <c r="P738" s="13" t="s">
        <v>607</v>
      </c>
      <c r="Q738" s="13" t="s">
        <v>431</v>
      </c>
      <c r="R738" s="13" t="s">
        <v>2700</v>
      </c>
      <c r="S738" s="13" t="s">
        <v>611</v>
      </c>
      <c r="T738" s="28">
        <v>25.66</v>
      </c>
      <c r="U738" s="13" t="s">
        <v>445</v>
      </c>
      <c r="V738" s="13" t="s">
        <v>413</v>
      </c>
      <c r="W738" s="13" t="s">
        <v>609</v>
      </c>
      <c r="X738" s="17">
        <f>DATE(2023,12,4)</f>
        <v>45264</v>
      </c>
      <c r="Y738" s="3"/>
    </row>
    <row r="739" spans="1:25" ht="45" customHeight="1">
      <c r="A739" s="3">
        <v>737</v>
      </c>
      <c r="B739" s="13" t="s">
        <v>2701</v>
      </c>
      <c r="C739" s="13" t="s">
        <v>103</v>
      </c>
      <c r="D739" s="13" t="s">
        <v>2702</v>
      </c>
      <c r="E739" s="13" t="s">
        <v>490</v>
      </c>
      <c r="F739" s="13" t="s">
        <v>816</v>
      </c>
      <c r="G739" s="13" t="s">
        <v>817</v>
      </c>
      <c r="H739" s="13" t="s">
        <v>817</v>
      </c>
      <c r="I739" s="27" t="s">
        <v>2703</v>
      </c>
      <c r="J739" s="27" t="s">
        <v>33</v>
      </c>
      <c r="K739" s="27" t="s">
        <v>106</v>
      </c>
      <c r="L739" s="27" t="s">
        <v>35</v>
      </c>
      <c r="M739" s="27" t="s">
        <v>36</v>
      </c>
      <c r="N739" s="17">
        <f>DATE(2025,4,14)</f>
        <v>45761</v>
      </c>
      <c r="O739" s="13" t="s">
        <v>34</v>
      </c>
      <c r="P739" s="13" t="s">
        <v>821</v>
      </c>
      <c r="Q739" s="13" t="s">
        <v>465</v>
      </c>
      <c r="R739" s="13" t="s">
        <v>2704</v>
      </c>
      <c r="S739" s="13" t="s">
        <v>821</v>
      </c>
      <c r="T739" s="28">
        <v>25.06</v>
      </c>
      <c r="U739" s="13" t="s">
        <v>490</v>
      </c>
      <c r="V739" s="13" t="s">
        <v>413</v>
      </c>
      <c r="W739" s="13" t="s">
        <v>817</v>
      </c>
      <c r="X739" s="17">
        <f>DATE(2025,4,14)</f>
        <v>45761</v>
      </c>
      <c r="Y739" s="3"/>
    </row>
    <row r="740" spans="1:25" ht="45" customHeight="1">
      <c r="A740" s="3">
        <v>738</v>
      </c>
      <c r="B740" s="13" t="s">
        <v>2705</v>
      </c>
      <c r="C740" s="13" t="s">
        <v>26</v>
      </c>
      <c r="D740" s="13" t="s">
        <v>2706</v>
      </c>
      <c r="E740" s="13" t="s">
        <v>445</v>
      </c>
      <c r="F740" s="13" t="s">
        <v>475</v>
      </c>
      <c r="G740" s="13" t="s">
        <v>559</v>
      </c>
      <c r="H740" s="13" t="s">
        <v>406</v>
      </c>
      <c r="I740" s="27" t="s">
        <v>2707</v>
      </c>
      <c r="J740" s="27" t="s">
        <v>33</v>
      </c>
      <c r="K740" s="27" t="s">
        <v>34</v>
      </c>
      <c r="L740" s="27" t="s">
        <v>35</v>
      </c>
      <c r="M740" s="27" t="s">
        <v>36</v>
      </c>
      <c r="N740" s="17">
        <f>DATE(2023,9,4)</f>
        <v>45173</v>
      </c>
      <c r="O740" s="13" t="s">
        <v>107</v>
      </c>
      <c r="P740" s="13" t="s">
        <v>557</v>
      </c>
      <c r="Q740" s="13" t="s">
        <v>431</v>
      </c>
      <c r="R740" s="13" t="s">
        <v>2708</v>
      </c>
      <c r="S740" s="13" t="s">
        <v>478</v>
      </c>
      <c r="T740" s="28">
        <v>25.57</v>
      </c>
      <c r="U740" s="13" t="s">
        <v>445</v>
      </c>
      <c r="V740" s="13" t="s">
        <v>413</v>
      </c>
      <c r="W740" s="13" t="s">
        <v>559</v>
      </c>
      <c r="X740" s="17">
        <f>DATE(2023,12,4)</f>
        <v>45264</v>
      </c>
      <c r="Y740" s="3"/>
    </row>
    <row r="741" spans="1:25" ht="45" customHeight="1">
      <c r="A741" s="3">
        <v>739</v>
      </c>
      <c r="B741" s="13" t="s">
        <v>2709</v>
      </c>
      <c r="C741" s="13" t="s">
        <v>103</v>
      </c>
      <c r="D741" s="13" t="s">
        <v>2710</v>
      </c>
      <c r="E741" s="13" t="s">
        <v>686</v>
      </c>
      <c r="F741" s="13" t="s">
        <v>621</v>
      </c>
      <c r="G741" s="13" t="s">
        <v>621</v>
      </c>
      <c r="H741" s="13" t="s">
        <v>406</v>
      </c>
      <c r="I741" s="27" t="s">
        <v>2711</v>
      </c>
      <c r="J741" s="27" t="s">
        <v>33</v>
      </c>
      <c r="K741" s="27" t="s">
        <v>106</v>
      </c>
      <c r="L741" s="27" t="s">
        <v>35</v>
      </c>
      <c r="M741" s="27" t="s">
        <v>36</v>
      </c>
      <c r="N741" s="17">
        <f>DATE(2023,9,4)</f>
        <v>45173</v>
      </c>
      <c r="O741" s="13" t="s">
        <v>107</v>
      </c>
      <c r="P741" s="13" t="s">
        <v>623</v>
      </c>
      <c r="Q741" s="13" t="s">
        <v>465</v>
      </c>
      <c r="R741" s="13" t="s">
        <v>2712</v>
      </c>
      <c r="S741" s="13" t="s">
        <v>403</v>
      </c>
      <c r="T741" s="28">
        <v>41.03</v>
      </c>
      <c r="U741" s="13" t="s">
        <v>461</v>
      </c>
      <c r="V741" s="13" t="s">
        <v>413</v>
      </c>
      <c r="W741" s="13" t="s">
        <v>625</v>
      </c>
      <c r="X741" s="17">
        <f>DATE(2023,11,15)</f>
        <v>45245</v>
      </c>
      <c r="Y741" s="3"/>
    </row>
    <row r="742" spans="1:25" ht="45" customHeight="1">
      <c r="A742" s="3">
        <v>740</v>
      </c>
      <c r="B742" s="13" t="s">
        <v>2713</v>
      </c>
      <c r="C742" s="13" t="s">
        <v>103</v>
      </c>
      <c r="D742" s="13" t="s">
        <v>2714</v>
      </c>
      <c r="E742" s="13" t="s">
        <v>1961</v>
      </c>
      <c r="F742" s="13" t="s">
        <v>29</v>
      </c>
      <c r="G742" s="13" t="s">
        <v>62</v>
      </c>
      <c r="H742" s="13" t="s">
        <v>406</v>
      </c>
      <c r="I742" s="27" t="s">
        <v>2715</v>
      </c>
      <c r="J742" s="27" t="s">
        <v>33</v>
      </c>
      <c r="K742" s="27" t="s">
        <v>106</v>
      </c>
      <c r="L742" s="27" t="s">
        <v>408</v>
      </c>
      <c r="M742" s="27" t="s">
        <v>409</v>
      </c>
      <c r="N742" s="17">
        <f>DATE(2025,4,21)</f>
        <v>45768</v>
      </c>
      <c r="O742" s="13" t="s">
        <v>107</v>
      </c>
      <c r="P742" s="13" t="s">
        <v>403</v>
      </c>
      <c r="Q742" s="13" t="s">
        <v>411</v>
      </c>
      <c r="R742" s="13" t="s">
        <v>2716</v>
      </c>
      <c r="S742" s="13" t="s">
        <v>403</v>
      </c>
      <c r="T742" s="28">
        <v>39.67</v>
      </c>
      <c r="U742" s="13" t="s">
        <v>1961</v>
      </c>
      <c r="V742" s="13" t="s">
        <v>413</v>
      </c>
      <c r="W742" s="13" t="s">
        <v>62</v>
      </c>
      <c r="X742" s="13"/>
      <c r="Y742" s="3"/>
    </row>
    <row r="743" spans="1:25" ht="45" customHeight="1">
      <c r="A743" s="3">
        <v>741</v>
      </c>
      <c r="B743" s="13" t="s">
        <v>2717</v>
      </c>
      <c r="C743" s="13" t="s">
        <v>103</v>
      </c>
      <c r="D743" s="13" t="s">
        <v>2718</v>
      </c>
      <c r="E743" s="13" t="s">
        <v>694</v>
      </c>
      <c r="F743" s="13" t="s">
        <v>2719</v>
      </c>
      <c r="G743" s="13" t="s">
        <v>2720</v>
      </c>
      <c r="H743" s="13" t="s">
        <v>406</v>
      </c>
      <c r="I743" s="27" t="s">
        <v>2721</v>
      </c>
      <c r="J743" s="27" t="s">
        <v>33</v>
      </c>
      <c r="K743" s="27" t="s">
        <v>106</v>
      </c>
      <c r="L743" s="27" t="s">
        <v>35</v>
      </c>
      <c r="M743" s="27" t="s">
        <v>36</v>
      </c>
      <c r="N743" s="17">
        <f>DATE(2023,9,4)</f>
        <v>45173</v>
      </c>
      <c r="O743" s="13" t="s">
        <v>107</v>
      </c>
      <c r="P743" s="13" t="s">
        <v>2722</v>
      </c>
      <c r="Q743" s="13" t="s">
        <v>465</v>
      </c>
      <c r="R743" s="13" t="s">
        <v>2723</v>
      </c>
      <c r="S743" s="13" t="s">
        <v>2722</v>
      </c>
      <c r="T743" s="28">
        <v>26.65</v>
      </c>
      <c r="U743" s="13" t="s">
        <v>694</v>
      </c>
      <c r="V743" s="13" t="s">
        <v>40</v>
      </c>
      <c r="W743" s="13" t="s">
        <v>2724</v>
      </c>
      <c r="X743" s="17">
        <f>DATE(2023,12,4)</f>
        <v>45264</v>
      </c>
      <c r="Y743" s="3"/>
    </row>
    <row r="744" spans="1:25" ht="45" customHeight="1">
      <c r="A744" s="3">
        <v>742</v>
      </c>
      <c r="B744" s="13" t="s">
        <v>2725</v>
      </c>
      <c r="C744" s="13" t="s">
        <v>26</v>
      </c>
      <c r="D744" s="13" t="s">
        <v>2726</v>
      </c>
      <c r="E744" s="13" t="s">
        <v>733</v>
      </c>
      <c r="F744" s="13" t="s">
        <v>706</v>
      </c>
      <c r="G744" s="13" t="s">
        <v>870</v>
      </c>
      <c r="H744" s="13" t="s">
        <v>706</v>
      </c>
      <c r="I744" s="27" t="s">
        <v>2727</v>
      </c>
      <c r="J744" s="27" t="s">
        <v>33</v>
      </c>
      <c r="K744" s="27" t="s">
        <v>34</v>
      </c>
      <c r="L744" s="27" t="s">
        <v>208</v>
      </c>
      <c r="M744" s="27" t="s">
        <v>209</v>
      </c>
      <c r="N744" s="17">
        <f>DATE(2023,9,19)</f>
        <v>45188</v>
      </c>
      <c r="O744" s="13" t="s">
        <v>107</v>
      </c>
      <c r="P744" s="13" t="s">
        <v>709</v>
      </c>
      <c r="Q744" s="13" t="s">
        <v>670</v>
      </c>
      <c r="R744" s="13" t="s">
        <v>2728</v>
      </c>
      <c r="S744" s="13" t="s">
        <v>458</v>
      </c>
      <c r="T744" s="28">
        <v>31.28</v>
      </c>
      <c r="U744" s="13" t="s">
        <v>733</v>
      </c>
      <c r="V744" s="13" t="s">
        <v>89</v>
      </c>
      <c r="W744" s="13" t="s">
        <v>873</v>
      </c>
      <c r="X744" s="17">
        <f>DATE(2023,12,18)</f>
        <v>45278</v>
      </c>
      <c r="Y744" s="3"/>
    </row>
    <row r="745" spans="1:25" ht="45" customHeight="1">
      <c r="A745" s="3">
        <v>743</v>
      </c>
      <c r="B745" s="13" t="s">
        <v>2729</v>
      </c>
      <c r="C745" s="13" t="s">
        <v>26</v>
      </c>
      <c r="D745" s="13" t="s">
        <v>2730</v>
      </c>
      <c r="E745" s="13" t="s">
        <v>668</v>
      </c>
      <c r="F745" s="13" t="s">
        <v>706</v>
      </c>
      <c r="G745" s="13" t="s">
        <v>707</v>
      </c>
      <c r="H745" s="13" t="s">
        <v>706</v>
      </c>
      <c r="I745" s="27" t="s">
        <v>2731</v>
      </c>
      <c r="J745" s="27" t="s">
        <v>33</v>
      </c>
      <c r="K745" s="27" t="s">
        <v>34</v>
      </c>
      <c r="L745" s="27" t="s">
        <v>35</v>
      </c>
      <c r="M745" s="27" t="s">
        <v>36</v>
      </c>
      <c r="N745" s="17">
        <f>DATE(2023,9,19)</f>
        <v>45188</v>
      </c>
      <c r="O745" s="13" t="s">
        <v>107</v>
      </c>
      <c r="P745" s="13" t="s">
        <v>709</v>
      </c>
      <c r="Q745" s="13" t="s">
        <v>670</v>
      </c>
      <c r="R745" s="13" t="s">
        <v>2732</v>
      </c>
      <c r="S745" s="13" t="s">
        <v>458</v>
      </c>
      <c r="T745" s="28">
        <v>49.56</v>
      </c>
      <c r="U745" s="13" t="s">
        <v>668</v>
      </c>
      <c r="V745" s="13" t="s">
        <v>53</v>
      </c>
      <c r="W745" s="13" t="s">
        <v>711</v>
      </c>
      <c r="X745" s="17">
        <f>DATE(2023,11,28)</f>
        <v>45258</v>
      </c>
      <c r="Y745" s="3"/>
    </row>
    <row r="746" spans="1:25" ht="45" customHeight="1">
      <c r="A746" s="3">
        <v>744</v>
      </c>
      <c r="B746" s="13" t="s">
        <v>2733</v>
      </c>
      <c r="C746" s="13" t="s">
        <v>103</v>
      </c>
      <c r="D746" s="13" t="s">
        <v>2734</v>
      </c>
      <c r="E746" s="13" t="s">
        <v>445</v>
      </c>
      <c r="F746" s="13" t="s">
        <v>446</v>
      </c>
      <c r="G746" s="13" t="s">
        <v>447</v>
      </c>
      <c r="H746" s="13" t="s">
        <v>406</v>
      </c>
      <c r="I746" s="27" t="s">
        <v>2735</v>
      </c>
      <c r="J746" s="27" t="s">
        <v>33</v>
      </c>
      <c r="K746" s="27" t="s">
        <v>106</v>
      </c>
      <c r="L746" s="27" t="s">
        <v>35</v>
      </c>
      <c r="M746" s="27" t="s">
        <v>36</v>
      </c>
      <c r="N746" s="17">
        <f t="shared" ref="N746:N752" si="58">DATE(2023,9,25)</f>
        <v>45194</v>
      </c>
      <c r="O746" s="13" t="s">
        <v>107</v>
      </c>
      <c r="P746" s="13" t="s">
        <v>449</v>
      </c>
      <c r="Q746" s="13" t="s">
        <v>431</v>
      </c>
      <c r="R746" s="13" t="s">
        <v>2736</v>
      </c>
      <c r="S746" s="13" t="s">
        <v>403</v>
      </c>
      <c r="T746" s="28">
        <v>24.73</v>
      </c>
      <c r="U746" s="13" t="s">
        <v>445</v>
      </c>
      <c r="V746" s="13" t="s">
        <v>413</v>
      </c>
      <c r="W746" s="13" t="s">
        <v>447</v>
      </c>
      <c r="X746" s="17">
        <f t="shared" ref="X746:X752" si="59">DATE(2023,12,25)</f>
        <v>45285</v>
      </c>
      <c r="Y746" s="3"/>
    </row>
    <row r="747" spans="1:25" ht="45" customHeight="1">
      <c r="A747" s="3">
        <v>745</v>
      </c>
      <c r="B747" s="13" t="s">
        <v>2737</v>
      </c>
      <c r="C747" s="13" t="s">
        <v>26</v>
      </c>
      <c r="D747" s="13" t="s">
        <v>2738</v>
      </c>
      <c r="E747" s="13" t="s">
        <v>660</v>
      </c>
      <c r="F747" s="13" t="s">
        <v>446</v>
      </c>
      <c r="G747" s="13" t="s">
        <v>615</v>
      </c>
      <c r="H747" s="13" t="s">
        <v>406</v>
      </c>
      <c r="I747" s="27" t="s">
        <v>2739</v>
      </c>
      <c r="J747" s="27" t="s">
        <v>33</v>
      </c>
      <c r="K747" s="27" t="s">
        <v>34</v>
      </c>
      <c r="L747" s="27" t="s">
        <v>35</v>
      </c>
      <c r="M747" s="27" t="s">
        <v>36</v>
      </c>
      <c r="N747" s="17">
        <f t="shared" si="58"/>
        <v>45194</v>
      </c>
      <c r="O747" s="13" t="s">
        <v>107</v>
      </c>
      <c r="P747" s="13" t="s">
        <v>449</v>
      </c>
      <c r="Q747" s="13" t="s">
        <v>431</v>
      </c>
      <c r="R747" s="13" t="s">
        <v>2740</v>
      </c>
      <c r="S747" s="13" t="s">
        <v>403</v>
      </c>
      <c r="T747" s="28">
        <v>24.46</v>
      </c>
      <c r="U747" s="13" t="s">
        <v>445</v>
      </c>
      <c r="V747" s="13" t="s">
        <v>413</v>
      </c>
      <c r="W747" s="13" t="s">
        <v>615</v>
      </c>
      <c r="X747" s="17">
        <f t="shared" si="59"/>
        <v>45285</v>
      </c>
      <c r="Y747" s="3"/>
    </row>
    <row r="748" spans="1:25" ht="45" customHeight="1">
      <c r="A748" s="3">
        <v>746</v>
      </c>
      <c r="B748" s="13" t="s">
        <v>2741</v>
      </c>
      <c r="C748" s="13" t="s">
        <v>26</v>
      </c>
      <c r="D748" s="13" t="s">
        <v>2742</v>
      </c>
      <c r="E748" s="13" t="s">
        <v>445</v>
      </c>
      <c r="F748" s="13" t="s">
        <v>428</v>
      </c>
      <c r="G748" s="13" t="s">
        <v>537</v>
      </c>
      <c r="H748" s="13" t="s">
        <v>406</v>
      </c>
      <c r="I748" s="27" t="s">
        <v>2743</v>
      </c>
      <c r="J748" s="27" t="s">
        <v>33</v>
      </c>
      <c r="K748" s="27" t="s">
        <v>34</v>
      </c>
      <c r="L748" s="27" t="s">
        <v>35</v>
      </c>
      <c r="M748" s="27" t="s">
        <v>36</v>
      </c>
      <c r="N748" s="17">
        <f t="shared" si="58"/>
        <v>45194</v>
      </c>
      <c r="O748" s="13" t="s">
        <v>107</v>
      </c>
      <c r="P748" s="13" t="s">
        <v>430</v>
      </c>
      <c r="Q748" s="13" t="s">
        <v>431</v>
      </c>
      <c r="R748" s="13" t="s">
        <v>2744</v>
      </c>
      <c r="S748" s="13" t="s">
        <v>433</v>
      </c>
      <c r="T748" s="28">
        <v>25.34</v>
      </c>
      <c r="U748" s="13" t="s">
        <v>445</v>
      </c>
      <c r="V748" s="13" t="s">
        <v>413</v>
      </c>
      <c r="W748" s="13" t="s">
        <v>537</v>
      </c>
      <c r="X748" s="17">
        <f t="shared" si="59"/>
        <v>45285</v>
      </c>
      <c r="Y748" s="3"/>
    </row>
    <row r="749" spans="1:25" ht="45" customHeight="1">
      <c r="A749" s="3">
        <v>747</v>
      </c>
      <c r="B749" s="13" t="s">
        <v>2745</v>
      </c>
      <c r="C749" s="13" t="s">
        <v>26</v>
      </c>
      <c r="D749" s="13" t="s">
        <v>2746</v>
      </c>
      <c r="E749" s="13" t="s">
        <v>445</v>
      </c>
      <c r="F749" s="13" t="s">
        <v>428</v>
      </c>
      <c r="G749" s="13" t="s">
        <v>62</v>
      </c>
      <c r="H749" s="13" t="s">
        <v>406</v>
      </c>
      <c r="I749" s="27" t="s">
        <v>2747</v>
      </c>
      <c r="J749" s="27" t="s">
        <v>33</v>
      </c>
      <c r="K749" s="27" t="s">
        <v>34</v>
      </c>
      <c r="L749" s="27" t="s">
        <v>35</v>
      </c>
      <c r="M749" s="27" t="s">
        <v>36</v>
      </c>
      <c r="N749" s="17">
        <f t="shared" si="58"/>
        <v>45194</v>
      </c>
      <c r="O749" s="13" t="s">
        <v>107</v>
      </c>
      <c r="P749" s="13" t="s">
        <v>430</v>
      </c>
      <c r="Q749" s="13" t="s">
        <v>431</v>
      </c>
      <c r="R749" s="13" t="s">
        <v>2748</v>
      </c>
      <c r="S749" s="13" t="s">
        <v>433</v>
      </c>
      <c r="T749" s="28">
        <v>25.74</v>
      </c>
      <c r="U749" s="13" t="s">
        <v>445</v>
      </c>
      <c r="V749" s="13" t="s">
        <v>413</v>
      </c>
      <c r="W749" s="13" t="s">
        <v>62</v>
      </c>
      <c r="X749" s="17">
        <f t="shared" si="59"/>
        <v>45285</v>
      </c>
      <c r="Y749" s="3"/>
    </row>
    <row r="750" spans="1:25" ht="45" customHeight="1">
      <c r="A750" s="3">
        <v>748</v>
      </c>
      <c r="B750" s="13" t="s">
        <v>2749</v>
      </c>
      <c r="C750" s="13" t="s">
        <v>103</v>
      </c>
      <c r="D750" s="13" t="s">
        <v>2750</v>
      </c>
      <c r="E750" s="13" t="s">
        <v>445</v>
      </c>
      <c r="F750" s="13" t="s">
        <v>446</v>
      </c>
      <c r="G750" s="13" t="s">
        <v>447</v>
      </c>
      <c r="H750" s="13" t="s">
        <v>406</v>
      </c>
      <c r="I750" s="27" t="s">
        <v>2751</v>
      </c>
      <c r="J750" s="27" t="s">
        <v>33</v>
      </c>
      <c r="K750" s="27" t="s">
        <v>106</v>
      </c>
      <c r="L750" s="27" t="s">
        <v>35</v>
      </c>
      <c r="M750" s="27" t="s">
        <v>36</v>
      </c>
      <c r="N750" s="17">
        <f t="shared" si="58"/>
        <v>45194</v>
      </c>
      <c r="O750" s="13" t="s">
        <v>107</v>
      </c>
      <c r="P750" s="13" t="s">
        <v>449</v>
      </c>
      <c r="Q750" s="13" t="s">
        <v>431</v>
      </c>
      <c r="R750" s="13" t="s">
        <v>2752</v>
      </c>
      <c r="S750" s="13" t="s">
        <v>403</v>
      </c>
      <c r="T750" s="28">
        <v>24.89</v>
      </c>
      <c r="U750" s="13" t="s">
        <v>445</v>
      </c>
      <c r="V750" s="13" t="s">
        <v>413</v>
      </c>
      <c r="W750" s="13" t="s">
        <v>447</v>
      </c>
      <c r="X750" s="17">
        <f t="shared" si="59"/>
        <v>45285</v>
      </c>
      <c r="Y750" s="3"/>
    </row>
    <row r="751" spans="1:25" ht="45" customHeight="1">
      <c r="A751" s="3">
        <v>749</v>
      </c>
      <c r="B751" s="13" t="s">
        <v>2753</v>
      </c>
      <c r="C751" s="13" t="s">
        <v>26</v>
      </c>
      <c r="D751" s="13" t="s">
        <v>2754</v>
      </c>
      <c r="E751" s="13" t="s">
        <v>445</v>
      </c>
      <c r="F751" s="13" t="s">
        <v>446</v>
      </c>
      <c r="G751" s="13" t="s">
        <v>860</v>
      </c>
      <c r="H751" s="13" t="s">
        <v>406</v>
      </c>
      <c r="I751" s="27" t="s">
        <v>2755</v>
      </c>
      <c r="J751" s="27" t="s">
        <v>33</v>
      </c>
      <c r="K751" s="27" t="s">
        <v>34</v>
      </c>
      <c r="L751" s="27" t="s">
        <v>35</v>
      </c>
      <c r="M751" s="27" t="s">
        <v>36</v>
      </c>
      <c r="N751" s="17">
        <f t="shared" si="58"/>
        <v>45194</v>
      </c>
      <c r="O751" s="13" t="s">
        <v>107</v>
      </c>
      <c r="P751" s="13" t="s">
        <v>449</v>
      </c>
      <c r="Q751" s="13" t="s">
        <v>431</v>
      </c>
      <c r="R751" s="13" t="s">
        <v>2756</v>
      </c>
      <c r="S751" s="13" t="s">
        <v>403</v>
      </c>
      <c r="T751" s="28">
        <v>24.94</v>
      </c>
      <c r="U751" s="13" t="s">
        <v>445</v>
      </c>
      <c r="V751" s="13" t="s">
        <v>413</v>
      </c>
      <c r="W751" s="13" t="s">
        <v>860</v>
      </c>
      <c r="X751" s="17">
        <f t="shared" si="59"/>
        <v>45285</v>
      </c>
      <c r="Y751" s="3"/>
    </row>
    <row r="752" spans="1:25" ht="45" customHeight="1">
      <c r="A752" s="3">
        <v>750</v>
      </c>
      <c r="B752" s="13" t="s">
        <v>2757</v>
      </c>
      <c r="C752" s="13" t="s">
        <v>26</v>
      </c>
      <c r="D752" s="13" t="s">
        <v>2758</v>
      </c>
      <c r="E752" s="13" t="s">
        <v>445</v>
      </c>
      <c r="F752" s="13" t="s">
        <v>428</v>
      </c>
      <c r="G752" s="13" t="s">
        <v>85</v>
      </c>
      <c r="H752" s="13" t="s">
        <v>406</v>
      </c>
      <c r="I752" s="27" t="s">
        <v>2759</v>
      </c>
      <c r="J752" s="27" t="s">
        <v>33</v>
      </c>
      <c r="K752" s="27" t="s">
        <v>34</v>
      </c>
      <c r="L752" s="27" t="s">
        <v>35</v>
      </c>
      <c r="M752" s="27" t="s">
        <v>36</v>
      </c>
      <c r="N752" s="17">
        <f t="shared" si="58"/>
        <v>45194</v>
      </c>
      <c r="O752" s="13" t="s">
        <v>107</v>
      </c>
      <c r="P752" s="13" t="s">
        <v>430</v>
      </c>
      <c r="Q752" s="13" t="s">
        <v>431</v>
      </c>
      <c r="R752" s="13" t="s">
        <v>2760</v>
      </c>
      <c r="S752" s="13" t="s">
        <v>433</v>
      </c>
      <c r="T752" s="28">
        <v>24.42</v>
      </c>
      <c r="U752" s="13" t="s">
        <v>445</v>
      </c>
      <c r="V752" s="13" t="s">
        <v>413</v>
      </c>
      <c r="W752" s="13" t="s">
        <v>85</v>
      </c>
      <c r="X752" s="17">
        <f t="shared" si="59"/>
        <v>45285</v>
      </c>
      <c r="Y752" s="3"/>
    </row>
    <row r="753" spans="1:25" ht="45" customHeight="1">
      <c r="A753" s="3">
        <v>751</v>
      </c>
      <c r="B753" s="13" t="s">
        <v>2761</v>
      </c>
      <c r="C753" s="13" t="s">
        <v>103</v>
      </c>
      <c r="D753" s="13" t="s">
        <v>2762</v>
      </c>
      <c r="E753" s="13" t="s">
        <v>815</v>
      </c>
      <c r="F753" s="13" t="s">
        <v>621</v>
      </c>
      <c r="G753" s="13" t="s">
        <v>621</v>
      </c>
      <c r="H753" s="13" t="s">
        <v>406</v>
      </c>
      <c r="I753" s="27" t="s">
        <v>2763</v>
      </c>
      <c r="J753" s="27" t="s">
        <v>33</v>
      </c>
      <c r="K753" s="27" t="s">
        <v>106</v>
      </c>
      <c r="L753" s="27" t="s">
        <v>35</v>
      </c>
      <c r="M753" s="27" t="s">
        <v>36</v>
      </c>
      <c r="N753" s="17">
        <f t="shared" ref="N753:N758" si="60">DATE(2023,10,2)</f>
        <v>45201</v>
      </c>
      <c r="O753" s="13" t="s">
        <v>107</v>
      </c>
      <c r="P753" s="13" t="s">
        <v>623</v>
      </c>
      <c r="Q753" s="13" t="s">
        <v>465</v>
      </c>
      <c r="R753" s="13" t="s">
        <v>2764</v>
      </c>
      <c r="S753" s="13" t="s">
        <v>403</v>
      </c>
      <c r="T753" s="28">
        <v>47.48</v>
      </c>
      <c r="U753" s="13" t="s">
        <v>822</v>
      </c>
      <c r="V753" s="13" t="s">
        <v>413</v>
      </c>
      <c r="W753" s="13" t="s">
        <v>625</v>
      </c>
      <c r="X753" s="17">
        <f>DATE(2023,12,13)</f>
        <v>45273</v>
      </c>
      <c r="Y753" s="3"/>
    </row>
    <row r="754" spans="1:25" ht="45" customHeight="1">
      <c r="A754" s="3">
        <v>752</v>
      </c>
      <c r="B754" s="13" t="s">
        <v>2765</v>
      </c>
      <c r="C754" s="13" t="s">
        <v>26</v>
      </c>
      <c r="D754" s="13" t="s">
        <v>2766</v>
      </c>
      <c r="E754" s="13" t="s">
        <v>765</v>
      </c>
      <c r="F754" s="13" t="s">
        <v>446</v>
      </c>
      <c r="G754" s="13" t="s">
        <v>860</v>
      </c>
      <c r="H754" s="13" t="s">
        <v>406</v>
      </c>
      <c r="I754" s="27" t="s">
        <v>2767</v>
      </c>
      <c r="J754" s="27" t="s">
        <v>33</v>
      </c>
      <c r="K754" s="27" t="s">
        <v>34</v>
      </c>
      <c r="L754" s="27" t="s">
        <v>35</v>
      </c>
      <c r="M754" s="27" t="s">
        <v>36</v>
      </c>
      <c r="N754" s="17">
        <f t="shared" si="60"/>
        <v>45201</v>
      </c>
      <c r="O754" s="13" t="s">
        <v>107</v>
      </c>
      <c r="P754" s="13" t="s">
        <v>449</v>
      </c>
      <c r="Q754" s="13" t="s">
        <v>670</v>
      </c>
      <c r="R754" s="13" t="s">
        <v>2768</v>
      </c>
      <c r="S754" s="13" t="s">
        <v>403</v>
      </c>
      <c r="T754" s="28">
        <v>21.65</v>
      </c>
      <c r="U754" s="13" t="s">
        <v>765</v>
      </c>
      <c r="V754" s="13" t="s">
        <v>752</v>
      </c>
      <c r="W754" s="13" t="s">
        <v>860</v>
      </c>
      <c r="X754" s="17">
        <f>DATE(2024,1,2)</f>
        <v>45293</v>
      </c>
      <c r="Y754" s="3"/>
    </row>
    <row r="755" spans="1:25" ht="45" customHeight="1">
      <c r="A755" s="3">
        <v>753</v>
      </c>
      <c r="B755" s="13" t="s">
        <v>2769</v>
      </c>
      <c r="C755" s="13" t="s">
        <v>26</v>
      </c>
      <c r="D755" s="13" t="s">
        <v>2770</v>
      </c>
      <c r="E755" s="13" t="s">
        <v>765</v>
      </c>
      <c r="F755" s="13" t="s">
        <v>446</v>
      </c>
      <c r="G755" s="13" t="s">
        <v>516</v>
      </c>
      <c r="H755" s="13" t="s">
        <v>406</v>
      </c>
      <c r="I755" s="27" t="s">
        <v>2771</v>
      </c>
      <c r="J755" s="27" t="s">
        <v>33</v>
      </c>
      <c r="K755" s="27" t="s">
        <v>34</v>
      </c>
      <c r="L755" s="27" t="s">
        <v>208</v>
      </c>
      <c r="M755" s="27" t="s">
        <v>209</v>
      </c>
      <c r="N755" s="17">
        <f t="shared" si="60"/>
        <v>45201</v>
      </c>
      <c r="O755" s="13" t="s">
        <v>107</v>
      </c>
      <c r="P755" s="13" t="s">
        <v>862</v>
      </c>
      <c r="Q755" s="13" t="s">
        <v>670</v>
      </c>
      <c r="R755" s="13" t="s">
        <v>2772</v>
      </c>
      <c r="S755" s="13" t="s">
        <v>449</v>
      </c>
      <c r="T755" s="28">
        <v>28.63</v>
      </c>
      <c r="U755" s="13" t="s">
        <v>765</v>
      </c>
      <c r="V755" s="13" t="s">
        <v>89</v>
      </c>
      <c r="W755" s="13" t="s">
        <v>516</v>
      </c>
      <c r="X755" s="17">
        <f>DATE(2024,1,2)</f>
        <v>45293</v>
      </c>
      <c r="Y755" s="3"/>
    </row>
    <row r="756" spans="1:25" ht="45" customHeight="1">
      <c r="A756" s="3">
        <v>754</v>
      </c>
      <c r="B756" s="13" t="s">
        <v>2773</v>
      </c>
      <c r="C756" s="13" t="s">
        <v>103</v>
      </c>
      <c r="D756" s="13" t="s">
        <v>2774</v>
      </c>
      <c r="E756" s="13" t="s">
        <v>1211</v>
      </c>
      <c r="F756" s="13" t="s">
        <v>29</v>
      </c>
      <c r="G756" s="13" t="s">
        <v>1216</v>
      </c>
      <c r="H756" s="13" t="s">
        <v>406</v>
      </c>
      <c r="I756" s="27" t="s">
        <v>2775</v>
      </c>
      <c r="J756" s="27" t="s">
        <v>33</v>
      </c>
      <c r="K756" s="27" t="s">
        <v>106</v>
      </c>
      <c r="L756" s="27" t="s">
        <v>35</v>
      </c>
      <c r="M756" s="27" t="s">
        <v>36</v>
      </c>
      <c r="N756" s="17">
        <f t="shared" si="60"/>
        <v>45201</v>
      </c>
      <c r="O756" s="13" t="s">
        <v>107</v>
      </c>
      <c r="P756" s="13" t="s">
        <v>503</v>
      </c>
      <c r="Q756" s="13" t="s">
        <v>465</v>
      </c>
      <c r="R756" s="13" t="s">
        <v>2776</v>
      </c>
      <c r="S756" s="13" t="s">
        <v>403</v>
      </c>
      <c r="T756" s="28">
        <v>29.43</v>
      </c>
      <c r="U756" s="13" t="s">
        <v>490</v>
      </c>
      <c r="V756" s="13" t="s">
        <v>413</v>
      </c>
      <c r="W756" s="13" t="s">
        <v>1219</v>
      </c>
      <c r="X756" s="17">
        <f>DATE(2024,1,2)</f>
        <v>45293</v>
      </c>
      <c r="Y756" s="3"/>
    </row>
    <row r="757" spans="1:25" ht="45" customHeight="1">
      <c r="A757" s="3">
        <v>755</v>
      </c>
      <c r="B757" s="13" t="s">
        <v>2777</v>
      </c>
      <c r="C757" s="13" t="s">
        <v>103</v>
      </c>
      <c r="D757" s="13" t="s">
        <v>2778</v>
      </c>
      <c r="E757" s="13" t="s">
        <v>694</v>
      </c>
      <c r="F757" s="13" t="s">
        <v>417</v>
      </c>
      <c r="G757" s="13" t="s">
        <v>2779</v>
      </c>
      <c r="H757" s="13" t="s">
        <v>419</v>
      </c>
      <c r="I757" s="27" t="s">
        <v>2780</v>
      </c>
      <c r="J757" s="27" t="s">
        <v>33</v>
      </c>
      <c r="K757" s="27" t="s">
        <v>106</v>
      </c>
      <c r="L757" s="27" t="s">
        <v>35</v>
      </c>
      <c r="M757" s="27" t="s">
        <v>36</v>
      </c>
      <c r="N757" s="17">
        <f t="shared" si="60"/>
        <v>45201</v>
      </c>
      <c r="O757" s="13" t="s">
        <v>107</v>
      </c>
      <c r="P757" s="13" t="s">
        <v>415</v>
      </c>
      <c r="Q757" s="13" t="s">
        <v>465</v>
      </c>
      <c r="R757" s="13" t="s">
        <v>2781</v>
      </c>
      <c r="S757" s="13" t="s">
        <v>423</v>
      </c>
      <c r="T757" s="28">
        <v>33.130000000000003</v>
      </c>
      <c r="U757" s="13" t="s">
        <v>694</v>
      </c>
      <c r="V757" s="13" t="s">
        <v>413</v>
      </c>
      <c r="W757" s="13" t="s">
        <v>2782</v>
      </c>
      <c r="X757" s="17">
        <f>DATE(2023,12,28)</f>
        <v>45288</v>
      </c>
      <c r="Y757" s="3"/>
    </row>
    <row r="758" spans="1:25" ht="45" customHeight="1">
      <c r="A758" s="3">
        <v>756</v>
      </c>
      <c r="B758" s="13" t="s">
        <v>2783</v>
      </c>
      <c r="C758" s="13" t="s">
        <v>103</v>
      </c>
      <c r="D758" s="13" t="s">
        <v>2784</v>
      </c>
      <c r="E758" s="13" t="s">
        <v>1755</v>
      </c>
      <c r="F758" s="13" t="s">
        <v>687</v>
      </c>
      <c r="G758" s="13" t="s">
        <v>687</v>
      </c>
      <c r="H758" s="13" t="s">
        <v>406</v>
      </c>
      <c r="I758" s="27" t="s">
        <v>2785</v>
      </c>
      <c r="J758" s="27" t="s">
        <v>33</v>
      </c>
      <c r="K758" s="27" t="s">
        <v>106</v>
      </c>
      <c r="L758" s="27" t="s">
        <v>35</v>
      </c>
      <c r="M758" s="27" t="s">
        <v>36</v>
      </c>
      <c r="N758" s="17">
        <f t="shared" si="60"/>
        <v>45201</v>
      </c>
      <c r="O758" s="13" t="s">
        <v>107</v>
      </c>
      <c r="P758" s="13" t="s">
        <v>689</v>
      </c>
      <c r="Q758" s="13" t="s">
        <v>465</v>
      </c>
      <c r="R758" s="13" t="s">
        <v>2786</v>
      </c>
      <c r="S758" s="13" t="s">
        <v>403</v>
      </c>
      <c r="T758" s="28">
        <v>31.44</v>
      </c>
      <c r="U758" s="13" t="s">
        <v>694</v>
      </c>
      <c r="V758" s="13" t="s">
        <v>413</v>
      </c>
      <c r="W758" s="13" t="s">
        <v>691</v>
      </c>
      <c r="X758" s="17">
        <f>DATE(2023,12,1)</f>
        <v>45261</v>
      </c>
      <c r="Y758" s="3"/>
    </row>
    <row r="759" spans="1:25" ht="45" customHeight="1">
      <c r="A759" s="3">
        <v>757</v>
      </c>
      <c r="B759" s="13" t="s">
        <v>2787</v>
      </c>
      <c r="C759" s="13" t="s">
        <v>26</v>
      </c>
      <c r="D759" s="13" t="s">
        <v>2788</v>
      </c>
      <c r="E759" s="13" t="s">
        <v>28</v>
      </c>
      <c r="F759" s="13" t="s">
        <v>29</v>
      </c>
      <c r="G759" s="13" t="s">
        <v>72</v>
      </c>
      <c r="H759" s="13" t="s">
        <v>1031</v>
      </c>
      <c r="I759" s="27" t="s">
        <v>2789</v>
      </c>
      <c r="J759" s="27" t="s">
        <v>33</v>
      </c>
      <c r="K759" s="27" t="s">
        <v>34</v>
      </c>
      <c r="L759" s="27" t="s">
        <v>35</v>
      </c>
      <c r="M759" s="27" t="s">
        <v>36</v>
      </c>
      <c r="N759" s="17">
        <f t="shared" ref="N759:N782" si="61">DATE(2023,10,1)</f>
        <v>45200</v>
      </c>
      <c r="O759" s="13" t="s">
        <v>34</v>
      </c>
      <c r="P759" s="13" t="s">
        <v>1100</v>
      </c>
      <c r="Q759" s="13" t="s">
        <v>38</v>
      </c>
      <c r="R759" s="13" t="s">
        <v>2790</v>
      </c>
      <c r="S759" s="13" t="s">
        <v>74</v>
      </c>
      <c r="T759" s="28">
        <v>24.13</v>
      </c>
      <c r="U759" s="13" t="s">
        <v>28</v>
      </c>
      <c r="V759" s="13" t="s">
        <v>89</v>
      </c>
      <c r="W759" s="13" t="s">
        <v>72</v>
      </c>
      <c r="X759" s="17">
        <f>DATE(2023,11,1)</f>
        <v>45231</v>
      </c>
      <c r="Y759" s="3"/>
    </row>
    <row r="760" spans="1:25" ht="45" customHeight="1">
      <c r="A760" s="3">
        <v>758</v>
      </c>
      <c r="B760" s="13" t="s">
        <v>2791</v>
      </c>
      <c r="C760" s="13" t="s">
        <v>26</v>
      </c>
      <c r="D760" s="13" t="s">
        <v>2792</v>
      </c>
      <c r="E760" s="13" t="s">
        <v>1064</v>
      </c>
      <c r="F760" s="13" t="s">
        <v>29</v>
      </c>
      <c r="G760" s="13" t="s">
        <v>72</v>
      </c>
      <c r="H760" s="13" t="s">
        <v>1031</v>
      </c>
      <c r="I760" s="27" t="s">
        <v>2793</v>
      </c>
      <c r="J760" s="27" t="s">
        <v>33</v>
      </c>
      <c r="K760" s="27" t="s">
        <v>34</v>
      </c>
      <c r="L760" s="27" t="s">
        <v>35</v>
      </c>
      <c r="M760" s="27" t="s">
        <v>36</v>
      </c>
      <c r="N760" s="17">
        <f t="shared" si="61"/>
        <v>45200</v>
      </c>
      <c r="O760" s="13" t="s">
        <v>34</v>
      </c>
      <c r="P760" s="13" t="s">
        <v>1144</v>
      </c>
      <c r="Q760" s="13" t="s">
        <v>38</v>
      </c>
      <c r="R760" s="13" t="s">
        <v>2794</v>
      </c>
      <c r="S760" s="13" t="s">
        <v>74</v>
      </c>
      <c r="T760" s="28">
        <v>26.01</v>
      </c>
      <c r="U760" s="13" t="s">
        <v>365</v>
      </c>
      <c r="V760" s="13" t="s">
        <v>53</v>
      </c>
      <c r="W760" s="13" t="s">
        <v>72</v>
      </c>
      <c r="X760" s="17">
        <f>DATE(2023,11,1)</f>
        <v>45231</v>
      </c>
      <c r="Y760" s="3"/>
    </row>
    <row r="761" spans="1:25" ht="45" customHeight="1">
      <c r="A761" s="3">
        <v>759</v>
      </c>
      <c r="B761" s="13" t="s">
        <v>2795</v>
      </c>
      <c r="C761" s="13" t="s">
        <v>26</v>
      </c>
      <c r="D761" s="13" t="s">
        <v>2796</v>
      </c>
      <c r="E761" s="13" t="s">
        <v>28</v>
      </c>
      <c r="F761" s="13" t="s">
        <v>29</v>
      </c>
      <c r="G761" s="13" t="s">
        <v>72</v>
      </c>
      <c r="H761" s="13" t="s">
        <v>31</v>
      </c>
      <c r="I761" s="27" t="s">
        <v>2797</v>
      </c>
      <c r="J761" s="27" t="s">
        <v>33</v>
      </c>
      <c r="K761" s="27" t="s">
        <v>34</v>
      </c>
      <c r="L761" s="27" t="s">
        <v>35</v>
      </c>
      <c r="M761" s="27" t="s">
        <v>36</v>
      </c>
      <c r="N761" s="17">
        <f t="shared" si="61"/>
        <v>45200</v>
      </c>
      <c r="O761" s="13" t="s">
        <v>34</v>
      </c>
      <c r="P761" s="13" t="s">
        <v>74</v>
      </c>
      <c r="Q761" s="13" t="s">
        <v>38</v>
      </c>
      <c r="R761" s="13" t="s">
        <v>2798</v>
      </c>
      <c r="S761" s="13" t="s">
        <v>74</v>
      </c>
      <c r="T761" s="28">
        <v>38.450000000000003</v>
      </c>
      <c r="U761" s="13" t="s">
        <v>28</v>
      </c>
      <c r="V761" s="13" t="s">
        <v>76</v>
      </c>
      <c r="W761" s="13" t="s">
        <v>72</v>
      </c>
      <c r="X761" s="17">
        <f>DATE(2023,11,1)</f>
        <v>45231</v>
      </c>
      <c r="Y761" s="3"/>
    </row>
    <row r="762" spans="1:25" ht="45" customHeight="1">
      <c r="A762" s="3">
        <v>760</v>
      </c>
      <c r="B762" s="13" t="s">
        <v>2799</v>
      </c>
      <c r="C762" s="13" t="s">
        <v>103</v>
      </c>
      <c r="D762" s="13" t="s">
        <v>2800</v>
      </c>
      <c r="E762" s="13" t="s">
        <v>28</v>
      </c>
      <c r="F762" s="13" t="s">
        <v>491</v>
      </c>
      <c r="G762" s="13" t="s">
        <v>830</v>
      </c>
      <c r="H762" s="13" t="s">
        <v>406</v>
      </c>
      <c r="I762" s="27" t="s">
        <v>2801</v>
      </c>
      <c r="J762" s="27" t="s">
        <v>33</v>
      </c>
      <c r="K762" s="27" t="s">
        <v>106</v>
      </c>
      <c r="L762" s="27" t="s">
        <v>35</v>
      </c>
      <c r="M762" s="27" t="s">
        <v>36</v>
      </c>
      <c r="N762" s="17">
        <f t="shared" si="61"/>
        <v>45200</v>
      </c>
      <c r="O762" s="13" t="s">
        <v>34</v>
      </c>
      <c r="P762" s="13" t="s">
        <v>505</v>
      </c>
      <c r="Q762" s="13" t="s">
        <v>38</v>
      </c>
      <c r="R762" s="13" t="s">
        <v>2802</v>
      </c>
      <c r="S762" s="13" t="s">
        <v>496</v>
      </c>
      <c r="T762" s="28">
        <v>21.8</v>
      </c>
      <c r="U762" s="13" t="s">
        <v>28</v>
      </c>
      <c r="V762" s="13" t="s">
        <v>53</v>
      </c>
      <c r="W762" s="13" t="s">
        <v>833</v>
      </c>
      <c r="X762" s="17">
        <f>DATE(2023,10,24)</f>
        <v>45223</v>
      </c>
      <c r="Y762" s="3"/>
    </row>
    <row r="763" spans="1:25" ht="45" customHeight="1">
      <c r="A763" s="3">
        <v>761</v>
      </c>
      <c r="B763" s="13" t="s">
        <v>2803</v>
      </c>
      <c r="C763" s="13" t="s">
        <v>26</v>
      </c>
      <c r="D763" s="13" t="s">
        <v>2804</v>
      </c>
      <c r="E763" s="13" t="s">
        <v>28</v>
      </c>
      <c r="F763" s="13" t="s">
        <v>29</v>
      </c>
      <c r="G763" s="13" t="s">
        <v>62</v>
      </c>
      <c r="H763" s="13" t="s">
        <v>31</v>
      </c>
      <c r="I763" s="27" t="s">
        <v>2805</v>
      </c>
      <c r="J763" s="27" t="s">
        <v>33</v>
      </c>
      <c r="K763" s="27" t="s">
        <v>34</v>
      </c>
      <c r="L763" s="27" t="s">
        <v>35</v>
      </c>
      <c r="M763" s="27" t="s">
        <v>36</v>
      </c>
      <c r="N763" s="17">
        <f t="shared" si="61"/>
        <v>45200</v>
      </c>
      <c r="O763" s="13" t="s">
        <v>34</v>
      </c>
      <c r="P763" s="13" t="s">
        <v>64</v>
      </c>
      <c r="Q763" s="13" t="s">
        <v>38</v>
      </c>
      <c r="R763" s="13" t="s">
        <v>2806</v>
      </c>
      <c r="S763" s="13" t="s">
        <v>64</v>
      </c>
      <c r="T763" s="28">
        <v>22.99</v>
      </c>
      <c r="U763" s="13" t="s">
        <v>28</v>
      </c>
      <c r="V763" s="13" t="s">
        <v>76</v>
      </c>
      <c r="W763" s="13" t="s">
        <v>62</v>
      </c>
      <c r="X763" s="17">
        <f>DATE(2023,10,16)</f>
        <v>45215</v>
      </c>
      <c r="Y763" s="3"/>
    </row>
    <row r="764" spans="1:25" ht="45" customHeight="1">
      <c r="A764" s="3">
        <v>762</v>
      </c>
      <c r="B764" s="13" t="s">
        <v>2807</v>
      </c>
      <c r="C764" s="13" t="s">
        <v>26</v>
      </c>
      <c r="D764" s="13" t="s">
        <v>2808</v>
      </c>
      <c r="E764" s="13" t="s">
        <v>1064</v>
      </c>
      <c r="F764" s="13" t="s">
        <v>29</v>
      </c>
      <c r="G764" s="13" t="s">
        <v>30</v>
      </c>
      <c r="H764" s="13" t="s">
        <v>1031</v>
      </c>
      <c r="I764" s="27" t="s">
        <v>2809</v>
      </c>
      <c r="J764" s="27" t="s">
        <v>33</v>
      </c>
      <c r="K764" s="27" t="s">
        <v>34</v>
      </c>
      <c r="L764" s="27" t="s">
        <v>35</v>
      </c>
      <c r="M764" s="27" t="s">
        <v>36</v>
      </c>
      <c r="N764" s="17">
        <f t="shared" si="61"/>
        <v>45200</v>
      </c>
      <c r="O764" s="13" t="s">
        <v>34</v>
      </c>
      <c r="P764" s="13" t="s">
        <v>1606</v>
      </c>
      <c r="Q764" s="13" t="s">
        <v>38</v>
      </c>
      <c r="R764" s="13" t="s">
        <v>2810</v>
      </c>
      <c r="S764" s="13" t="s">
        <v>37</v>
      </c>
      <c r="T764" s="28">
        <v>29.56</v>
      </c>
      <c r="U764" s="13" t="s">
        <v>365</v>
      </c>
      <c r="V764" s="13" t="s">
        <v>89</v>
      </c>
      <c r="W764" s="13" t="s">
        <v>30</v>
      </c>
      <c r="X764" s="17">
        <f>DATE(2023,11,1)</f>
        <v>45231</v>
      </c>
      <c r="Y764" s="3"/>
    </row>
    <row r="765" spans="1:25" ht="45" customHeight="1">
      <c r="A765" s="3">
        <v>763</v>
      </c>
      <c r="B765" s="13" t="s">
        <v>2811</v>
      </c>
      <c r="C765" s="13" t="s">
        <v>26</v>
      </c>
      <c r="D765" s="13" t="s">
        <v>2812</v>
      </c>
      <c r="E765" s="13" t="s">
        <v>28</v>
      </c>
      <c r="F765" s="13" t="s">
        <v>29</v>
      </c>
      <c r="G765" s="13" t="s">
        <v>30</v>
      </c>
      <c r="H765" s="13" t="s">
        <v>1031</v>
      </c>
      <c r="I765" s="27" t="s">
        <v>2813</v>
      </c>
      <c r="J765" s="27" t="s">
        <v>33</v>
      </c>
      <c r="K765" s="27" t="s">
        <v>34</v>
      </c>
      <c r="L765" s="27" t="s">
        <v>35</v>
      </c>
      <c r="M765" s="27" t="s">
        <v>36</v>
      </c>
      <c r="N765" s="17">
        <f t="shared" si="61"/>
        <v>45200</v>
      </c>
      <c r="O765" s="13" t="s">
        <v>34</v>
      </c>
      <c r="P765" s="13" t="s">
        <v>1154</v>
      </c>
      <c r="Q765" s="13" t="s">
        <v>38</v>
      </c>
      <c r="R765" s="13" t="s">
        <v>2814</v>
      </c>
      <c r="S765" s="13" t="s">
        <v>37</v>
      </c>
      <c r="T765" s="28">
        <v>22.26</v>
      </c>
      <c r="U765" s="13" t="s">
        <v>28</v>
      </c>
      <c r="V765" s="13" t="s">
        <v>146</v>
      </c>
      <c r="W765" s="13" t="s">
        <v>30</v>
      </c>
      <c r="X765" s="17">
        <f>DATE(2023,11,1)</f>
        <v>45231</v>
      </c>
      <c r="Y765" s="3"/>
    </row>
    <row r="766" spans="1:25" ht="45" customHeight="1">
      <c r="A766" s="3">
        <v>764</v>
      </c>
      <c r="B766" s="13" t="s">
        <v>2815</v>
      </c>
      <c r="C766" s="13" t="s">
        <v>26</v>
      </c>
      <c r="D766" s="13" t="s">
        <v>2816</v>
      </c>
      <c r="E766" s="13" t="s">
        <v>28</v>
      </c>
      <c r="F766" s="13" t="s">
        <v>29</v>
      </c>
      <c r="G766" s="13" t="s">
        <v>30</v>
      </c>
      <c r="H766" s="13" t="s">
        <v>1031</v>
      </c>
      <c r="I766" s="27" t="s">
        <v>2817</v>
      </c>
      <c r="J766" s="27" t="s">
        <v>33</v>
      </c>
      <c r="K766" s="27" t="s">
        <v>34</v>
      </c>
      <c r="L766" s="27" t="s">
        <v>208</v>
      </c>
      <c r="M766" s="27" t="s">
        <v>36</v>
      </c>
      <c r="N766" s="17">
        <f t="shared" si="61"/>
        <v>45200</v>
      </c>
      <c r="O766" s="13" t="s">
        <v>1198</v>
      </c>
      <c r="P766" s="13" t="s">
        <v>1781</v>
      </c>
      <c r="Q766" s="13" t="s">
        <v>38</v>
      </c>
      <c r="R766" s="13" t="s">
        <v>2818</v>
      </c>
      <c r="S766" s="13" t="s">
        <v>37</v>
      </c>
      <c r="T766" s="28">
        <v>21.54</v>
      </c>
      <c r="U766" s="13" t="s">
        <v>28</v>
      </c>
      <c r="V766" s="13" t="s">
        <v>53</v>
      </c>
      <c r="W766" s="13" t="s">
        <v>30</v>
      </c>
      <c r="X766" s="17">
        <f>DATE(2023,11,1)</f>
        <v>45231</v>
      </c>
      <c r="Y766" s="3"/>
    </row>
    <row r="767" spans="1:25" ht="45" customHeight="1">
      <c r="A767" s="3">
        <v>765</v>
      </c>
      <c r="B767" s="13" t="s">
        <v>2819</v>
      </c>
      <c r="C767" s="13" t="s">
        <v>103</v>
      </c>
      <c r="D767" s="13" t="s">
        <v>2820</v>
      </c>
      <c r="E767" s="13" t="s">
        <v>28</v>
      </c>
      <c r="F767" s="13" t="s">
        <v>29</v>
      </c>
      <c r="G767" s="13" t="s">
        <v>1216</v>
      </c>
      <c r="H767" s="13" t="s">
        <v>31</v>
      </c>
      <c r="I767" s="27" t="s">
        <v>2821</v>
      </c>
      <c r="J767" s="27" t="s">
        <v>33</v>
      </c>
      <c r="K767" s="27" t="s">
        <v>106</v>
      </c>
      <c r="L767" s="27" t="s">
        <v>35</v>
      </c>
      <c r="M767" s="27" t="s">
        <v>36</v>
      </c>
      <c r="N767" s="17">
        <f t="shared" si="61"/>
        <v>45200</v>
      </c>
      <c r="O767" s="13" t="s">
        <v>1198</v>
      </c>
      <c r="P767" s="13" t="s">
        <v>1221</v>
      </c>
      <c r="Q767" s="13" t="s">
        <v>38</v>
      </c>
      <c r="R767" s="13" t="s">
        <v>2822</v>
      </c>
      <c r="S767" s="13" t="s">
        <v>1215</v>
      </c>
      <c r="T767" s="28">
        <v>23.94</v>
      </c>
      <c r="U767" s="13" t="s">
        <v>28</v>
      </c>
      <c r="V767" s="13" t="s">
        <v>53</v>
      </c>
      <c r="W767" s="13" t="s">
        <v>1219</v>
      </c>
      <c r="X767" s="17">
        <f>DATE(2023,11,1)</f>
        <v>45231</v>
      </c>
      <c r="Y767" s="3"/>
    </row>
    <row r="768" spans="1:25" ht="45" customHeight="1">
      <c r="A768" s="3">
        <v>766</v>
      </c>
      <c r="B768" s="13" t="s">
        <v>2823</v>
      </c>
      <c r="C768" s="13" t="s">
        <v>26</v>
      </c>
      <c r="D768" s="13" t="s">
        <v>2824</v>
      </c>
      <c r="E768" s="13" t="s">
        <v>28</v>
      </c>
      <c r="F768" s="13" t="s">
        <v>29</v>
      </c>
      <c r="G768" s="13" t="s">
        <v>1216</v>
      </c>
      <c r="H768" s="13" t="s">
        <v>1031</v>
      </c>
      <c r="I768" s="27" t="s">
        <v>2825</v>
      </c>
      <c r="J768" s="27" t="s">
        <v>33</v>
      </c>
      <c r="K768" s="27" t="s">
        <v>34</v>
      </c>
      <c r="L768" s="27" t="s">
        <v>35</v>
      </c>
      <c r="M768" s="27" t="s">
        <v>36</v>
      </c>
      <c r="N768" s="17">
        <f t="shared" si="61"/>
        <v>45200</v>
      </c>
      <c r="O768" s="13" t="s">
        <v>34</v>
      </c>
      <c r="P768" s="13" t="s">
        <v>1221</v>
      </c>
      <c r="Q768" s="13" t="s">
        <v>38</v>
      </c>
      <c r="R768" s="13" t="s">
        <v>2826</v>
      </c>
      <c r="S768" s="13" t="s">
        <v>1215</v>
      </c>
      <c r="T768" s="28">
        <v>23.26</v>
      </c>
      <c r="U768" s="13" t="s">
        <v>28</v>
      </c>
      <c r="V768" s="13" t="s">
        <v>53</v>
      </c>
      <c r="W768" s="13" t="s">
        <v>1219</v>
      </c>
      <c r="X768" s="17">
        <f>DATE(2023,11,1)</f>
        <v>45231</v>
      </c>
      <c r="Y768" s="3"/>
    </row>
    <row r="769" spans="1:25" ht="45" customHeight="1">
      <c r="A769" s="3">
        <v>767</v>
      </c>
      <c r="B769" s="13" t="s">
        <v>2827</v>
      </c>
      <c r="C769" s="13" t="s">
        <v>26</v>
      </c>
      <c r="D769" s="13" t="s">
        <v>2828</v>
      </c>
      <c r="E769" s="13" t="s">
        <v>1064</v>
      </c>
      <c r="F769" s="13" t="s">
        <v>29</v>
      </c>
      <c r="G769" s="13" t="s">
        <v>85</v>
      </c>
      <c r="H769" s="13" t="s">
        <v>1031</v>
      </c>
      <c r="I769" s="27" t="s">
        <v>2829</v>
      </c>
      <c r="J769" s="27" t="s">
        <v>33</v>
      </c>
      <c r="K769" s="27" t="s">
        <v>34</v>
      </c>
      <c r="L769" s="27" t="s">
        <v>35</v>
      </c>
      <c r="M769" s="27" t="s">
        <v>36</v>
      </c>
      <c r="N769" s="17">
        <f t="shared" si="61"/>
        <v>45200</v>
      </c>
      <c r="O769" s="13" t="s">
        <v>34</v>
      </c>
      <c r="P769" s="13" t="s">
        <v>1060</v>
      </c>
      <c r="Q769" s="13" t="s">
        <v>38</v>
      </c>
      <c r="R769" s="13" t="s">
        <v>2830</v>
      </c>
      <c r="S769" s="13" t="s">
        <v>87</v>
      </c>
      <c r="T769" s="28">
        <v>24.89</v>
      </c>
      <c r="U769" s="13" t="s">
        <v>365</v>
      </c>
      <c r="V769" s="13" t="s">
        <v>53</v>
      </c>
      <c r="W769" s="13" t="s">
        <v>85</v>
      </c>
      <c r="X769" s="17">
        <f>DATE(2023,10,16)</f>
        <v>45215</v>
      </c>
      <c r="Y769" s="3"/>
    </row>
    <row r="770" spans="1:25" ht="45" customHeight="1">
      <c r="A770" s="3">
        <v>768</v>
      </c>
      <c r="B770" s="13" t="s">
        <v>2831</v>
      </c>
      <c r="C770" s="13" t="s">
        <v>26</v>
      </c>
      <c r="D770" s="13" t="s">
        <v>2832</v>
      </c>
      <c r="E770" s="13" t="s">
        <v>1064</v>
      </c>
      <c r="F770" s="13" t="s">
        <v>29</v>
      </c>
      <c r="G770" s="13" t="s">
        <v>85</v>
      </c>
      <c r="H770" s="13" t="s">
        <v>1031</v>
      </c>
      <c r="I770" s="27" t="s">
        <v>2833</v>
      </c>
      <c r="J770" s="27" t="s">
        <v>33</v>
      </c>
      <c r="K770" s="27" t="s">
        <v>34</v>
      </c>
      <c r="L770" s="27" t="s">
        <v>35</v>
      </c>
      <c r="M770" s="27" t="s">
        <v>36</v>
      </c>
      <c r="N770" s="17">
        <f t="shared" si="61"/>
        <v>45200</v>
      </c>
      <c r="O770" s="13" t="s">
        <v>34</v>
      </c>
      <c r="P770" s="13" t="s">
        <v>230</v>
      </c>
      <c r="Q770" s="13" t="s">
        <v>38</v>
      </c>
      <c r="R770" s="13" t="s">
        <v>2834</v>
      </c>
      <c r="S770" s="13" t="s">
        <v>87</v>
      </c>
      <c r="T770" s="28">
        <v>24.24</v>
      </c>
      <c r="U770" s="13" t="s">
        <v>365</v>
      </c>
      <c r="V770" s="13" t="s">
        <v>146</v>
      </c>
      <c r="W770" s="13" t="s">
        <v>85</v>
      </c>
      <c r="X770" s="17">
        <f>DATE(2023,10,16)</f>
        <v>45215</v>
      </c>
      <c r="Y770" s="3"/>
    </row>
    <row r="771" spans="1:25" ht="45" customHeight="1">
      <c r="A771" s="3">
        <v>769</v>
      </c>
      <c r="B771" s="13" t="s">
        <v>2835</v>
      </c>
      <c r="C771" s="13" t="s">
        <v>103</v>
      </c>
      <c r="D771" s="13" t="s">
        <v>2836</v>
      </c>
      <c r="E771" s="13" t="s">
        <v>28</v>
      </c>
      <c r="F771" s="13" t="s">
        <v>491</v>
      </c>
      <c r="G771" s="13" t="s">
        <v>1042</v>
      </c>
      <c r="H771" s="13" t="s">
        <v>406</v>
      </c>
      <c r="I771" s="27" t="s">
        <v>2837</v>
      </c>
      <c r="J771" s="27" t="s">
        <v>33</v>
      </c>
      <c r="K771" s="27" t="s">
        <v>106</v>
      </c>
      <c r="L771" s="27" t="s">
        <v>35</v>
      </c>
      <c r="M771" s="27" t="s">
        <v>36</v>
      </c>
      <c r="N771" s="17">
        <f t="shared" si="61"/>
        <v>45200</v>
      </c>
      <c r="O771" s="13" t="s">
        <v>1198</v>
      </c>
      <c r="P771" s="13" t="s">
        <v>717</v>
      </c>
      <c r="Q771" s="13" t="s">
        <v>38</v>
      </c>
      <c r="R771" s="13" t="s">
        <v>2838</v>
      </c>
      <c r="S771" s="13" t="s">
        <v>496</v>
      </c>
      <c r="T771" s="28">
        <v>22.18</v>
      </c>
      <c r="U771" s="13" t="s">
        <v>28</v>
      </c>
      <c r="V771" s="13" t="s">
        <v>146</v>
      </c>
      <c r="W771" s="13" t="s">
        <v>1042</v>
      </c>
      <c r="X771" s="17">
        <f>DATE(2023,10,20)</f>
        <v>45219</v>
      </c>
      <c r="Y771" s="3"/>
    </row>
    <row r="772" spans="1:25" ht="45" customHeight="1">
      <c r="A772" s="3">
        <v>770</v>
      </c>
      <c r="B772" s="13" t="s">
        <v>2839</v>
      </c>
      <c r="C772" s="13" t="s">
        <v>26</v>
      </c>
      <c r="D772" s="13" t="s">
        <v>2840</v>
      </c>
      <c r="E772" s="13" t="s">
        <v>1064</v>
      </c>
      <c r="F772" s="13" t="s">
        <v>29</v>
      </c>
      <c r="G772" s="13" t="s">
        <v>123</v>
      </c>
      <c r="H772" s="13" t="s">
        <v>1031</v>
      </c>
      <c r="I772" s="27" t="s">
        <v>2841</v>
      </c>
      <c r="J772" s="27" t="s">
        <v>33</v>
      </c>
      <c r="K772" s="27" t="s">
        <v>34</v>
      </c>
      <c r="L772" s="27" t="s">
        <v>35</v>
      </c>
      <c r="M772" s="27" t="s">
        <v>36</v>
      </c>
      <c r="N772" s="17">
        <f t="shared" si="61"/>
        <v>45200</v>
      </c>
      <c r="O772" s="13" t="s">
        <v>34</v>
      </c>
      <c r="P772" s="13" t="s">
        <v>125</v>
      </c>
      <c r="Q772" s="13" t="s">
        <v>38</v>
      </c>
      <c r="R772" s="13" t="s">
        <v>2842</v>
      </c>
      <c r="S772" s="13" t="s">
        <v>127</v>
      </c>
      <c r="T772" s="28">
        <v>36.380000000000003</v>
      </c>
      <c r="U772" s="13" t="s">
        <v>365</v>
      </c>
      <c r="V772" s="13" t="s">
        <v>89</v>
      </c>
      <c r="W772" s="13" t="s">
        <v>128</v>
      </c>
      <c r="X772" s="17">
        <f>DATE(2023,10,23)</f>
        <v>45222</v>
      </c>
      <c r="Y772" s="3"/>
    </row>
    <row r="773" spans="1:25" ht="45" customHeight="1">
      <c r="A773" s="3">
        <v>771</v>
      </c>
      <c r="B773" s="13" t="s">
        <v>2843</v>
      </c>
      <c r="C773" s="13" t="s">
        <v>26</v>
      </c>
      <c r="D773" s="13" t="s">
        <v>2844</v>
      </c>
      <c r="E773" s="13" t="s">
        <v>1064</v>
      </c>
      <c r="F773" s="13" t="s">
        <v>29</v>
      </c>
      <c r="G773" s="13" t="s">
        <v>123</v>
      </c>
      <c r="H773" s="13" t="s">
        <v>1031</v>
      </c>
      <c r="I773" s="27" t="s">
        <v>2845</v>
      </c>
      <c r="J773" s="27" t="s">
        <v>33</v>
      </c>
      <c r="K773" s="27" t="s">
        <v>34</v>
      </c>
      <c r="L773" s="27" t="s">
        <v>35</v>
      </c>
      <c r="M773" s="27" t="s">
        <v>36</v>
      </c>
      <c r="N773" s="17">
        <f t="shared" si="61"/>
        <v>45200</v>
      </c>
      <c r="O773" s="13" t="s">
        <v>34</v>
      </c>
      <c r="P773" s="13" t="s">
        <v>144</v>
      </c>
      <c r="Q773" s="13" t="s">
        <v>38</v>
      </c>
      <c r="R773" s="13" t="s">
        <v>2846</v>
      </c>
      <c r="S773" s="13" t="s">
        <v>127</v>
      </c>
      <c r="T773" s="28">
        <v>27.63</v>
      </c>
      <c r="U773" s="13" t="s">
        <v>365</v>
      </c>
      <c r="V773" s="13" t="s">
        <v>146</v>
      </c>
      <c r="W773" s="13" t="s">
        <v>128</v>
      </c>
      <c r="X773" s="17">
        <f>DATE(2023,10,23)</f>
        <v>45222</v>
      </c>
      <c r="Y773" s="3"/>
    </row>
    <row r="774" spans="1:25" ht="45" customHeight="1">
      <c r="A774" s="3">
        <v>772</v>
      </c>
      <c r="B774" s="13" t="s">
        <v>2847</v>
      </c>
      <c r="C774" s="13" t="s">
        <v>103</v>
      </c>
      <c r="D774" s="13" t="s">
        <v>2848</v>
      </c>
      <c r="E774" s="13" t="s">
        <v>28</v>
      </c>
      <c r="F774" s="13" t="s">
        <v>491</v>
      </c>
      <c r="G774" s="13" t="s">
        <v>950</v>
      </c>
      <c r="H774" s="13" t="s">
        <v>406</v>
      </c>
      <c r="I774" s="27" t="s">
        <v>2849</v>
      </c>
      <c r="J774" s="27" t="s">
        <v>33</v>
      </c>
      <c r="K774" s="27" t="s">
        <v>106</v>
      </c>
      <c r="L774" s="27" t="s">
        <v>35</v>
      </c>
      <c r="M774" s="27" t="s">
        <v>36</v>
      </c>
      <c r="N774" s="17">
        <f t="shared" si="61"/>
        <v>45200</v>
      </c>
      <c r="O774" s="13" t="s">
        <v>34</v>
      </c>
      <c r="P774" s="13" t="s">
        <v>952</v>
      </c>
      <c r="Q774" s="13" t="s">
        <v>38</v>
      </c>
      <c r="R774" s="13" t="s">
        <v>2850</v>
      </c>
      <c r="S774" s="13" t="s">
        <v>496</v>
      </c>
      <c r="T774" s="28">
        <v>30.35</v>
      </c>
      <c r="U774" s="13" t="s">
        <v>28</v>
      </c>
      <c r="V774" s="13" t="s">
        <v>89</v>
      </c>
      <c r="W774" s="13" t="s">
        <v>954</v>
      </c>
      <c r="X774" s="17">
        <f>DATE(2023,10,25)</f>
        <v>45224</v>
      </c>
      <c r="Y774" s="3"/>
    </row>
    <row r="775" spans="1:25" ht="45" customHeight="1">
      <c r="A775" s="3">
        <v>773</v>
      </c>
      <c r="B775" s="13" t="s">
        <v>2851</v>
      </c>
      <c r="C775" s="13" t="s">
        <v>26</v>
      </c>
      <c r="D775" s="13" t="s">
        <v>2852</v>
      </c>
      <c r="E775" s="13" t="s">
        <v>28</v>
      </c>
      <c r="F775" s="13" t="s">
        <v>29</v>
      </c>
      <c r="G775" s="13" t="s">
        <v>48</v>
      </c>
      <c r="H775" s="13" t="s">
        <v>1031</v>
      </c>
      <c r="I775" s="27" t="s">
        <v>2853</v>
      </c>
      <c r="J775" s="27" t="s">
        <v>33</v>
      </c>
      <c r="K775" s="27" t="s">
        <v>34</v>
      </c>
      <c r="L775" s="27" t="s">
        <v>35</v>
      </c>
      <c r="M775" s="27" t="s">
        <v>36</v>
      </c>
      <c r="N775" s="17">
        <f t="shared" si="61"/>
        <v>45200</v>
      </c>
      <c r="O775" s="13" t="s">
        <v>34</v>
      </c>
      <c r="P775" s="13" t="s">
        <v>52</v>
      </c>
      <c r="Q775" s="13" t="s">
        <v>38</v>
      </c>
      <c r="R775" s="13" t="s">
        <v>2854</v>
      </c>
      <c r="S775" s="13" t="s">
        <v>52</v>
      </c>
      <c r="T775" s="28">
        <v>30.31</v>
      </c>
      <c r="U775" s="13" t="s">
        <v>28</v>
      </c>
      <c r="V775" s="13" t="s">
        <v>146</v>
      </c>
      <c r="W775" s="13" t="s">
        <v>48</v>
      </c>
      <c r="X775" s="17">
        <f>DATE(2023,10,16)</f>
        <v>45215</v>
      </c>
      <c r="Y775" s="3"/>
    </row>
    <row r="776" spans="1:25" ht="45" customHeight="1">
      <c r="A776" s="3">
        <v>774</v>
      </c>
      <c r="B776" s="13" t="s">
        <v>2855</v>
      </c>
      <c r="C776" s="13" t="s">
        <v>103</v>
      </c>
      <c r="D776" s="13" t="s">
        <v>2856</v>
      </c>
      <c r="E776" s="13" t="s">
        <v>1064</v>
      </c>
      <c r="F776" s="13" t="s">
        <v>29</v>
      </c>
      <c r="G776" s="13" t="s">
        <v>680</v>
      </c>
      <c r="H776" s="13" t="s">
        <v>1031</v>
      </c>
      <c r="I776" s="27" t="s">
        <v>2857</v>
      </c>
      <c r="J776" s="27" t="s">
        <v>33</v>
      </c>
      <c r="K776" s="27" t="s">
        <v>106</v>
      </c>
      <c r="L776" s="27" t="s">
        <v>35</v>
      </c>
      <c r="M776" s="27" t="s">
        <v>36</v>
      </c>
      <c r="N776" s="17">
        <f t="shared" si="61"/>
        <v>45200</v>
      </c>
      <c r="O776" s="13" t="s">
        <v>1198</v>
      </c>
      <c r="P776" s="13" t="s">
        <v>182</v>
      </c>
      <c r="Q776" s="13" t="s">
        <v>38</v>
      </c>
      <c r="R776" s="13" t="s">
        <v>2858</v>
      </c>
      <c r="S776" s="13" t="s">
        <v>52</v>
      </c>
      <c r="T776" s="28">
        <v>31.02</v>
      </c>
      <c r="U776" s="13" t="s">
        <v>365</v>
      </c>
      <c r="V776" s="13" t="s">
        <v>89</v>
      </c>
      <c r="W776" s="13" t="s">
        <v>683</v>
      </c>
      <c r="X776" s="17">
        <f>DATE(2023,10,16)</f>
        <v>45215</v>
      </c>
      <c r="Y776" s="3"/>
    </row>
    <row r="777" spans="1:25" ht="45" customHeight="1">
      <c r="A777" s="3">
        <v>775</v>
      </c>
      <c r="B777" s="13" t="s">
        <v>2859</v>
      </c>
      <c r="C777" s="13" t="s">
        <v>26</v>
      </c>
      <c r="D777" s="13" t="s">
        <v>2860</v>
      </c>
      <c r="E777" s="13" t="s">
        <v>28</v>
      </c>
      <c r="F777" s="13" t="s">
        <v>29</v>
      </c>
      <c r="G777" s="13" t="s">
        <v>79</v>
      </c>
      <c r="H777" s="13" t="s">
        <v>1031</v>
      </c>
      <c r="I777" s="27" t="s">
        <v>2861</v>
      </c>
      <c r="J777" s="27" t="s">
        <v>33</v>
      </c>
      <c r="K777" s="27" t="s">
        <v>34</v>
      </c>
      <c r="L777" s="27" t="s">
        <v>35</v>
      </c>
      <c r="M777" s="27" t="s">
        <v>36</v>
      </c>
      <c r="N777" s="17">
        <f t="shared" si="61"/>
        <v>45200</v>
      </c>
      <c r="O777" s="13" t="s">
        <v>34</v>
      </c>
      <c r="P777" s="13" t="s">
        <v>498</v>
      </c>
      <c r="Q777" s="13" t="s">
        <v>38</v>
      </c>
      <c r="R777" s="13" t="s">
        <v>2862</v>
      </c>
      <c r="S777" s="13" t="s">
        <v>81</v>
      </c>
      <c r="T777" s="28">
        <v>27.39</v>
      </c>
      <c r="U777" s="13" t="s">
        <v>28</v>
      </c>
      <c r="V777" s="13" t="s">
        <v>146</v>
      </c>
      <c r="W777" s="13" t="s">
        <v>79</v>
      </c>
      <c r="X777" s="17">
        <f>DATE(2023,11,1)</f>
        <v>45231</v>
      </c>
      <c r="Y777" s="3"/>
    </row>
    <row r="778" spans="1:25" ht="45" customHeight="1">
      <c r="A778" s="3">
        <v>776</v>
      </c>
      <c r="B778" s="13" t="s">
        <v>2863</v>
      </c>
      <c r="C778" s="13" t="s">
        <v>103</v>
      </c>
      <c r="D778" s="13" t="s">
        <v>2864</v>
      </c>
      <c r="E778" s="13" t="s">
        <v>28</v>
      </c>
      <c r="F778" s="13" t="s">
        <v>29</v>
      </c>
      <c r="G778" s="13" t="s">
        <v>79</v>
      </c>
      <c r="H778" s="13" t="s">
        <v>31</v>
      </c>
      <c r="I778" s="27" t="s">
        <v>2865</v>
      </c>
      <c r="J778" s="27" t="s">
        <v>33</v>
      </c>
      <c r="K778" s="27" t="s">
        <v>106</v>
      </c>
      <c r="L778" s="27" t="s">
        <v>35</v>
      </c>
      <c r="M778" s="27" t="s">
        <v>36</v>
      </c>
      <c r="N778" s="17">
        <f t="shared" si="61"/>
        <v>45200</v>
      </c>
      <c r="O778" s="13" t="s">
        <v>34</v>
      </c>
      <c r="P778" s="13" t="s">
        <v>81</v>
      </c>
      <c r="Q778" s="13" t="s">
        <v>38</v>
      </c>
      <c r="R778" s="13" t="s">
        <v>2866</v>
      </c>
      <c r="S778" s="13" t="s">
        <v>81</v>
      </c>
      <c r="T778" s="28">
        <v>25.85</v>
      </c>
      <c r="U778" s="13" t="s">
        <v>28</v>
      </c>
      <c r="V778" s="13" t="s">
        <v>40</v>
      </c>
      <c r="W778" s="13" t="s">
        <v>79</v>
      </c>
      <c r="X778" s="17">
        <f>DATE(2023,11,1)</f>
        <v>45231</v>
      </c>
      <c r="Y778" s="3"/>
    </row>
    <row r="779" spans="1:25" ht="45" customHeight="1">
      <c r="A779" s="3">
        <v>777</v>
      </c>
      <c r="B779" s="13" t="s">
        <v>2867</v>
      </c>
      <c r="C779" s="13" t="s">
        <v>26</v>
      </c>
      <c r="D779" s="13" t="s">
        <v>2868</v>
      </c>
      <c r="E779" s="13" t="s">
        <v>28</v>
      </c>
      <c r="F779" s="13" t="s">
        <v>29</v>
      </c>
      <c r="G779" s="13" t="s">
        <v>79</v>
      </c>
      <c r="H779" s="13" t="s">
        <v>1031</v>
      </c>
      <c r="I779" s="27" t="s">
        <v>2869</v>
      </c>
      <c r="J779" s="27" t="s">
        <v>33</v>
      </c>
      <c r="K779" s="27" t="s">
        <v>34</v>
      </c>
      <c r="L779" s="27" t="s">
        <v>35</v>
      </c>
      <c r="M779" s="27" t="s">
        <v>36</v>
      </c>
      <c r="N779" s="17">
        <f t="shared" si="61"/>
        <v>45200</v>
      </c>
      <c r="O779" s="13" t="s">
        <v>34</v>
      </c>
      <c r="P779" s="13" t="s">
        <v>1387</v>
      </c>
      <c r="Q779" s="13" t="s">
        <v>38</v>
      </c>
      <c r="R779" s="13" t="s">
        <v>2870</v>
      </c>
      <c r="S779" s="13" t="s">
        <v>81</v>
      </c>
      <c r="T779" s="28">
        <v>28.74</v>
      </c>
      <c r="U779" s="13" t="s">
        <v>28</v>
      </c>
      <c r="V779" s="13" t="s">
        <v>89</v>
      </c>
      <c r="W779" s="13" t="s">
        <v>79</v>
      </c>
      <c r="X779" s="17">
        <f>DATE(2023,11,1)</f>
        <v>45231</v>
      </c>
      <c r="Y779" s="3"/>
    </row>
    <row r="780" spans="1:25" ht="45" customHeight="1">
      <c r="A780" s="3">
        <v>778</v>
      </c>
      <c r="B780" s="13" t="s">
        <v>2871</v>
      </c>
      <c r="C780" s="13" t="s">
        <v>26</v>
      </c>
      <c r="D780" s="13" t="s">
        <v>2872</v>
      </c>
      <c r="E780" s="13" t="s">
        <v>28</v>
      </c>
      <c r="F780" s="13" t="s">
        <v>29</v>
      </c>
      <c r="G780" s="13" t="s">
        <v>79</v>
      </c>
      <c r="H780" s="13" t="s">
        <v>31</v>
      </c>
      <c r="I780" s="27" t="s">
        <v>2873</v>
      </c>
      <c r="J780" s="27" t="s">
        <v>33</v>
      </c>
      <c r="K780" s="27" t="s">
        <v>34</v>
      </c>
      <c r="L780" s="27" t="s">
        <v>35</v>
      </c>
      <c r="M780" s="27" t="s">
        <v>36</v>
      </c>
      <c r="N780" s="17">
        <f t="shared" si="61"/>
        <v>45200</v>
      </c>
      <c r="O780" s="13" t="s">
        <v>34</v>
      </c>
      <c r="P780" s="13" t="s">
        <v>81</v>
      </c>
      <c r="Q780" s="13" t="s">
        <v>38</v>
      </c>
      <c r="R780" s="13" t="s">
        <v>2874</v>
      </c>
      <c r="S780" s="13" t="s">
        <v>81</v>
      </c>
      <c r="T780" s="28">
        <v>29.97</v>
      </c>
      <c r="U780" s="13" t="s">
        <v>28</v>
      </c>
      <c r="V780" s="13" t="s">
        <v>76</v>
      </c>
      <c r="W780" s="13" t="s">
        <v>79</v>
      </c>
      <c r="X780" s="17">
        <f>DATE(2023,11,1)</f>
        <v>45231</v>
      </c>
      <c r="Y780" s="3"/>
    </row>
    <row r="781" spans="1:25" ht="45" customHeight="1">
      <c r="A781" s="3">
        <v>779</v>
      </c>
      <c r="B781" s="13" t="s">
        <v>2875</v>
      </c>
      <c r="C781" s="13" t="s">
        <v>26</v>
      </c>
      <c r="D781" s="13" t="s">
        <v>2876</v>
      </c>
      <c r="E781" s="13" t="s">
        <v>28</v>
      </c>
      <c r="F781" s="13" t="s">
        <v>29</v>
      </c>
      <c r="G781" s="13" t="s">
        <v>79</v>
      </c>
      <c r="H781" s="13" t="s">
        <v>1031</v>
      </c>
      <c r="I781" s="27" t="s">
        <v>2877</v>
      </c>
      <c r="J781" s="27" t="s">
        <v>33</v>
      </c>
      <c r="K781" s="27" t="s">
        <v>34</v>
      </c>
      <c r="L781" s="27" t="s">
        <v>35</v>
      </c>
      <c r="M781" s="27" t="s">
        <v>36</v>
      </c>
      <c r="N781" s="17">
        <f t="shared" si="61"/>
        <v>45200</v>
      </c>
      <c r="O781" s="13" t="s">
        <v>34</v>
      </c>
      <c r="P781" s="13" t="s">
        <v>498</v>
      </c>
      <c r="Q781" s="13" t="s">
        <v>38</v>
      </c>
      <c r="R781" s="13" t="s">
        <v>2878</v>
      </c>
      <c r="S781" s="13" t="s">
        <v>81</v>
      </c>
      <c r="T781" s="28">
        <v>25.61</v>
      </c>
      <c r="U781" s="13" t="s">
        <v>28</v>
      </c>
      <c r="V781" s="13" t="s">
        <v>146</v>
      </c>
      <c r="W781" s="13" t="s">
        <v>79</v>
      </c>
      <c r="X781" s="17">
        <f>DATE(2023,11,1)</f>
        <v>45231</v>
      </c>
      <c r="Y781" s="3"/>
    </row>
    <row r="782" spans="1:25" ht="45" customHeight="1">
      <c r="A782" s="3">
        <v>780</v>
      </c>
      <c r="B782" s="13" t="s">
        <v>2879</v>
      </c>
      <c r="C782" s="13" t="s">
        <v>103</v>
      </c>
      <c r="D782" s="13" t="s">
        <v>2880</v>
      </c>
      <c r="E782" s="13" t="s">
        <v>1064</v>
      </c>
      <c r="F782" s="13" t="s">
        <v>475</v>
      </c>
      <c r="G782" s="13" t="s">
        <v>476</v>
      </c>
      <c r="H782" s="13" t="s">
        <v>406</v>
      </c>
      <c r="I782" s="27" t="s">
        <v>2881</v>
      </c>
      <c r="J782" s="27" t="s">
        <v>33</v>
      </c>
      <c r="K782" s="27" t="s">
        <v>106</v>
      </c>
      <c r="L782" s="27" t="s">
        <v>35</v>
      </c>
      <c r="M782" s="27" t="s">
        <v>36</v>
      </c>
      <c r="N782" s="17">
        <f t="shared" si="61"/>
        <v>45200</v>
      </c>
      <c r="O782" s="13" t="s">
        <v>107</v>
      </c>
      <c r="P782" s="13" t="s">
        <v>473</v>
      </c>
      <c r="Q782" s="13" t="s">
        <v>38</v>
      </c>
      <c r="R782" s="13" t="s">
        <v>2882</v>
      </c>
      <c r="S782" s="13" t="s">
        <v>478</v>
      </c>
      <c r="T782" s="28">
        <v>20.87</v>
      </c>
      <c r="U782" s="13" t="s">
        <v>365</v>
      </c>
      <c r="V782" s="13" t="s">
        <v>89</v>
      </c>
      <c r="W782" s="13" t="s">
        <v>476</v>
      </c>
      <c r="X782" s="17">
        <f>DATE(2023,10,18)</f>
        <v>45217</v>
      </c>
      <c r="Y782" s="3"/>
    </row>
    <row r="783" spans="1:25" ht="45" customHeight="1">
      <c r="A783" s="3">
        <v>781</v>
      </c>
      <c r="B783" s="13" t="s">
        <v>2883</v>
      </c>
      <c r="C783" s="13" t="s">
        <v>26</v>
      </c>
      <c r="D783" s="13" t="s">
        <v>2884</v>
      </c>
      <c r="E783" s="13" t="s">
        <v>668</v>
      </c>
      <c r="F783" s="13" t="s">
        <v>706</v>
      </c>
      <c r="G783" s="13" t="s">
        <v>707</v>
      </c>
      <c r="H783" s="13" t="s">
        <v>706</v>
      </c>
      <c r="I783" s="27" t="s">
        <v>2885</v>
      </c>
      <c r="J783" s="27" t="s">
        <v>33</v>
      </c>
      <c r="K783" s="27" t="s">
        <v>34</v>
      </c>
      <c r="L783" s="27" t="s">
        <v>35</v>
      </c>
      <c r="M783" s="27" t="s">
        <v>36</v>
      </c>
      <c r="N783" s="17">
        <f>DATE(2023,10,16)</f>
        <v>45215</v>
      </c>
      <c r="O783" s="13" t="s">
        <v>107</v>
      </c>
      <c r="P783" s="13" t="s">
        <v>709</v>
      </c>
      <c r="Q783" s="13" t="s">
        <v>670</v>
      </c>
      <c r="R783" s="13" t="s">
        <v>2886</v>
      </c>
      <c r="S783" s="13" t="s">
        <v>458</v>
      </c>
      <c r="T783" s="28">
        <v>40.03</v>
      </c>
      <c r="U783" s="13" t="s">
        <v>668</v>
      </c>
      <c r="V783" s="13" t="s">
        <v>799</v>
      </c>
      <c r="W783" s="13" t="s">
        <v>711</v>
      </c>
      <c r="X783" s="17">
        <f>DATE(2023,12,19)</f>
        <v>45279</v>
      </c>
      <c r="Y783" s="3"/>
    </row>
    <row r="784" spans="1:25" ht="45" customHeight="1">
      <c r="A784" s="3">
        <v>782</v>
      </c>
      <c r="B784" s="13" t="s">
        <v>2887</v>
      </c>
      <c r="C784" s="13" t="s">
        <v>26</v>
      </c>
      <c r="D784" s="13" t="s">
        <v>503</v>
      </c>
      <c r="E784" s="13" t="s">
        <v>1961</v>
      </c>
      <c r="F784" s="13" t="s">
        <v>29</v>
      </c>
      <c r="G784" s="13" t="s">
        <v>85</v>
      </c>
      <c r="H784" s="13" t="s">
        <v>406</v>
      </c>
      <c r="I784" s="27" t="s">
        <v>2888</v>
      </c>
      <c r="J784" s="27" t="s">
        <v>33</v>
      </c>
      <c r="K784" s="27" t="s">
        <v>34</v>
      </c>
      <c r="L784" s="27" t="s">
        <v>408</v>
      </c>
      <c r="M784" s="27" t="s">
        <v>409</v>
      </c>
      <c r="N784" s="17">
        <f>DATE(2023,10,16)</f>
        <v>45215</v>
      </c>
      <c r="O784" s="13" t="s">
        <v>107</v>
      </c>
      <c r="P784" s="13" t="s">
        <v>403</v>
      </c>
      <c r="Q784" s="13" t="s">
        <v>411</v>
      </c>
      <c r="R784" s="13" t="s">
        <v>2889</v>
      </c>
      <c r="S784" s="13" t="s">
        <v>403</v>
      </c>
      <c r="T784" s="28">
        <v>53.45</v>
      </c>
      <c r="U784" s="13" t="s">
        <v>1961</v>
      </c>
      <c r="V784" s="13" t="s">
        <v>413</v>
      </c>
      <c r="W784" s="13" t="s">
        <v>85</v>
      </c>
      <c r="X784" s="17">
        <f>DATE(2024,7,16)</f>
        <v>45489</v>
      </c>
      <c r="Y784" s="3"/>
    </row>
    <row r="785" spans="1:25" ht="45" customHeight="1">
      <c r="A785" s="3">
        <v>783</v>
      </c>
      <c r="B785" s="13" t="s">
        <v>2890</v>
      </c>
      <c r="C785" s="13" t="s">
        <v>103</v>
      </c>
      <c r="D785" s="13" t="s">
        <v>2891</v>
      </c>
      <c r="E785" s="13" t="s">
        <v>765</v>
      </c>
      <c r="F785" s="13" t="s">
        <v>744</v>
      </c>
      <c r="G785" s="13" t="s">
        <v>38</v>
      </c>
      <c r="H785" s="13" t="s">
        <v>744</v>
      </c>
      <c r="I785" s="27" t="s">
        <v>2892</v>
      </c>
      <c r="J785" s="27" t="s">
        <v>33</v>
      </c>
      <c r="K785" s="27" t="s">
        <v>106</v>
      </c>
      <c r="L785" s="27" t="s">
        <v>35</v>
      </c>
      <c r="M785" s="27" t="s">
        <v>36</v>
      </c>
      <c r="N785" s="17">
        <f>DATE(2023,10,16)</f>
        <v>45215</v>
      </c>
      <c r="O785" s="13" t="s">
        <v>107</v>
      </c>
      <c r="P785" s="13" t="s">
        <v>456</v>
      </c>
      <c r="Q785" s="13" t="s">
        <v>670</v>
      </c>
      <c r="R785" s="13" t="s">
        <v>2893</v>
      </c>
      <c r="S785" s="13" t="s">
        <v>458</v>
      </c>
      <c r="T785" s="28">
        <v>30.49</v>
      </c>
      <c r="U785" s="13" t="s">
        <v>765</v>
      </c>
      <c r="V785" s="13" t="s">
        <v>89</v>
      </c>
      <c r="W785" s="13" t="s">
        <v>778</v>
      </c>
      <c r="X785" s="17">
        <f>DATE(2024,1,8)</f>
        <v>45299</v>
      </c>
      <c r="Y785" s="3"/>
    </row>
    <row r="786" spans="1:25" ht="45" customHeight="1">
      <c r="A786" s="3">
        <v>784</v>
      </c>
      <c r="B786" s="13" t="s">
        <v>2894</v>
      </c>
      <c r="C786" s="13" t="s">
        <v>26</v>
      </c>
      <c r="D786" s="13" t="s">
        <v>2895</v>
      </c>
      <c r="E786" s="13" t="s">
        <v>439</v>
      </c>
      <c r="F786" s="13" t="s">
        <v>621</v>
      </c>
      <c r="G786" s="13" t="s">
        <v>621</v>
      </c>
      <c r="H786" s="13" t="s">
        <v>406</v>
      </c>
      <c r="I786" s="27" t="s">
        <v>2896</v>
      </c>
      <c r="J786" s="27" t="s">
        <v>33</v>
      </c>
      <c r="K786" s="27" t="s">
        <v>34</v>
      </c>
      <c r="L786" s="27" t="s">
        <v>208</v>
      </c>
      <c r="M786" s="27" t="s">
        <v>1681</v>
      </c>
      <c r="N786" s="17">
        <f>DATE(2023,10,16)</f>
        <v>45215</v>
      </c>
      <c r="O786" s="13" t="s">
        <v>107</v>
      </c>
      <c r="P786" s="13" t="s">
        <v>623</v>
      </c>
      <c r="Q786" s="13" t="s">
        <v>439</v>
      </c>
      <c r="R786" s="13" t="s">
        <v>2897</v>
      </c>
      <c r="S786" s="13" t="s">
        <v>403</v>
      </c>
      <c r="T786" s="28">
        <v>44.9</v>
      </c>
      <c r="U786" s="13" t="s">
        <v>439</v>
      </c>
      <c r="V786" s="13" t="s">
        <v>89</v>
      </c>
      <c r="W786" s="13" t="s">
        <v>625</v>
      </c>
      <c r="X786" s="17">
        <f>DATE(2024,1,10)</f>
        <v>45301</v>
      </c>
      <c r="Y786" s="3"/>
    </row>
    <row r="787" spans="1:25" ht="45" customHeight="1">
      <c r="A787" s="3">
        <v>785</v>
      </c>
      <c r="B787" s="13" t="s">
        <v>2898</v>
      </c>
      <c r="C787" s="13" t="s">
        <v>103</v>
      </c>
      <c r="D787" s="13" t="s">
        <v>2899</v>
      </c>
      <c r="E787" s="13" t="s">
        <v>461</v>
      </c>
      <c r="F787" s="13" t="s">
        <v>816</v>
      </c>
      <c r="G787" s="13" t="s">
        <v>817</v>
      </c>
      <c r="H787" s="13" t="s">
        <v>817</v>
      </c>
      <c r="I787" s="27" t="s">
        <v>2900</v>
      </c>
      <c r="J787" s="27" t="s">
        <v>33</v>
      </c>
      <c r="K787" s="27" t="s">
        <v>106</v>
      </c>
      <c r="L787" s="27" t="s">
        <v>35</v>
      </c>
      <c r="M787" s="27" t="s">
        <v>36</v>
      </c>
      <c r="N787" s="17">
        <f>DATE(2023,10,16)</f>
        <v>45215</v>
      </c>
      <c r="O787" s="13" t="s">
        <v>107</v>
      </c>
      <c r="P787" s="13" t="s">
        <v>821</v>
      </c>
      <c r="Q787" s="13" t="s">
        <v>465</v>
      </c>
      <c r="R787" s="13" t="s">
        <v>2901</v>
      </c>
      <c r="S787" s="13" t="s">
        <v>821</v>
      </c>
      <c r="T787" s="28">
        <v>44.67</v>
      </c>
      <c r="U787" s="13" t="s">
        <v>461</v>
      </c>
      <c r="V787" s="13" t="s">
        <v>413</v>
      </c>
      <c r="W787" s="13" t="s">
        <v>817</v>
      </c>
      <c r="X787" s="17">
        <f>DATE(2024,3,12)</f>
        <v>45363</v>
      </c>
      <c r="Y787" s="3"/>
    </row>
    <row r="788" spans="1:25" ht="45" customHeight="1">
      <c r="A788" s="3">
        <v>786</v>
      </c>
      <c r="B788" s="13" t="s">
        <v>2902</v>
      </c>
      <c r="C788" s="13" t="s">
        <v>26</v>
      </c>
      <c r="D788" s="13" t="s">
        <v>2903</v>
      </c>
      <c r="E788" s="13" t="s">
        <v>439</v>
      </c>
      <c r="F788" s="13" t="s">
        <v>621</v>
      </c>
      <c r="G788" s="13" t="s">
        <v>621</v>
      </c>
      <c r="H788" s="13" t="s">
        <v>406</v>
      </c>
      <c r="I788" s="27" t="s">
        <v>2904</v>
      </c>
      <c r="J788" s="27" t="s">
        <v>33</v>
      </c>
      <c r="K788" s="27" t="s">
        <v>34</v>
      </c>
      <c r="L788" s="27" t="s">
        <v>35</v>
      </c>
      <c r="M788" s="27" t="s">
        <v>36</v>
      </c>
      <c r="N788" s="17">
        <f>DATE(2023,10,23)</f>
        <v>45222</v>
      </c>
      <c r="O788" s="13" t="s">
        <v>107</v>
      </c>
      <c r="P788" s="13" t="s">
        <v>623</v>
      </c>
      <c r="Q788" s="13" t="s">
        <v>439</v>
      </c>
      <c r="R788" s="13" t="s">
        <v>2905</v>
      </c>
      <c r="S788" s="13" t="s">
        <v>403</v>
      </c>
      <c r="T788" s="28">
        <v>46.02</v>
      </c>
      <c r="U788" s="13" t="s">
        <v>439</v>
      </c>
      <c r="V788" s="13" t="s">
        <v>146</v>
      </c>
      <c r="W788" s="13" t="s">
        <v>625</v>
      </c>
      <c r="X788" s="17">
        <f>DATE(2024,1,12)</f>
        <v>45303</v>
      </c>
      <c r="Y788" s="3"/>
    </row>
    <row r="789" spans="1:25" ht="45" customHeight="1">
      <c r="A789" s="3">
        <v>787</v>
      </c>
      <c r="B789" s="13" t="s">
        <v>2906</v>
      </c>
      <c r="C789" s="13" t="s">
        <v>26</v>
      </c>
      <c r="D789" s="13" t="s">
        <v>2907</v>
      </c>
      <c r="E789" s="13" t="s">
        <v>765</v>
      </c>
      <c r="F789" s="13" t="s">
        <v>706</v>
      </c>
      <c r="G789" s="13" t="s">
        <v>707</v>
      </c>
      <c r="H789" s="13" t="s">
        <v>706</v>
      </c>
      <c r="I789" s="27" t="s">
        <v>2908</v>
      </c>
      <c r="J789" s="27" t="s">
        <v>33</v>
      </c>
      <c r="K789" s="27" t="s">
        <v>34</v>
      </c>
      <c r="L789" s="27" t="s">
        <v>35</v>
      </c>
      <c r="M789" s="27" t="s">
        <v>36</v>
      </c>
      <c r="N789" s="17">
        <f>DATE(2023,10,30)</f>
        <v>45229</v>
      </c>
      <c r="O789" s="13" t="s">
        <v>107</v>
      </c>
      <c r="P789" s="13" t="s">
        <v>709</v>
      </c>
      <c r="Q789" s="13" t="s">
        <v>670</v>
      </c>
      <c r="R789" s="13" t="s">
        <v>2909</v>
      </c>
      <c r="S789" s="13" t="s">
        <v>458</v>
      </c>
      <c r="T789" s="28">
        <v>34.9</v>
      </c>
      <c r="U789" s="13" t="s">
        <v>765</v>
      </c>
      <c r="V789" s="13" t="s">
        <v>89</v>
      </c>
      <c r="W789" s="13" t="s">
        <v>711</v>
      </c>
      <c r="X789" s="17">
        <f>DATE(2024,1,23)</f>
        <v>45314</v>
      </c>
      <c r="Y789" s="3"/>
    </row>
    <row r="790" spans="1:25" ht="45" customHeight="1">
      <c r="A790" s="3">
        <v>788</v>
      </c>
      <c r="B790" s="13" t="s">
        <v>2910</v>
      </c>
      <c r="C790" s="13" t="s">
        <v>103</v>
      </c>
      <c r="D790" s="13" t="s">
        <v>2911</v>
      </c>
      <c r="E790" s="13" t="s">
        <v>694</v>
      </c>
      <c r="F790" s="13" t="s">
        <v>446</v>
      </c>
      <c r="G790" s="13" t="s">
        <v>836</v>
      </c>
      <c r="H790" s="13" t="s">
        <v>406</v>
      </c>
      <c r="I790" s="27" t="s">
        <v>2912</v>
      </c>
      <c r="J790" s="27" t="s">
        <v>33</v>
      </c>
      <c r="K790" s="27" t="s">
        <v>106</v>
      </c>
      <c r="L790" s="27" t="s">
        <v>408</v>
      </c>
      <c r="M790" s="27" t="s">
        <v>409</v>
      </c>
      <c r="N790" s="17">
        <f>DATE(2023,10,30)</f>
        <v>45229</v>
      </c>
      <c r="O790" s="13" t="s">
        <v>107</v>
      </c>
      <c r="P790" s="13" t="s">
        <v>449</v>
      </c>
      <c r="Q790" s="13" t="s">
        <v>465</v>
      </c>
      <c r="R790" s="13" t="s">
        <v>2913</v>
      </c>
      <c r="S790" s="13" t="s">
        <v>403</v>
      </c>
      <c r="T790" s="28">
        <v>28.52</v>
      </c>
      <c r="U790" s="13" t="s">
        <v>694</v>
      </c>
      <c r="V790" s="13" t="s">
        <v>413</v>
      </c>
      <c r="W790" s="13" t="s">
        <v>836</v>
      </c>
      <c r="X790" s="17">
        <f>DATE(2024,5,30)</f>
        <v>45442</v>
      </c>
      <c r="Y790" s="3"/>
    </row>
    <row r="791" spans="1:25" ht="45" customHeight="1">
      <c r="A791" s="3">
        <v>789</v>
      </c>
      <c r="B791" s="13" t="s">
        <v>2914</v>
      </c>
      <c r="C791" s="13" t="s">
        <v>103</v>
      </c>
      <c r="D791" s="13" t="s">
        <v>2915</v>
      </c>
      <c r="E791" s="13" t="s">
        <v>28</v>
      </c>
      <c r="F791" s="13" t="s">
        <v>29</v>
      </c>
      <c r="G791" s="13" t="s">
        <v>2916</v>
      </c>
      <c r="H791" s="13" t="s">
        <v>406</v>
      </c>
      <c r="I791" s="27" t="s">
        <v>2917</v>
      </c>
      <c r="J791" s="27" t="s">
        <v>33</v>
      </c>
      <c r="K791" s="27" t="s">
        <v>106</v>
      </c>
      <c r="L791" s="27" t="s">
        <v>35</v>
      </c>
      <c r="M791" s="27" t="s">
        <v>36</v>
      </c>
      <c r="N791" s="17">
        <f t="shared" ref="N791:N825" si="62">DATE(2023,11,1)</f>
        <v>45231</v>
      </c>
      <c r="O791" s="13" t="s">
        <v>34</v>
      </c>
      <c r="P791" s="13" t="s">
        <v>37</v>
      </c>
      <c r="Q791" s="13" t="s">
        <v>38</v>
      </c>
      <c r="R791" s="13" t="s">
        <v>2918</v>
      </c>
      <c r="S791" s="13" t="s">
        <v>37</v>
      </c>
      <c r="T791" s="28">
        <v>26.7</v>
      </c>
      <c r="U791" s="13" t="s">
        <v>28</v>
      </c>
      <c r="V791" s="13" t="s">
        <v>799</v>
      </c>
      <c r="W791" s="13" t="s">
        <v>2919</v>
      </c>
      <c r="X791" s="17">
        <f t="shared" ref="X791:X796" si="63">DATE(2023,12,1)</f>
        <v>45261</v>
      </c>
      <c r="Y791" s="3"/>
    </row>
    <row r="792" spans="1:25" ht="45" customHeight="1">
      <c r="A792" s="3">
        <v>790</v>
      </c>
      <c r="B792" s="13" t="s">
        <v>2920</v>
      </c>
      <c r="C792" s="13" t="s">
        <v>103</v>
      </c>
      <c r="D792" s="13" t="s">
        <v>2921</v>
      </c>
      <c r="E792" s="13" t="s">
        <v>28</v>
      </c>
      <c r="F792" s="13" t="s">
        <v>29</v>
      </c>
      <c r="G792" s="13" t="s">
        <v>43</v>
      </c>
      <c r="H792" s="13" t="s">
        <v>1031</v>
      </c>
      <c r="I792" s="27" t="s">
        <v>2922</v>
      </c>
      <c r="J792" s="27" t="s">
        <v>33</v>
      </c>
      <c r="K792" s="27" t="s">
        <v>106</v>
      </c>
      <c r="L792" s="27" t="s">
        <v>35</v>
      </c>
      <c r="M792" s="27" t="s">
        <v>36</v>
      </c>
      <c r="N792" s="17">
        <f t="shared" si="62"/>
        <v>45231</v>
      </c>
      <c r="O792" s="13" t="s">
        <v>107</v>
      </c>
      <c r="P792" s="13" t="s">
        <v>37</v>
      </c>
      <c r="Q792" s="13" t="s">
        <v>38</v>
      </c>
      <c r="R792" s="13" t="s">
        <v>2923</v>
      </c>
      <c r="S792" s="13" t="s">
        <v>37</v>
      </c>
      <c r="T792" s="28">
        <v>29.04</v>
      </c>
      <c r="U792" s="13" t="s">
        <v>28</v>
      </c>
      <c r="V792" s="13" t="s">
        <v>89</v>
      </c>
      <c r="W792" s="13" t="s">
        <v>43</v>
      </c>
      <c r="X792" s="17">
        <f t="shared" si="63"/>
        <v>45261</v>
      </c>
      <c r="Y792" s="3"/>
    </row>
    <row r="793" spans="1:25" ht="45" customHeight="1">
      <c r="A793" s="3">
        <v>791</v>
      </c>
      <c r="B793" s="13" t="s">
        <v>2924</v>
      </c>
      <c r="C793" s="13" t="s">
        <v>103</v>
      </c>
      <c r="D793" s="13" t="s">
        <v>2925</v>
      </c>
      <c r="E793" s="13" t="s">
        <v>28</v>
      </c>
      <c r="F793" s="13" t="s">
        <v>29</v>
      </c>
      <c r="G793" s="13" t="s">
        <v>56</v>
      </c>
      <c r="H793" s="13" t="s">
        <v>31</v>
      </c>
      <c r="I793" s="27" t="s">
        <v>2926</v>
      </c>
      <c r="J793" s="27" t="s">
        <v>33</v>
      </c>
      <c r="K793" s="27" t="s">
        <v>106</v>
      </c>
      <c r="L793" s="27" t="s">
        <v>35</v>
      </c>
      <c r="M793" s="27" t="s">
        <v>36</v>
      </c>
      <c r="N793" s="17">
        <f t="shared" si="62"/>
        <v>45231</v>
      </c>
      <c r="O793" s="13" t="s">
        <v>34</v>
      </c>
      <c r="P793" s="13" t="s">
        <v>58</v>
      </c>
      <c r="Q793" s="13" t="s">
        <v>38</v>
      </c>
      <c r="R793" s="13" t="s">
        <v>2927</v>
      </c>
      <c r="S793" s="13" t="s">
        <v>58</v>
      </c>
      <c r="T793" s="28">
        <v>25.29</v>
      </c>
      <c r="U793" s="13" t="s">
        <v>28</v>
      </c>
      <c r="V793" s="13" t="s">
        <v>76</v>
      </c>
      <c r="W793" s="13" t="s">
        <v>56</v>
      </c>
      <c r="X793" s="17">
        <f t="shared" si="63"/>
        <v>45261</v>
      </c>
      <c r="Y793" s="3"/>
    </row>
    <row r="794" spans="1:25" ht="45" customHeight="1">
      <c r="A794" s="3">
        <v>792</v>
      </c>
      <c r="B794" s="13" t="s">
        <v>2928</v>
      </c>
      <c r="C794" s="13" t="s">
        <v>26</v>
      </c>
      <c r="D794" s="13" t="s">
        <v>2929</v>
      </c>
      <c r="E794" s="13" t="s">
        <v>28</v>
      </c>
      <c r="F794" s="13" t="s">
        <v>29</v>
      </c>
      <c r="G794" s="13" t="s">
        <v>79</v>
      </c>
      <c r="H794" s="13" t="s">
        <v>1031</v>
      </c>
      <c r="I794" s="27" t="s">
        <v>2930</v>
      </c>
      <c r="J794" s="27" t="s">
        <v>33</v>
      </c>
      <c r="K794" s="27" t="s">
        <v>34</v>
      </c>
      <c r="L794" s="27" t="s">
        <v>35</v>
      </c>
      <c r="M794" s="27" t="s">
        <v>36</v>
      </c>
      <c r="N794" s="17">
        <f t="shared" si="62"/>
        <v>45231</v>
      </c>
      <c r="O794" s="13" t="s">
        <v>34</v>
      </c>
      <c r="P794" s="13" t="s">
        <v>1387</v>
      </c>
      <c r="Q794" s="13" t="s">
        <v>38</v>
      </c>
      <c r="R794" s="13" t="s">
        <v>2931</v>
      </c>
      <c r="S794" s="13" t="s">
        <v>81</v>
      </c>
      <c r="T794" s="28">
        <v>30.36</v>
      </c>
      <c r="U794" s="13" t="s">
        <v>28</v>
      </c>
      <c r="V794" s="13" t="s">
        <v>89</v>
      </c>
      <c r="W794" s="13" t="s">
        <v>79</v>
      </c>
      <c r="X794" s="17">
        <f t="shared" si="63"/>
        <v>45261</v>
      </c>
      <c r="Y794" s="3"/>
    </row>
    <row r="795" spans="1:25" ht="45" customHeight="1">
      <c r="A795" s="3">
        <v>793</v>
      </c>
      <c r="B795" s="13" t="s">
        <v>2932</v>
      </c>
      <c r="C795" s="13" t="s">
        <v>26</v>
      </c>
      <c r="D795" s="13" t="s">
        <v>2933</v>
      </c>
      <c r="E795" s="13" t="s">
        <v>1064</v>
      </c>
      <c r="F795" s="13" t="s">
        <v>29</v>
      </c>
      <c r="G795" s="13" t="s">
        <v>30</v>
      </c>
      <c r="H795" s="13" t="s">
        <v>1031</v>
      </c>
      <c r="I795" s="27" t="s">
        <v>2934</v>
      </c>
      <c r="J795" s="27" t="s">
        <v>33</v>
      </c>
      <c r="K795" s="27" t="s">
        <v>34</v>
      </c>
      <c r="L795" s="27" t="s">
        <v>35</v>
      </c>
      <c r="M795" s="27" t="s">
        <v>36</v>
      </c>
      <c r="N795" s="17">
        <f t="shared" si="62"/>
        <v>45231</v>
      </c>
      <c r="O795" s="13" t="s">
        <v>34</v>
      </c>
      <c r="P795" s="13" t="s">
        <v>1781</v>
      </c>
      <c r="Q795" s="13" t="s">
        <v>38</v>
      </c>
      <c r="R795" s="13" t="s">
        <v>2935</v>
      </c>
      <c r="S795" s="13" t="s">
        <v>37</v>
      </c>
      <c r="T795" s="28">
        <v>35.89</v>
      </c>
      <c r="U795" s="13" t="s">
        <v>365</v>
      </c>
      <c r="V795" s="13" t="s">
        <v>53</v>
      </c>
      <c r="W795" s="13" t="s">
        <v>30</v>
      </c>
      <c r="X795" s="17">
        <f t="shared" si="63"/>
        <v>45261</v>
      </c>
      <c r="Y795" s="3"/>
    </row>
    <row r="796" spans="1:25" ht="45" customHeight="1">
      <c r="A796" s="3">
        <v>794</v>
      </c>
      <c r="B796" s="13" t="s">
        <v>2936</v>
      </c>
      <c r="C796" s="13" t="s">
        <v>26</v>
      </c>
      <c r="D796" s="13" t="s">
        <v>2937</v>
      </c>
      <c r="E796" s="13" t="s">
        <v>28</v>
      </c>
      <c r="F796" s="13" t="s">
        <v>29</v>
      </c>
      <c r="G796" s="13" t="s">
        <v>30</v>
      </c>
      <c r="H796" s="13" t="s">
        <v>1031</v>
      </c>
      <c r="I796" s="27" t="s">
        <v>2938</v>
      </c>
      <c r="J796" s="27" t="s">
        <v>33</v>
      </c>
      <c r="K796" s="27" t="s">
        <v>34</v>
      </c>
      <c r="L796" s="27" t="s">
        <v>35</v>
      </c>
      <c r="M796" s="27" t="s">
        <v>36</v>
      </c>
      <c r="N796" s="17">
        <f t="shared" si="62"/>
        <v>45231</v>
      </c>
      <c r="O796" s="13" t="s">
        <v>34</v>
      </c>
      <c r="P796" s="13" t="s">
        <v>1606</v>
      </c>
      <c r="Q796" s="13" t="s">
        <v>38</v>
      </c>
      <c r="R796" s="13" t="s">
        <v>2939</v>
      </c>
      <c r="S796" s="13" t="s">
        <v>37</v>
      </c>
      <c r="T796" s="28">
        <v>25.51</v>
      </c>
      <c r="U796" s="13" t="s">
        <v>28</v>
      </c>
      <c r="V796" s="13" t="s">
        <v>89</v>
      </c>
      <c r="W796" s="13" t="s">
        <v>30</v>
      </c>
      <c r="X796" s="17">
        <f t="shared" si="63"/>
        <v>45261</v>
      </c>
      <c r="Y796" s="3"/>
    </row>
    <row r="797" spans="1:25" ht="45" customHeight="1">
      <c r="A797" s="3">
        <v>795</v>
      </c>
      <c r="B797" s="13" t="s">
        <v>2940</v>
      </c>
      <c r="C797" s="13" t="s">
        <v>26</v>
      </c>
      <c r="D797" s="13" t="s">
        <v>2941</v>
      </c>
      <c r="E797" s="13" t="s">
        <v>28</v>
      </c>
      <c r="F797" s="13" t="s">
        <v>417</v>
      </c>
      <c r="G797" s="13" t="s">
        <v>674</v>
      </c>
      <c r="H797" s="13" t="s">
        <v>419</v>
      </c>
      <c r="I797" s="27" t="s">
        <v>2942</v>
      </c>
      <c r="J797" s="27" t="s">
        <v>33</v>
      </c>
      <c r="K797" s="27" t="s">
        <v>34</v>
      </c>
      <c r="L797" s="27" t="s">
        <v>35</v>
      </c>
      <c r="M797" s="27" t="s">
        <v>36</v>
      </c>
      <c r="N797" s="17">
        <f t="shared" si="62"/>
        <v>45231</v>
      </c>
      <c r="O797" s="13" t="s">
        <v>34</v>
      </c>
      <c r="P797" s="13" t="s">
        <v>676</v>
      </c>
      <c r="Q797" s="13" t="s">
        <v>38</v>
      </c>
      <c r="R797" s="13" t="s">
        <v>2943</v>
      </c>
      <c r="S797" s="13" t="s">
        <v>423</v>
      </c>
      <c r="T797" s="28">
        <v>26.5</v>
      </c>
      <c r="U797" s="13" t="s">
        <v>28</v>
      </c>
      <c r="V797" s="13" t="s">
        <v>89</v>
      </c>
      <c r="W797" s="13" t="s">
        <v>678</v>
      </c>
      <c r="X797" s="17">
        <f>DATE(2023,11,27)</f>
        <v>45257</v>
      </c>
      <c r="Y797" s="3"/>
    </row>
    <row r="798" spans="1:25" ht="45" customHeight="1">
      <c r="A798" s="3">
        <v>796</v>
      </c>
      <c r="B798" s="13" t="s">
        <v>2944</v>
      </c>
      <c r="C798" s="13" t="s">
        <v>26</v>
      </c>
      <c r="D798" s="13" t="s">
        <v>2945</v>
      </c>
      <c r="E798" s="13" t="s">
        <v>1064</v>
      </c>
      <c r="F798" s="13" t="s">
        <v>29</v>
      </c>
      <c r="G798" s="13" t="s">
        <v>43</v>
      </c>
      <c r="H798" s="13" t="s">
        <v>1031</v>
      </c>
      <c r="I798" s="27" t="s">
        <v>2946</v>
      </c>
      <c r="J798" s="27" t="s">
        <v>33</v>
      </c>
      <c r="K798" s="27" t="s">
        <v>34</v>
      </c>
      <c r="L798" s="27" t="s">
        <v>35</v>
      </c>
      <c r="M798" s="27" t="s">
        <v>36</v>
      </c>
      <c r="N798" s="17">
        <f t="shared" si="62"/>
        <v>45231</v>
      </c>
      <c r="O798" s="13" t="s">
        <v>1198</v>
      </c>
      <c r="P798" s="13" t="s">
        <v>1134</v>
      </c>
      <c r="Q798" s="13" t="s">
        <v>38</v>
      </c>
      <c r="R798" s="13" t="s">
        <v>2947</v>
      </c>
      <c r="S798" s="13" t="s">
        <v>37</v>
      </c>
      <c r="T798" s="28">
        <v>27.84</v>
      </c>
      <c r="U798" s="13" t="s">
        <v>365</v>
      </c>
      <c r="V798" s="13" t="s">
        <v>146</v>
      </c>
      <c r="W798" s="13" t="s">
        <v>43</v>
      </c>
      <c r="X798" s="17">
        <f t="shared" ref="X798:X810" si="64">DATE(2023,12,1)</f>
        <v>45261</v>
      </c>
      <c r="Y798" s="3"/>
    </row>
    <row r="799" spans="1:25" ht="45" customHeight="1">
      <c r="A799" s="3">
        <v>797</v>
      </c>
      <c r="B799" s="13" t="s">
        <v>2948</v>
      </c>
      <c r="C799" s="13" t="s">
        <v>103</v>
      </c>
      <c r="D799" s="13" t="s">
        <v>2949</v>
      </c>
      <c r="E799" s="13" t="s">
        <v>28</v>
      </c>
      <c r="F799" s="13" t="s">
        <v>29</v>
      </c>
      <c r="G799" s="13" t="s">
        <v>1216</v>
      </c>
      <c r="H799" s="13" t="s">
        <v>1031</v>
      </c>
      <c r="I799" s="27" t="s">
        <v>2950</v>
      </c>
      <c r="J799" s="27" t="s">
        <v>33</v>
      </c>
      <c r="K799" s="27" t="s">
        <v>106</v>
      </c>
      <c r="L799" s="27" t="s">
        <v>35</v>
      </c>
      <c r="M799" s="27" t="s">
        <v>36</v>
      </c>
      <c r="N799" s="17">
        <f t="shared" si="62"/>
        <v>45231</v>
      </c>
      <c r="O799" s="13" t="s">
        <v>34</v>
      </c>
      <c r="P799" s="13" t="s">
        <v>1221</v>
      </c>
      <c r="Q799" s="13" t="s">
        <v>38</v>
      </c>
      <c r="R799" s="13" t="s">
        <v>2951</v>
      </c>
      <c r="S799" s="13" t="s">
        <v>1215</v>
      </c>
      <c r="T799" s="28">
        <v>41.41</v>
      </c>
      <c r="U799" s="13" t="s">
        <v>28</v>
      </c>
      <c r="V799" s="13" t="s">
        <v>53</v>
      </c>
      <c r="W799" s="13" t="s">
        <v>1219</v>
      </c>
      <c r="X799" s="17">
        <f t="shared" si="64"/>
        <v>45261</v>
      </c>
      <c r="Y799" s="3"/>
    </row>
    <row r="800" spans="1:25" ht="45" customHeight="1">
      <c r="A800" s="3">
        <v>798</v>
      </c>
      <c r="B800" s="13" t="s">
        <v>2952</v>
      </c>
      <c r="C800" s="13" t="s">
        <v>103</v>
      </c>
      <c r="D800" s="13" t="s">
        <v>2953</v>
      </c>
      <c r="E800" s="13" t="s">
        <v>1064</v>
      </c>
      <c r="F800" s="13" t="s">
        <v>29</v>
      </c>
      <c r="G800" s="13" t="s">
        <v>56</v>
      </c>
      <c r="H800" s="13" t="s">
        <v>1031</v>
      </c>
      <c r="I800" s="27" t="s">
        <v>2954</v>
      </c>
      <c r="J800" s="27" t="s">
        <v>33</v>
      </c>
      <c r="K800" s="27" t="s">
        <v>106</v>
      </c>
      <c r="L800" s="27" t="s">
        <v>35</v>
      </c>
      <c r="M800" s="27" t="s">
        <v>36</v>
      </c>
      <c r="N800" s="17">
        <f t="shared" si="62"/>
        <v>45231</v>
      </c>
      <c r="O800" s="13" t="s">
        <v>34</v>
      </c>
      <c r="P800" s="13" t="s">
        <v>203</v>
      </c>
      <c r="Q800" s="13" t="s">
        <v>38</v>
      </c>
      <c r="R800" s="13" t="s">
        <v>2955</v>
      </c>
      <c r="S800" s="13" t="s">
        <v>58</v>
      </c>
      <c r="T800" s="28">
        <v>27.67</v>
      </c>
      <c r="U800" s="13" t="s">
        <v>365</v>
      </c>
      <c r="V800" s="13" t="s">
        <v>89</v>
      </c>
      <c r="W800" s="13" t="s">
        <v>56</v>
      </c>
      <c r="X800" s="17">
        <f t="shared" si="64"/>
        <v>45261</v>
      </c>
      <c r="Y800" s="3"/>
    </row>
    <row r="801" spans="1:25" ht="45" customHeight="1">
      <c r="A801" s="3">
        <v>799</v>
      </c>
      <c r="B801" s="13" t="s">
        <v>2956</v>
      </c>
      <c r="C801" s="13" t="s">
        <v>103</v>
      </c>
      <c r="D801" s="13" t="s">
        <v>2957</v>
      </c>
      <c r="E801" s="13" t="s">
        <v>28</v>
      </c>
      <c r="F801" s="13" t="s">
        <v>29</v>
      </c>
      <c r="G801" s="13" t="s">
        <v>1216</v>
      </c>
      <c r="H801" s="13" t="s">
        <v>1031</v>
      </c>
      <c r="I801" s="27" t="s">
        <v>2958</v>
      </c>
      <c r="J801" s="27" t="s">
        <v>33</v>
      </c>
      <c r="K801" s="27" t="s">
        <v>106</v>
      </c>
      <c r="L801" s="27" t="s">
        <v>208</v>
      </c>
      <c r="M801" s="27" t="s">
        <v>209</v>
      </c>
      <c r="N801" s="17">
        <f t="shared" si="62"/>
        <v>45231</v>
      </c>
      <c r="O801" s="13" t="s">
        <v>1198</v>
      </c>
      <c r="P801" s="13" t="s">
        <v>1221</v>
      </c>
      <c r="Q801" s="13" t="s">
        <v>38</v>
      </c>
      <c r="R801" s="13" t="s">
        <v>2959</v>
      </c>
      <c r="S801" s="13" t="s">
        <v>1215</v>
      </c>
      <c r="T801" s="28">
        <v>28.88</v>
      </c>
      <c r="U801" s="13" t="s">
        <v>28</v>
      </c>
      <c r="V801" s="13" t="s">
        <v>53</v>
      </c>
      <c r="W801" s="13" t="s">
        <v>1219</v>
      </c>
      <c r="X801" s="17">
        <f t="shared" si="64"/>
        <v>45261</v>
      </c>
      <c r="Y801" s="3"/>
    </row>
    <row r="802" spans="1:25" ht="45" customHeight="1">
      <c r="A802" s="3">
        <v>800</v>
      </c>
      <c r="B802" s="13" t="s">
        <v>2960</v>
      </c>
      <c r="C802" s="13" t="s">
        <v>103</v>
      </c>
      <c r="D802" s="13" t="s">
        <v>2961</v>
      </c>
      <c r="E802" s="13" t="s">
        <v>1064</v>
      </c>
      <c r="F802" s="13" t="s">
        <v>29</v>
      </c>
      <c r="G802" s="13" t="s">
        <v>85</v>
      </c>
      <c r="H802" s="13" t="s">
        <v>1031</v>
      </c>
      <c r="I802" s="27" t="s">
        <v>2962</v>
      </c>
      <c r="J802" s="27" t="s">
        <v>33</v>
      </c>
      <c r="K802" s="27" t="s">
        <v>106</v>
      </c>
      <c r="L802" s="27" t="s">
        <v>35</v>
      </c>
      <c r="M802" s="27" t="s">
        <v>36</v>
      </c>
      <c r="N802" s="17">
        <f t="shared" si="62"/>
        <v>45231</v>
      </c>
      <c r="O802" s="13" t="s">
        <v>1198</v>
      </c>
      <c r="P802" s="13" t="s">
        <v>87</v>
      </c>
      <c r="Q802" s="13" t="s">
        <v>38</v>
      </c>
      <c r="R802" s="13" t="s">
        <v>2963</v>
      </c>
      <c r="S802" s="13" t="s">
        <v>87</v>
      </c>
      <c r="T802" s="28">
        <v>24.64</v>
      </c>
      <c r="U802" s="13" t="s">
        <v>365</v>
      </c>
      <c r="V802" s="13" t="s">
        <v>89</v>
      </c>
      <c r="W802" s="13" t="s">
        <v>85</v>
      </c>
      <c r="X802" s="17">
        <f t="shared" si="64"/>
        <v>45261</v>
      </c>
      <c r="Y802" s="3"/>
    </row>
    <row r="803" spans="1:25" ht="45" customHeight="1">
      <c r="A803" s="3">
        <v>801</v>
      </c>
      <c r="B803" s="13" t="s">
        <v>2964</v>
      </c>
      <c r="C803" s="13" t="s">
        <v>26</v>
      </c>
      <c r="D803" s="13" t="s">
        <v>2965</v>
      </c>
      <c r="E803" s="13" t="s">
        <v>1064</v>
      </c>
      <c r="F803" s="13" t="s">
        <v>29</v>
      </c>
      <c r="G803" s="13" t="s">
        <v>43</v>
      </c>
      <c r="H803" s="13" t="s">
        <v>1031</v>
      </c>
      <c r="I803" s="27" t="s">
        <v>2966</v>
      </c>
      <c r="J803" s="27" t="s">
        <v>33</v>
      </c>
      <c r="K803" s="27" t="s">
        <v>34</v>
      </c>
      <c r="L803" s="27" t="s">
        <v>35</v>
      </c>
      <c r="M803" s="27" t="s">
        <v>36</v>
      </c>
      <c r="N803" s="17">
        <f t="shared" si="62"/>
        <v>45231</v>
      </c>
      <c r="O803" s="13" t="s">
        <v>34</v>
      </c>
      <c r="P803" s="13" t="s">
        <v>1095</v>
      </c>
      <c r="Q803" s="13" t="s">
        <v>38</v>
      </c>
      <c r="R803" s="13" t="s">
        <v>2967</v>
      </c>
      <c r="S803" s="13" t="s">
        <v>37</v>
      </c>
      <c r="T803" s="28">
        <v>29.1</v>
      </c>
      <c r="U803" s="13" t="s">
        <v>365</v>
      </c>
      <c r="V803" s="13" t="s">
        <v>53</v>
      </c>
      <c r="W803" s="13" t="s">
        <v>43</v>
      </c>
      <c r="X803" s="17">
        <f t="shared" si="64"/>
        <v>45261</v>
      </c>
      <c r="Y803" s="3"/>
    </row>
    <row r="804" spans="1:25" ht="45" customHeight="1">
      <c r="A804" s="3">
        <v>802</v>
      </c>
      <c r="B804" s="13" t="s">
        <v>2968</v>
      </c>
      <c r="C804" s="13" t="s">
        <v>26</v>
      </c>
      <c r="D804" s="13" t="s">
        <v>2969</v>
      </c>
      <c r="E804" s="13" t="s">
        <v>1064</v>
      </c>
      <c r="F804" s="13" t="s">
        <v>29</v>
      </c>
      <c r="G804" s="13" t="s">
        <v>30</v>
      </c>
      <c r="H804" s="13" t="s">
        <v>1031</v>
      </c>
      <c r="I804" s="27" t="s">
        <v>2970</v>
      </c>
      <c r="J804" s="27" t="s">
        <v>33</v>
      </c>
      <c r="K804" s="27" t="s">
        <v>34</v>
      </c>
      <c r="L804" s="27" t="s">
        <v>35</v>
      </c>
      <c r="M804" s="27" t="s">
        <v>36</v>
      </c>
      <c r="N804" s="17">
        <f t="shared" si="62"/>
        <v>45231</v>
      </c>
      <c r="O804" s="13" t="s">
        <v>34</v>
      </c>
      <c r="P804" s="13" t="s">
        <v>1606</v>
      </c>
      <c r="Q804" s="13" t="s">
        <v>38</v>
      </c>
      <c r="R804" s="13" t="s">
        <v>2971</v>
      </c>
      <c r="S804" s="13" t="s">
        <v>37</v>
      </c>
      <c r="T804" s="28">
        <v>29.73</v>
      </c>
      <c r="U804" s="13" t="s">
        <v>365</v>
      </c>
      <c r="V804" s="13" t="s">
        <v>89</v>
      </c>
      <c r="W804" s="13" t="s">
        <v>30</v>
      </c>
      <c r="X804" s="17">
        <f t="shared" si="64"/>
        <v>45261</v>
      </c>
      <c r="Y804" s="3"/>
    </row>
    <row r="805" spans="1:25" ht="45" customHeight="1">
      <c r="A805" s="3">
        <v>803</v>
      </c>
      <c r="B805" s="13" t="s">
        <v>2972</v>
      </c>
      <c r="C805" s="13" t="s">
        <v>26</v>
      </c>
      <c r="D805" s="13" t="s">
        <v>2973</v>
      </c>
      <c r="E805" s="13" t="s">
        <v>1064</v>
      </c>
      <c r="F805" s="13" t="s">
        <v>29</v>
      </c>
      <c r="G805" s="13" t="s">
        <v>537</v>
      </c>
      <c r="H805" s="13" t="s">
        <v>1031</v>
      </c>
      <c r="I805" s="27" t="s">
        <v>2974</v>
      </c>
      <c r="J805" s="27" t="s">
        <v>33</v>
      </c>
      <c r="K805" s="27" t="s">
        <v>34</v>
      </c>
      <c r="L805" s="27" t="s">
        <v>35</v>
      </c>
      <c r="M805" s="27" t="s">
        <v>36</v>
      </c>
      <c r="N805" s="17">
        <f t="shared" si="62"/>
        <v>45231</v>
      </c>
      <c r="O805" s="13" t="s">
        <v>34</v>
      </c>
      <c r="P805" s="13" t="s">
        <v>549</v>
      </c>
      <c r="Q805" s="13" t="s">
        <v>38</v>
      </c>
      <c r="R805" s="13" t="s">
        <v>2975</v>
      </c>
      <c r="S805" s="13" t="s">
        <v>64</v>
      </c>
      <c r="T805" s="28">
        <v>23.62</v>
      </c>
      <c r="U805" s="13" t="s">
        <v>365</v>
      </c>
      <c r="V805" s="13" t="s">
        <v>53</v>
      </c>
      <c r="W805" s="13" t="s">
        <v>537</v>
      </c>
      <c r="X805" s="17">
        <f t="shared" si="64"/>
        <v>45261</v>
      </c>
      <c r="Y805" s="3"/>
    </row>
    <row r="806" spans="1:25" ht="45" customHeight="1">
      <c r="A806" s="3">
        <v>804</v>
      </c>
      <c r="B806" s="13" t="s">
        <v>2976</v>
      </c>
      <c r="C806" s="13" t="s">
        <v>26</v>
      </c>
      <c r="D806" s="13" t="s">
        <v>2977</v>
      </c>
      <c r="E806" s="13" t="s">
        <v>1064</v>
      </c>
      <c r="F806" s="13" t="s">
        <v>29</v>
      </c>
      <c r="G806" s="13" t="s">
        <v>56</v>
      </c>
      <c r="H806" s="13" t="s">
        <v>1031</v>
      </c>
      <c r="I806" s="27" t="s">
        <v>2978</v>
      </c>
      <c r="J806" s="27" t="s">
        <v>33</v>
      </c>
      <c r="K806" s="27" t="s">
        <v>34</v>
      </c>
      <c r="L806" s="27" t="s">
        <v>35</v>
      </c>
      <c r="M806" s="27" t="s">
        <v>36</v>
      </c>
      <c r="N806" s="17">
        <f t="shared" si="62"/>
        <v>45231</v>
      </c>
      <c r="O806" s="13" t="s">
        <v>34</v>
      </c>
      <c r="P806" s="13" t="s">
        <v>1033</v>
      </c>
      <c r="Q806" s="13" t="s">
        <v>38</v>
      </c>
      <c r="R806" s="13" t="s">
        <v>2979</v>
      </c>
      <c r="S806" s="13" t="s">
        <v>58</v>
      </c>
      <c r="T806" s="28">
        <v>22.01</v>
      </c>
      <c r="U806" s="13" t="s">
        <v>365</v>
      </c>
      <c r="V806" s="13" t="s">
        <v>146</v>
      </c>
      <c r="W806" s="13" t="s">
        <v>56</v>
      </c>
      <c r="X806" s="17">
        <f t="shared" si="64"/>
        <v>45261</v>
      </c>
      <c r="Y806" s="3"/>
    </row>
    <row r="807" spans="1:25" ht="45" customHeight="1">
      <c r="A807" s="3">
        <v>805</v>
      </c>
      <c r="B807" s="13" t="s">
        <v>2980</v>
      </c>
      <c r="C807" s="13" t="s">
        <v>26</v>
      </c>
      <c r="D807" s="13" t="s">
        <v>2981</v>
      </c>
      <c r="E807" s="13" t="s">
        <v>28</v>
      </c>
      <c r="F807" s="13" t="s">
        <v>1756</v>
      </c>
      <c r="G807" s="13" t="s">
        <v>1757</v>
      </c>
      <c r="H807" s="13" t="s">
        <v>1757</v>
      </c>
      <c r="I807" s="27" t="s">
        <v>2982</v>
      </c>
      <c r="J807" s="27" t="s">
        <v>33</v>
      </c>
      <c r="K807" s="27" t="s">
        <v>34</v>
      </c>
      <c r="L807" s="27" t="s">
        <v>35</v>
      </c>
      <c r="M807" s="27" t="s">
        <v>36</v>
      </c>
      <c r="N807" s="17">
        <f t="shared" si="62"/>
        <v>45231</v>
      </c>
      <c r="O807" s="13" t="s">
        <v>34</v>
      </c>
      <c r="P807" s="13" t="s">
        <v>1759</v>
      </c>
      <c r="Q807" s="13" t="s">
        <v>38</v>
      </c>
      <c r="R807" s="13" t="s">
        <v>2983</v>
      </c>
      <c r="S807" s="13" t="s">
        <v>1759</v>
      </c>
      <c r="T807" s="28">
        <v>29.66</v>
      </c>
      <c r="U807" s="13" t="s">
        <v>28</v>
      </c>
      <c r="V807" s="13" t="s">
        <v>799</v>
      </c>
      <c r="W807" s="13" t="s">
        <v>1757</v>
      </c>
      <c r="X807" s="17">
        <f t="shared" si="64"/>
        <v>45261</v>
      </c>
      <c r="Y807" s="3"/>
    </row>
    <row r="808" spans="1:25" ht="45" customHeight="1">
      <c r="A808" s="3">
        <v>806</v>
      </c>
      <c r="B808" s="13" t="s">
        <v>2984</v>
      </c>
      <c r="C808" s="13" t="s">
        <v>26</v>
      </c>
      <c r="D808" s="13" t="s">
        <v>2985</v>
      </c>
      <c r="E808" s="13" t="s">
        <v>28</v>
      </c>
      <c r="F808" s="13" t="s">
        <v>29</v>
      </c>
      <c r="G808" s="13" t="s">
        <v>62</v>
      </c>
      <c r="H808" s="13" t="s">
        <v>31</v>
      </c>
      <c r="I808" s="27" t="s">
        <v>2986</v>
      </c>
      <c r="J808" s="27" t="s">
        <v>33</v>
      </c>
      <c r="K808" s="27" t="s">
        <v>34</v>
      </c>
      <c r="L808" s="27" t="s">
        <v>35</v>
      </c>
      <c r="M808" s="27" t="s">
        <v>36</v>
      </c>
      <c r="N808" s="17">
        <f t="shared" si="62"/>
        <v>45231</v>
      </c>
      <c r="O808" s="13" t="s">
        <v>34</v>
      </c>
      <c r="P808" s="13" t="s">
        <v>64</v>
      </c>
      <c r="Q808" s="13" t="s">
        <v>38</v>
      </c>
      <c r="R808" s="13" t="s">
        <v>2987</v>
      </c>
      <c r="S808" s="13" t="s">
        <v>64</v>
      </c>
      <c r="T808" s="28">
        <v>40.39</v>
      </c>
      <c r="U808" s="13" t="s">
        <v>28</v>
      </c>
      <c r="V808" s="13" t="s">
        <v>40</v>
      </c>
      <c r="W808" s="13" t="s">
        <v>62</v>
      </c>
      <c r="X808" s="17">
        <f t="shared" si="64"/>
        <v>45261</v>
      </c>
      <c r="Y808" s="3"/>
    </row>
    <row r="809" spans="1:25" ht="45" customHeight="1">
      <c r="A809" s="3">
        <v>807</v>
      </c>
      <c r="B809" s="13" t="s">
        <v>2988</v>
      </c>
      <c r="C809" s="13" t="s">
        <v>103</v>
      </c>
      <c r="D809" s="13" t="s">
        <v>2989</v>
      </c>
      <c r="E809" s="13" t="s">
        <v>28</v>
      </c>
      <c r="F809" s="13" t="s">
        <v>29</v>
      </c>
      <c r="G809" s="13" t="s">
        <v>1216</v>
      </c>
      <c r="H809" s="13" t="s">
        <v>1031</v>
      </c>
      <c r="I809" s="27" t="s">
        <v>2990</v>
      </c>
      <c r="J809" s="27" t="s">
        <v>33</v>
      </c>
      <c r="K809" s="27" t="s">
        <v>106</v>
      </c>
      <c r="L809" s="27" t="s">
        <v>35</v>
      </c>
      <c r="M809" s="27" t="s">
        <v>36</v>
      </c>
      <c r="N809" s="17">
        <f t="shared" si="62"/>
        <v>45231</v>
      </c>
      <c r="O809" s="13" t="s">
        <v>1198</v>
      </c>
      <c r="P809" s="13" t="s">
        <v>1215</v>
      </c>
      <c r="Q809" s="13" t="s">
        <v>38</v>
      </c>
      <c r="R809" s="13" t="s">
        <v>2991</v>
      </c>
      <c r="S809" s="13" t="s">
        <v>1215</v>
      </c>
      <c r="T809" s="28">
        <v>36.71</v>
      </c>
      <c r="U809" s="13" t="s">
        <v>28</v>
      </c>
      <c r="V809" s="13" t="s">
        <v>146</v>
      </c>
      <c r="W809" s="13" t="s">
        <v>1219</v>
      </c>
      <c r="X809" s="17">
        <f t="shared" si="64"/>
        <v>45261</v>
      </c>
      <c r="Y809" s="3"/>
    </row>
    <row r="810" spans="1:25" ht="45" customHeight="1">
      <c r="A810" s="3">
        <v>808</v>
      </c>
      <c r="B810" s="13" t="s">
        <v>2992</v>
      </c>
      <c r="C810" s="13" t="s">
        <v>26</v>
      </c>
      <c r="D810" s="13" t="s">
        <v>2993</v>
      </c>
      <c r="E810" s="13" t="s">
        <v>28</v>
      </c>
      <c r="F810" s="13" t="s">
        <v>29</v>
      </c>
      <c r="G810" s="13" t="s">
        <v>30</v>
      </c>
      <c r="H810" s="13" t="s">
        <v>1031</v>
      </c>
      <c r="I810" s="27" t="s">
        <v>2994</v>
      </c>
      <c r="J810" s="27" t="s">
        <v>33</v>
      </c>
      <c r="K810" s="27" t="s">
        <v>34</v>
      </c>
      <c r="L810" s="27" t="s">
        <v>35</v>
      </c>
      <c r="M810" s="27" t="s">
        <v>36</v>
      </c>
      <c r="N810" s="17">
        <f t="shared" si="62"/>
        <v>45231</v>
      </c>
      <c r="O810" s="13" t="s">
        <v>34</v>
      </c>
      <c r="P810" s="13" t="s">
        <v>1154</v>
      </c>
      <c r="Q810" s="13" t="s">
        <v>38</v>
      </c>
      <c r="R810" s="13" t="s">
        <v>2995</v>
      </c>
      <c r="S810" s="13" t="s">
        <v>37</v>
      </c>
      <c r="T810" s="28">
        <v>24.47</v>
      </c>
      <c r="U810" s="13" t="s">
        <v>28</v>
      </c>
      <c r="V810" s="13" t="s">
        <v>146</v>
      </c>
      <c r="W810" s="13" t="s">
        <v>30</v>
      </c>
      <c r="X810" s="17">
        <f t="shared" si="64"/>
        <v>45261</v>
      </c>
      <c r="Y810" s="3"/>
    </row>
    <row r="811" spans="1:25" ht="45" customHeight="1">
      <c r="A811" s="3">
        <v>809</v>
      </c>
      <c r="B811" s="13" t="s">
        <v>2996</v>
      </c>
      <c r="C811" s="13" t="s">
        <v>103</v>
      </c>
      <c r="D811" s="13" t="s">
        <v>2997</v>
      </c>
      <c r="E811" s="13" t="s">
        <v>28</v>
      </c>
      <c r="F811" s="13" t="s">
        <v>29</v>
      </c>
      <c r="G811" s="13" t="s">
        <v>123</v>
      </c>
      <c r="H811" s="13" t="s">
        <v>31</v>
      </c>
      <c r="I811" s="27" t="s">
        <v>2998</v>
      </c>
      <c r="J811" s="27" t="s">
        <v>33</v>
      </c>
      <c r="K811" s="27" t="s">
        <v>106</v>
      </c>
      <c r="L811" s="27" t="s">
        <v>35</v>
      </c>
      <c r="M811" s="27" t="s">
        <v>36</v>
      </c>
      <c r="N811" s="17">
        <f t="shared" si="62"/>
        <v>45231</v>
      </c>
      <c r="O811" s="13" t="s">
        <v>1198</v>
      </c>
      <c r="P811" s="13" t="s">
        <v>125</v>
      </c>
      <c r="Q811" s="13" t="s">
        <v>38</v>
      </c>
      <c r="R811" s="13" t="s">
        <v>2999</v>
      </c>
      <c r="S811" s="13" t="s">
        <v>127</v>
      </c>
      <c r="T811" s="28">
        <v>20.61</v>
      </c>
      <c r="U811" s="13" t="s">
        <v>28</v>
      </c>
      <c r="V811" s="13" t="s">
        <v>89</v>
      </c>
      <c r="W811" s="13" t="s">
        <v>128</v>
      </c>
      <c r="X811" s="17">
        <f>DATE(2023,11,23)</f>
        <v>45253</v>
      </c>
      <c r="Y811" s="3"/>
    </row>
    <row r="812" spans="1:25" ht="45" customHeight="1">
      <c r="A812" s="3">
        <v>810</v>
      </c>
      <c r="B812" s="13" t="s">
        <v>3000</v>
      </c>
      <c r="C812" s="13" t="s">
        <v>103</v>
      </c>
      <c r="D812" s="13" t="s">
        <v>3001</v>
      </c>
      <c r="E812" s="13" t="s">
        <v>1064</v>
      </c>
      <c r="F812" s="13" t="s">
        <v>29</v>
      </c>
      <c r="G812" s="13" t="s">
        <v>1216</v>
      </c>
      <c r="H812" s="13" t="s">
        <v>1031</v>
      </c>
      <c r="I812" s="27" t="s">
        <v>3002</v>
      </c>
      <c r="J812" s="27" t="s">
        <v>33</v>
      </c>
      <c r="K812" s="27" t="s">
        <v>106</v>
      </c>
      <c r="L812" s="27" t="s">
        <v>35</v>
      </c>
      <c r="M812" s="27" t="s">
        <v>36</v>
      </c>
      <c r="N812" s="17">
        <f t="shared" si="62"/>
        <v>45231</v>
      </c>
      <c r="O812" s="13" t="s">
        <v>34</v>
      </c>
      <c r="P812" s="13" t="s">
        <v>1221</v>
      </c>
      <c r="Q812" s="13" t="s">
        <v>38</v>
      </c>
      <c r="R812" s="13" t="s">
        <v>3003</v>
      </c>
      <c r="S812" s="13" t="s">
        <v>1215</v>
      </c>
      <c r="T812" s="28">
        <v>30.92</v>
      </c>
      <c r="U812" s="13" t="s">
        <v>365</v>
      </c>
      <c r="V812" s="13" t="s">
        <v>53</v>
      </c>
      <c r="W812" s="13" t="s">
        <v>1219</v>
      </c>
      <c r="X812" s="17">
        <f>DATE(2023,12,1)</f>
        <v>45261</v>
      </c>
      <c r="Y812" s="3"/>
    </row>
    <row r="813" spans="1:25" ht="45" customHeight="1">
      <c r="A813" s="3">
        <v>811</v>
      </c>
      <c r="B813" s="13" t="s">
        <v>3004</v>
      </c>
      <c r="C813" s="13" t="s">
        <v>26</v>
      </c>
      <c r="D813" s="13" t="s">
        <v>3005</v>
      </c>
      <c r="E813" s="13" t="s">
        <v>1064</v>
      </c>
      <c r="F813" s="13" t="s">
        <v>29</v>
      </c>
      <c r="G813" s="13" t="s">
        <v>85</v>
      </c>
      <c r="H813" s="13" t="s">
        <v>1031</v>
      </c>
      <c r="I813" s="27" t="s">
        <v>3006</v>
      </c>
      <c r="J813" s="27" t="s">
        <v>33</v>
      </c>
      <c r="K813" s="27" t="s">
        <v>34</v>
      </c>
      <c r="L813" s="27" t="s">
        <v>35</v>
      </c>
      <c r="M813" s="27" t="s">
        <v>36</v>
      </c>
      <c r="N813" s="17">
        <f t="shared" si="62"/>
        <v>45231</v>
      </c>
      <c r="O813" s="13" t="s">
        <v>34</v>
      </c>
      <c r="P813" s="13" t="s">
        <v>87</v>
      </c>
      <c r="Q813" s="13" t="s">
        <v>38</v>
      </c>
      <c r="R813" s="13" t="s">
        <v>3007</v>
      </c>
      <c r="S813" s="13" t="s">
        <v>87</v>
      </c>
      <c r="T813" s="28">
        <v>22.25</v>
      </c>
      <c r="U813" s="13" t="s">
        <v>365</v>
      </c>
      <c r="V813" s="13" t="s">
        <v>89</v>
      </c>
      <c r="W813" s="13" t="s">
        <v>85</v>
      </c>
      <c r="X813" s="17">
        <f>DATE(2023,12,1)</f>
        <v>45261</v>
      </c>
      <c r="Y813" s="3"/>
    </row>
    <row r="814" spans="1:25" ht="45" customHeight="1">
      <c r="A814" s="3">
        <v>812</v>
      </c>
      <c r="B814" s="13" t="s">
        <v>3008</v>
      </c>
      <c r="C814" s="13" t="s">
        <v>26</v>
      </c>
      <c r="D814" s="13" t="s">
        <v>3009</v>
      </c>
      <c r="E814" s="13" t="s">
        <v>1054</v>
      </c>
      <c r="F814" s="13" t="s">
        <v>29</v>
      </c>
      <c r="G814" s="13" t="s">
        <v>30</v>
      </c>
      <c r="H814" s="13" t="s">
        <v>1031</v>
      </c>
      <c r="I814" s="27" t="s">
        <v>3010</v>
      </c>
      <c r="J814" s="27" t="s">
        <v>33</v>
      </c>
      <c r="K814" s="27" t="s">
        <v>34</v>
      </c>
      <c r="L814" s="27" t="s">
        <v>35</v>
      </c>
      <c r="M814" s="27" t="s">
        <v>36</v>
      </c>
      <c r="N814" s="17">
        <f t="shared" si="62"/>
        <v>45231</v>
      </c>
      <c r="O814" s="13" t="s">
        <v>107</v>
      </c>
      <c r="P814" s="13" t="s">
        <v>1781</v>
      </c>
      <c r="Q814" s="13" t="s">
        <v>1054</v>
      </c>
      <c r="R814" s="13" t="s">
        <v>3011</v>
      </c>
      <c r="S814" s="13" t="s">
        <v>37</v>
      </c>
      <c r="T814" s="28">
        <v>34.53</v>
      </c>
      <c r="U814" s="13" t="s">
        <v>1054</v>
      </c>
      <c r="V814" s="13" t="s">
        <v>53</v>
      </c>
      <c r="W814" s="13" t="s">
        <v>30</v>
      </c>
      <c r="X814" s="17">
        <f>DATE(2023,12,1)</f>
        <v>45261</v>
      </c>
      <c r="Y814" s="3"/>
    </row>
    <row r="815" spans="1:25" ht="45" customHeight="1">
      <c r="A815" s="3">
        <v>813</v>
      </c>
      <c r="B815" s="13" t="s">
        <v>3012</v>
      </c>
      <c r="C815" s="13" t="s">
        <v>103</v>
      </c>
      <c r="D815" s="13" t="s">
        <v>3013</v>
      </c>
      <c r="E815" s="13" t="s">
        <v>28</v>
      </c>
      <c r="F815" s="13" t="s">
        <v>29</v>
      </c>
      <c r="G815" s="13" t="s">
        <v>1058</v>
      </c>
      <c r="H815" s="13" t="s">
        <v>1031</v>
      </c>
      <c r="I815" s="27" t="s">
        <v>3014</v>
      </c>
      <c r="J815" s="27" t="s">
        <v>33</v>
      </c>
      <c r="K815" s="27" t="s">
        <v>106</v>
      </c>
      <c r="L815" s="27" t="s">
        <v>35</v>
      </c>
      <c r="M815" s="27" t="s">
        <v>36</v>
      </c>
      <c r="N815" s="17">
        <f t="shared" si="62"/>
        <v>45231</v>
      </c>
      <c r="O815" s="13" t="s">
        <v>34</v>
      </c>
      <c r="P815" s="13" t="s">
        <v>230</v>
      </c>
      <c r="Q815" s="13" t="s">
        <v>38</v>
      </c>
      <c r="R815" s="13" t="s">
        <v>3015</v>
      </c>
      <c r="S815" s="13" t="s">
        <v>87</v>
      </c>
      <c r="T815" s="28">
        <v>23.16</v>
      </c>
      <c r="U815" s="13" t="s">
        <v>28</v>
      </c>
      <c r="V815" s="13" t="s">
        <v>146</v>
      </c>
      <c r="W815" s="13" t="s">
        <v>1058</v>
      </c>
      <c r="X815" s="17">
        <f>DATE(2023,12,1)</f>
        <v>45261</v>
      </c>
      <c r="Y815" s="3"/>
    </row>
    <row r="816" spans="1:25" ht="45" customHeight="1">
      <c r="A816" s="3">
        <v>814</v>
      </c>
      <c r="B816" s="13" t="s">
        <v>3016</v>
      </c>
      <c r="C816" s="13" t="s">
        <v>26</v>
      </c>
      <c r="D816" s="13" t="s">
        <v>3017</v>
      </c>
      <c r="E816" s="13" t="s">
        <v>1054</v>
      </c>
      <c r="F816" s="13" t="s">
        <v>29</v>
      </c>
      <c r="G816" s="13" t="s">
        <v>48</v>
      </c>
      <c r="H816" s="13" t="s">
        <v>1031</v>
      </c>
      <c r="I816" s="27" t="s">
        <v>3018</v>
      </c>
      <c r="J816" s="27" t="s">
        <v>33</v>
      </c>
      <c r="K816" s="27" t="s">
        <v>34</v>
      </c>
      <c r="L816" s="27" t="s">
        <v>35</v>
      </c>
      <c r="M816" s="27" t="s">
        <v>36</v>
      </c>
      <c r="N816" s="17">
        <f t="shared" si="62"/>
        <v>45231</v>
      </c>
      <c r="O816" s="13" t="s">
        <v>34</v>
      </c>
      <c r="P816" s="13" t="s">
        <v>182</v>
      </c>
      <c r="Q816" s="13" t="s">
        <v>1054</v>
      </c>
      <c r="R816" s="13" t="s">
        <v>3019</v>
      </c>
      <c r="S816" s="13" t="s">
        <v>52</v>
      </c>
      <c r="T816" s="28">
        <v>24.87</v>
      </c>
      <c r="U816" s="13" t="s">
        <v>1054</v>
      </c>
      <c r="V816" s="13" t="s">
        <v>89</v>
      </c>
      <c r="W816" s="13" t="s">
        <v>48</v>
      </c>
      <c r="X816" s="17">
        <f>DATE(2023,12,1)</f>
        <v>45261</v>
      </c>
      <c r="Y816" s="3"/>
    </row>
    <row r="817" spans="1:25" ht="45" customHeight="1">
      <c r="A817" s="3">
        <v>815</v>
      </c>
      <c r="B817" s="13" t="s">
        <v>3020</v>
      </c>
      <c r="C817" s="13" t="s">
        <v>26</v>
      </c>
      <c r="D817" s="13" t="s">
        <v>3021</v>
      </c>
      <c r="E817" s="13" t="s">
        <v>1064</v>
      </c>
      <c r="F817" s="13" t="s">
        <v>29</v>
      </c>
      <c r="G817" s="13" t="s">
        <v>123</v>
      </c>
      <c r="H817" s="13" t="s">
        <v>1031</v>
      </c>
      <c r="I817" s="27" t="s">
        <v>3022</v>
      </c>
      <c r="J817" s="27" t="s">
        <v>33</v>
      </c>
      <c r="K817" s="27" t="s">
        <v>34</v>
      </c>
      <c r="L817" s="27" t="s">
        <v>35</v>
      </c>
      <c r="M817" s="27" t="s">
        <v>36</v>
      </c>
      <c r="N817" s="17">
        <f t="shared" si="62"/>
        <v>45231</v>
      </c>
      <c r="O817" s="13" t="s">
        <v>34</v>
      </c>
      <c r="P817" s="13" t="s">
        <v>1199</v>
      </c>
      <c r="Q817" s="13" t="s">
        <v>38</v>
      </c>
      <c r="R817" s="13" t="s">
        <v>3023</v>
      </c>
      <c r="S817" s="13" t="s">
        <v>127</v>
      </c>
      <c r="T817" s="28">
        <v>21.31</v>
      </c>
      <c r="U817" s="13" t="s">
        <v>365</v>
      </c>
      <c r="V817" s="13" t="s">
        <v>53</v>
      </c>
      <c r="W817" s="13" t="s">
        <v>128</v>
      </c>
      <c r="X817" s="17">
        <f>DATE(2023,11,23)</f>
        <v>45253</v>
      </c>
      <c r="Y817" s="3"/>
    </row>
    <row r="818" spans="1:25" ht="45" customHeight="1">
      <c r="A818" s="3">
        <v>816</v>
      </c>
      <c r="B818" s="13" t="s">
        <v>3024</v>
      </c>
      <c r="C818" s="13" t="s">
        <v>26</v>
      </c>
      <c r="D818" s="13" t="s">
        <v>3025</v>
      </c>
      <c r="E818" s="13" t="s">
        <v>28</v>
      </c>
      <c r="F818" s="13" t="s">
        <v>29</v>
      </c>
      <c r="G818" s="13" t="s">
        <v>62</v>
      </c>
      <c r="H818" s="13" t="s">
        <v>31</v>
      </c>
      <c r="I818" s="27" t="s">
        <v>3026</v>
      </c>
      <c r="J818" s="27" t="s">
        <v>33</v>
      </c>
      <c r="K818" s="27" t="s">
        <v>34</v>
      </c>
      <c r="L818" s="27" t="s">
        <v>35</v>
      </c>
      <c r="M818" s="27" t="s">
        <v>36</v>
      </c>
      <c r="N818" s="17">
        <f t="shared" si="62"/>
        <v>45231</v>
      </c>
      <c r="O818" s="13" t="s">
        <v>34</v>
      </c>
      <c r="P818" s="13" t="s">
        <v>64</v>
      </c>
      <c r="Q818" s="13" t="s">
        <v>38</v>
      </c>
      <c r="R818" s="13" t="s">
        <v>3027</v>
      </c>
      <c r="S818" s="13" t="s">
        <v>64</v>
      </c>
      <c r="T818" s="28">
        <v>24</v>
      </c>
      <c r="U818" s="13" t="s">
        <v>28</v>
      </c>
      <c r="V818" s="13" t="s">
        <v>40</v>
      </c>
      <c r="W818" s="13" t="s">
        <v>62</v>
      </c>
      <c r="X818" s="17">
        <f>DATE(2023,12,1)</f>
        <v>45261</v>
      </c>
      <c r="Y818" s="3"/>
    </row>
    <row r="819" spans="1:25" ht="45" customHeight="1">
      <c r="A819" s="3">
        <v>817</v>
      </c>
      <c r="B819" s="13" t="s">
        <v>3028</v>
      </c>
      <c r="C819" s="13" t="s">
        <v>26</v>
      </c>
      <c r="D819" s="13" t="s">
        <v>3029</v>
      </c>
      <c r="E819" s="13" t="s">
        <v>28</v>
      </c>
      <c r="F819" s="13" t="s">
        <v>29</v>
      </c>
      <c r="G819" s="13" t="s">
        <v>79</v>
      </c>
      <c r="H819" s="13" t="s">
        <v>1031</v>
      </c>
      <c r="I819" s="27" t="s">
        <v>3030</v>
      </c>
      <c r="J819" s="27" t="s">
        <v>33</v>
      </c>
      <c r="K819" s="27" t="s">
        <v>34</v>
      </c>
      <c r="L819" s="27" t="s">
        <v>35</v>
      </c>
      <c r="M819" s="27" t="s">
        <v>36</v>
      </c>
      <c r="N819" s="17">
        <f t="shared" si="62"/>
        <v>45231</v>
      </c>
      <c r="O819" s="13" t="s">
        <v>34</v>
      </c>
      <c r="P819" s="13" t="s">
        <v>263</v>
      </c>
      <c r="Q819" s="13" t="s">
        <v>38</v>
      </c>
      <c r="R819" s="13" t="s">
        <v>3031</v>
      </c>
      <c r="S819" s="13" t="s">
        <v>81</v>
      </c>
      <c r="T819" s="28">
        <v>33.450000000000003</v>
      </c>
      <c r="U819" s="13" t="s">
        <v>28</v>
      </c>
      <c r="V819" s="13" t="s">
        <v>53</v>
      </c>
      <c r="W819" s="13" t="s">
        <v>79</v>
      </c>
      <c r="X819" s="17">
        <f>DATE(2023,12,1)</f>
        <v>45261</v>
      </c>
      <c r="Y819" s="3"/>
    </row>
    <row r="820" spans="1:25" ht="45" customHeight="1">
      <c r="A820" s="3">
        <v>818</v>
      </c>
      <c r="B820" s="13" t="s">
        <v>3032</v>
      </c>
      <c r="C820" s="13" t="s">
        <v>103</v>
      </c>
      <c r="D820" s="13" t="s">
        <v>3033</v>
      </c>
      <c r="E820" s="13" t="s">
        <v>28</v>
      </c>
      <c r="F820" s="13" t="s">
        <v>29</v>
      </c>
      <c r="G820" s="13" t="s">
        <v>123</v>
      </c>
      <c r="H820" s="13" t="s">
        <v>31</v>
      </c>
      <c r="I820" s="27" t="s">
        <v>3034</v>
      </c>
      <c r="J820" s="27" t="s">
        <v>33</v>
      </c>
      <c r="K820" s="27" t="s">
        <v>106</v>
      </c>
      <c r="L820" s="27" t="s">
        <v>35</v>
      </c>
      <c r="M820" s="27" t="s">
        <v>36</v>
      </c>
      <c r="N820" s="17">
        <f t="shared" si="62"/>
        <v>45231</v>
      </c>
      <c r="O820" s="13" t="s">
        <v>34</v>
      </c>
      <c r="P820" s="13" t="s">
        <v>1199</v>
      </c>
      <c r="Q820" s="13" t="s">
        <v>38</v>
      </c>
      <c r="R820" s="13" t="s">
        <v>3035</v>
      </c>
      <c r="S820" s="13" t="s">
        <v>127</v>
      </c>
      <c r="T820" s="28">
        <v>26.18</v>
      </c>
      <c r="U820" s="13" t="s">
        <v>28</v>
      </c>
      <c r="V820" s="13" t="s">
        <v>53</v>
      </c>
      <c r="W820" s="13" t="s">
        <v>128</v>
      </c>
      <c r="X820" s="17">
        <f>DATE(2023,11,23)</f>
        <v>45253</v>
      </c>
      <c r="Y820" s="3"/>
    </row>
    <row r="821" spans="1:25" ht="45" customHeight="1">
      <c r="A821" s="3">
        <v>819</v>
      </c>
      <c r="B821" s="13" t="s">
        <v>3036</v>
      </c>
      <c r="C821" s="13" t="s">
        <v>26</v>
      </c>
      <c r="D821" s="13" t="s">
        <v>3037</v>
      </c>
      <c r="E821" s="13" t="s">
        <v>1064</v>
      </c>
      <c r="F821" s="13" t="s">
        <v>29</v>
      </c>
      <c r="G821" s="13" t="s">
        <v>123</v>
      </c>
      <c r="H821" s="13" t="s">
        <v>1031</v>
      </c>
      <c r="I821" s="27" t="s">
        <v>3038</v>
      </c>
      <c r="J821" s="27" t="s">
        <v>33</v>
      </c>
      <c r="K821" s="27" t="s">
        <v>34</v>
      </c>
      <c r="L821" s="27" t="s">
        <v>35</v>
      </c>
      <c r="M821" s="27" t="s">
        <v>36</v>
      </c>
      <c r="N821" s="17">
        <f t="shared" si="62"/>
        <v>45231</v>
      </c>
      <c r="O821" s="13" t="s">
        <v>34</v>
      </c>
      <c r="P821" s="13" t="s">
        <v>125</v>
      </c>
      <c r="Q821" s="13" t="s">
        <v>38</v>
      </c>
      <c r="R821" s="13" t="s">
        <v>3039</v>
      </c>
      <c r="S821" s="13" t="s">
        <v>127</v>
      </c>
      <c r="T821" s="28">
        <v>27.07</v>
      </c>
      <c r="U821" s="13" t="s">
        <v>365</v>
      </c>
      <c r="V821" s="13" t="s">
        <v>89</v>
      </c>
      <c r="W821" s="13" t="s">
        <v>128</v>
      </c>
      <c r="X821" s="17">
        <f>DATE(2023,11,23)</f>
        <v>45253</v>
      </c>
      <c r="Y821" s="3"/>
    </row>
    <row r="822" spans="1:25" ht="45" customHeight="1">
      <c r="A822" s="3">
        <v>820</v>
      </c>
      <c r="B822" s="13" t="s">
        <v>3040</v>
      </c>
      <c r="C822" s="13" t="s">
        <v>26</v>
      </c>
      <c r="D822" s="13" t="s">
        <v>3041</v>
      </c>
      <c r="E822" s="13" t="s">
        <v>28</v>
      </c>
      <c r="F822" s="13" t="s">
        <v>491</v>
      </c>
      <c r="G822" s="13" t="s">
        <v>1042</v>
      </c>
      <c r="H822" s="13" t="s">
        <v>406</v>
      </c>
      <c r="I822" s="27" t="s">
        <v>3042</v>
      </c>
      <c r="J822" s="27" t="s">
        <v>33</v>
      </c>
      <c r="K822" s="27" t="s">
        <v>34</v>
      </c>
      <c r="L822" s="27" t="s">
        <v>35</v>
      </c>
      <c r="M822" s="27" t="s">
        <v>36</v>
      </c>
      <c r="N822" s="17">
        <f t="shared" si="62"/>
        <v>45231</v>
      </c>
      <c r="O822" s="13" t="s">
        <v>34</v>
      </c>
      <c r="P822" s="13" t="s">
        <v>717</v>
      </c>
      <c r="Q822" s="13" t="s">
        <v>38</v>
      </c>
      <c r="R822" s="13" t="s">
        <v>3043</v>
      </c>
      <c r="S822" s="13" t="s">
        <v>496</v>
      </c>
      <c r="T822" s="28">
        <v>27.95</v>
      </c>
      <c r="U822" s="13" t="s">
        <v>28</v>
      </c>
      <c r="V822" s="13" t="s">
        <v>53</v>
      </c>
      <c r="W822" s="13" t="s">
        <v>1042</v>
      </c>
      <c r="X822" s="17">
        <f>DATE(2023,12,1)</f>
        <v>45261</v>
      </c>
      <c r="Y822" s="3"/>
    </row>
    <row r="823" spans="1:25" ht="45" customHeight="1">
      <c r="A823" s="3">
        <v>821</v>
      </c>
      <c r="B823" s="13" t="s">
        <v>3044</v>
      </c>
      <c r="C823" s="13" t="s">
        <v>26</v>
      </c>
      <c r="D823" s="13" t="s">
        <v>3045</v>
      </c>
      <c r="E823" s="13" t="s">
        <v>28</v>
      </c>
      <c r="F823" s="13" t="s">
        <v>29</v>
      </c>
      <c r="G823" s="13" t="s">
        <v>48</v>
      </c>
      <c r="H823" s="13" t="s">
        <v>1031</v>
      </c>
      <c r="I823" s="27" t="s">
        <v>3046</v>
      </c>
      <c r="J823" s="27" t="s">
        <v>33</v>
      </c>
      <c r="K823" s="27" t="s">
        <v>34</v>
      </c>
      <c r="L823" s="27" t="s">
        <v>35</v>
      </c>
      <c r="M823" s="27" t="s">
        <v>36</v>
      </c>
      <c r="N823" s="17">
        <f t="shared" si="62"/>
        <v>45231</v>
      </c>
      <c r="O823" s="13" t="s">
        <v>34</v>
      </c>
      <c r="P823" s="13" t="s">
        <v>52</v>
      </c>
      <c r="Q823" s="13" t="s">
        <v>38</v>
      </c>
      <c r="R823" s="13" t="s">
        <v>3047</v>
      </c>
      <c r="S823" s="13" t="s">
        <v>52</v>
      </c>
      <c r="T823" s="28">
        <v>22.67</v>
      </c>
      <c r="U823" s="13" t="s">
        <v>28</v>
      </c>
      <c r="V823" s="13" t="s">
        <v>146</v>
      </c>
      <c r="W823" s="13" t="s">
        <v>48</v>
      </c>
      <c r="X823" s="17">
        <f>DATE(2023,12,1)</f>
        <v>45261</v>
      </c>
      <c r="Y823" s="3"/>
    </row>
    <row r="824" spans="1:25" ht="45" customHeight="1">
      <c r="A824" s="3">
        <v>822</v>
      </c>
      <c r="B824" s="13" t="s">
        <v>3048</v>
      </c>
      <c r="C824" s="13" t="s">
        <v>26</v>
      </c>
      <c r="D824" s="13" t="s">
        <v>3049</v>
      </c>
      <c r="E824" s="13" t="s">
        <v>28</v>
      </c>
      <c r="F824" s="13" t="s">
        <v>491</v>
      </c>
      <c r="G824" s="13" t="s">
        <v>1042</v>
      </c>
      <c r="H824" s="13" t="s">
        <v>406</v>
      </c>
      <c r="I824" s="27" t="s">
        <v>3050</v>
      </c>
      <c r="J824" s="27" t="s">
        <v>33</v>
      </c>
      <c r="K824" s="27" t="s">
        <v>34</v>
      </c>
      <c r="L824" s="27" t="s">
        <v>35</v>
      </c>
      <c r="M824" s="27" t="s">
        <v>36</v>
      </c>
      <c r="N824" s="17">
        <f t="shared" si="62"/>
        <v>45231</v>
      </c>
      <c r="O824" s="13" t="s">
        <v>34</v>
      </c>
      <c r="P824" s="13" t="s">
        <v>717</v>
      </c>
      <c r="Q824" s="13" t="s">
        <v>38</v>
      </c>
      <c r="R824" s="13" t="s">
        <v>3051</v>
      </c>
      <c r="S824" s="13" t="s">
        <v>496</v>
      </c>
      <c r="T824" s="28">
        <v>22.86</v>
      </c>
      <c r="U824" s="13" t="s">
        <v>28</v>
      </c>
      <c r="V824" s="13" t="s">
        <v>53</v>
      </c>
      <c r="W824" s="13" t="s">
        <v>1042</v>
      </c>
      <c r="X824" s="17">
        <f>DATE(2023,12,1)</f>
        <v>45261</v>
      </c>
      <c r="Y824" s="3"/>
    </row>
    <row r="825" spans="1:25" ht="45" customHeight="1">
      <c r="A825" s="3">
        <v>823</v>
      </c>
      <c r="B825" s="13" t="s">
        <v>3052</v>
      </c>
      <c r="C825" s="13" t="s">
        <v>26</v>
      </c>
      <c r="D825" s="13" t="s">
        <v>3053</v>
      </c>
      <c r="E825" s="13" t="s">
        <v>28</v>
      </c>
      <c r="F825" s="13" t="s">
        <v>29</v>
      </c>
      <c r="G825" s="13" t="s">
        <v>1058</v>
      </c>
      <c r="H825" s="13" t="s">
        <v>31</v>
      </c>
      <c r="I825" s="27" t="s">
        <v>3054</v>
      </c>
      <c r="J825" s="27" t="s">
        <v>33</v>
      </c>
      <c r="K825" s="27" t="s">
        <v>34</v>
      </c>
      <c r="L825" s="27" t="s">
        <v>35</v>
      </c>
      <c r="M825" s="27" t="s">
        <v>36</v>
      </c>
      <c r="N825" s="17">
        <f t="shared" si="62"/>
        <v>45231</v>
      </c>
      <c r="O825" s="13" t="s">
        <v>34</v>
      </c>
      <c r="P825" s="13" t="s">
        <v>230</v>
      </c>
      <c r="Q825" s="13" t="s">
        <v>38</v>
      </c>
      <c r="R825" s="13" t="s">
        <v>3055</v>
      </c>
      <c r="S825" s="13" t="s">
        <v>87</v>
      </c>
      <c r="T825" s="28">
        <v>28.12</v>
      </c>
      <c r="U825" s="13" t="s">
        <v>28</v>
      </c>
      <c r="V825" s="13" t="s">
        <v>146</v>
      </c>
      <c r="W825" s="13" t="s">
        <v>1058</v>
      </c>
      <c r="X825" s="17">
        <f>DATE(2023,12,1)</f>
        <v>45261</v>
      </c>
      <c r="Y825" s="3"/>
    </row>
    <row r="826" spans="1:25" ht="45" customHeight="1">
      <c r="A826" s="3">
        <v>824</v>
      </c>
      <c r="B826" s="13" t="s">
        <v>3056</v>
      </c>
      <c r="C826" s="13" t="s">
        <v>103</v>
      </c>
      <c r="D826" s="13" t="s">
        <v>3057</v>
      </c>
      <c r="E826" s="13" t="s">
        <v>1211</v>
      </c>
      <c r="F826" s="13" t="s">
        <v>417</v>
      </c>
      <c r="G826" s="13" t="s">
        <v>418</v>
      </c>
      <c r="H826" s="13" t="s">
        <v>419</v>
      </c>
      <c r="I826" s="27" t="s">
        <v>3058</v>
      </c>
      <c r="J826" s="27" t="s">
        <v>33</v>
      </c>
      <c r="K826" s="27" t="s">
        <v>106</v>
      </c>
      <c r="L826" s="27" t="s">
        <v>35</v>
      </c>
      <c r="M826" s="27" t="s">
        <v>36</v>
      </c>
      <c r="N826" s="17">
        <f t="shared" ref="N826:N851" si="65">DATE(2023,11,20)</f>
        <v>45250</v>
      </c>
      <c r="O826" s="13" t="s">
        <v>107</v>
      </c>
      <c r="P826" s="13" t="s">
        <v>415</v>
      </c>
      <c r="Q826" s="13" t="s">
        <v>465</v>
      </c>
      <c r="R826" s="13" t="s">
        <v>3059</v>
      </c>
      <c r="S826" s="13" t="s">
        <v>423</v>
      </c>
      <c r="T826" s="28">
        <v>25.97</v>
      </c>
      <c r="U826" s="13" t="s">
        <v>490</v>
      </c>
      <c r="V826" s="13" t="s">
        <v>413</v>
      </c>
      <c r="W826" s="13" t="s">
        <v>424</v>
      </c>
      <c r="X826" s="17">
        <f>DATE(2024,4,19)</f>
        <v>45401</v>
      </c>
      <c r="Y826" s="3"/>
    </row>
    <row r="827" spans="1:25" ht="45" customHeight="1">
      <c r="A827" s="3">
        <v>825</v>
      </c>
      <c r="B827" s="13" t="s">
        <v>3060</v>
      </c>
      <c r="C827" s="13" t="s">
        <v>26</v>
      </c>
      <c r="D827" s="13" t="s">
        <v>1816</v>
      </c>
      <c r="E827" s="13" t="s">
        <v>1041</v>
      </c>
      <c r="F827" s="13" t="s">
        <v>29</v>
      </c>
      <c r="G827" s="13" t="s">
        <v>62</v>
      </c>
      <c r="H827" s="13" t="s">
        <v>406</v>
      </c>
      <c r="I827" s="27" t="s">
        <v>3061</v>
      </c>
      <c r="J827" s="27" t="s">
        <v>33</v>
      </c>
      <c r="K827" s="27" t="s">
        <v>34</v>
      </c>
      <c r="L827" s="27" t="s">
        <v>208</v>
      </c>
      <c r="M827" s="27" t="s">
        <v>209</v>
      </c>
      <c r="N827" s="17">
        <f t="shared" si="65"/>
        <v>45250</v>
      </c>
      <c r="O827" s="13" t="s">
        <v>107</v>
      </c>
      <c r="P827" s="13" t="s">
        <v>64</v>
      </c>
      <c r="Q827" s="13" t="s">
        <v>501</v>
      </c>
      <c r="R827" s="13" t="s">
        <v>3062</v>
      </c>
      <c r="S827" s="13" t="s">
        <v>441</v>
      </c>
      <c r="T827" s="28">
        <v>48.81</v>
      </c>
      <c r="U827" s="13" t="s">
        <v>1041</v>
      </c>
      <c r="V827" s="13" t="s">
        <v>89</v>
      </c>
      <c r="W827" s="13" t="s">
        <v>62</v>
      </c>
      <c r="X827" s="17">
        <f>DATE(2024,5,20)</f>
        <v>45432</v>
      </c>
      <c r="Y827" s="3"/>
    </row>
    <row r="828" spans="1:25" ht="45" customHeight="1">
      <c r="A828" s="3">
        <v>826</v>
      </c>
      <c r="B828" s="13" t="s">
        <v>3063</v>
      </c>
      <c r="C828" s="13" t="s">
        <v>103</v>
      </c>
      <c r="D828" s="13" t="s">
        <v>3064</v>
      </c>
      <c r="E828" s="13" t="s">
        <v>28</v>
      </c>
      <c r="F828" s="13" t="s">
        <v>29</v>
      </c>
      <c r="G828" s="13" t="s">
        <v>680</v>
      </c>
      <c r="H828" s="13" t="s">
        <v>1031</v>
      </c>
      <c r="I828" s="27" t="s">
        <v>365</v>
      </c>
      <c r="J828" s="27" t="s">
        <v>1898</v>
      </c>
      <c r="K828" s="27" t="s">
        <v>106</v>
      </c>
      <c r="L828" s="27" t="s">
        <v>2057</v>
      </c>
      <c r="M828" s="27" t="s">
        <v>36</v>
      </c>
      <c r="N828" s="17">
        <f t="shared" si="65"/>
        <v>45250</v>
      </c>
      <c r="O828" s="13" t="s">
        <v>1776</v>
      </c>
      <c r="P828" s="13" t="s">
        <v>50</v>
      </c>
      <c r="Q828" s="13" t="s">
        <v>38</v>
      </c>
      <c r="R828" s="13" t="s">
        <v>365</v>
      </c>
      <c r="S828" s="13" t="s">
        <v>52</v>
      </c>
      <c r="T828" s="28">
        <v>25.23</v>
      </c>
      <c r="U828" s="13" t="s">
        <v>28</v>
      </c>
      <c r="V828" s="13" t="s">
        <v>53</v>
      </c>
      <c r="W828" s="13" t="s">
        <v>683</v>
      </c>
      <c r="X828" s="17">
        <f t="shared" ref="X828:X851" si="66">DATE(2024,2,20)</f>
        <v>45342</v>
      </c>
      <c r="Y828" s="3"/>
    </row>
    <row r="829" spans="1:25" ht="45" customHeight="1">
      <c r="A829" s="3">
        <v>827</v>
      </c>
      <c r="B829" s="13" t="s">
        <v>3065</v>
      </c>
      <c r="C829" s="13" t="s">
        <v>103</v>
      </c>
      <c r="D829" s="13" t="s">
        <v>3066</v>
      </c>
      <c r="E829" s="13" t="s">
        <v>28</v>
      </c>
      <c r="F829" s="13" t="s">
        <v>29</v>
      </c>
      <c r="G829" s="13" t="s">
        <v>537</v>
      </c>
      <c r="H829" s="13" t="s">
        <v>1031</v>
      </c>
      <c r="I829" s="27" t="s">
        <v>365</v>
      </c>
      <c r="J829" s="27" t="s">
        <v>1898</v>
      </c>
      <c r="K829" s="27" t="s">
        <v>106</v>
      </c>
      <c r="L829" s="27" t="s">
        <v>2057</v>
      </c>
      <c r="M829" s="27" t="s">
        <v>1681</v>
      </c>
      <c r="N829" s="17">
        <f t="shared" si="65"/>
        <v>45250</v>
      </c>
      <c r="O829" s="13" t="s">
        <v>1776</v>
      </c>
      <c r="P829" s="13" t="s">
        <v>64</v>
      </c>
      <c r="Q829" s="13" t="s">
        <v>38</v>
      </c>
      <c r="R829" s="13" t="s">
        <v>365</v>
      </c>
      <c r="S829" s="13" t="s">
        <v>64</v>
      </c>
      <c r="T829" s="28">
        <v>31.44</v>
      </c>
      <c r="U829" s="13" t="s">
        <v>28</v>
      </c>
      <c r="V829" s="13" t="s">
        <v>146</v>
      </c>
      <c r="W829" s="13" t="s">
        <v>537</v>
      </c>
      <c r="X829" s="17">
        <f t="shared" si="66"/>
        <v>45342</v>
      </c>
      <c r="Y829" s="3"/>
    </row>
    <row r="830" spans="1:25" ht="45" customHeight="1">
      <c r="A830" s="3">
        <v>828</v>
      </c>
      <c r="B830" s="13" t="s">
        <v>3067</v>
      </c>
      <c r="C830" s="13" t="s">
        <v>103</v>
      </c>
      <c r="D830" s="13" t="s">
        <v>3068</v>
      </c>
      <c r="E830" s="13" t="s">
        <v>28</v>
      </c>
      <c r="F830" s="13" t="s">
        <v>29</v>
      </c>
      <c r="G830" s="13" t="s">
        <v>537</v>
      </c>
      <c r="H830" s="13" t="s">
        <v>1031</v>
      </c>
      <c r="I830" s="27" t="s">
        <v>365</v>
      </c>
      <c r="J830" s="27" t="s">
        <v>1898</v>
      </c>
      <c r="K830" s="27" t="s">
        <v>106</v>
      </c>
      <c r="L830" s="27" t="s">
        <v>2057</v>
      </c>
      <c r="M830" s="27" t="s">
        <v>1681</v>
      </c>
      <c r="N830" s="17">
        <f t="shared" si="65"/>
        <v>45250</v>
      </c>
      <c r="O830" s="13" t="s">
        <v>1776</v>
      </c>
      <c r="P830" s="13" t="s">
        <v>64</v>
      </c>
      <c r="Q830" s="13" t="s">
        <v>38</v>
      </c>
      <c r="R830" s="13" t="s">
        <v>365</v>
      </c>
      <c r="S830" s="13" t="s">
        <v>64</v>
      </c>
      <c r="T830" s="28">
        <v>27.53</v>
      </c>
      <c r="U830" s="13" t="s">
        <v>28</v>
      </c>
      <c r="V830" s="13" t="s">
        <v>146</v>
      </c>
      <c r="W830" s="13" t="s">
        <v>537</v>
      </c>
      <c r="X830" s="17">
        <f t="shared" si="66"/>
        <v>45342</v>
      </c>
      <c r="Y830" s="3"/>
    </row>
    <row r="831" spans="1:25" ht="45" customHeight="1">
      <c r="A831" s="3">
        <v>829</v>
      </c>
      <c r="B831" s="13" t="s">
        <v>3069</v>
      </c>
      <c r="C831" s="13" t="s">
        <v>103</v>
      </c>
      <c r="D831" s="13" t="s">
        <v>3070</v>
      </c>
      <c r="E831" s="13" t="s">
        <v>28</v>
      </c>
      <c r="F831" s="13" t="s">
        <v>29</v>
      </c>
      <c r="G831" s="13" t="s">
        <v>1216</v>
      </c>
      <c r="H831" s="13" t="s">
        <v>1031</v>
      </c>
      <c r="I831" s="27" t="s">
        <v>365</v>
      </c>
      <c r="J831" s="27" t="s">
        <v>1898</v>
      </c>
      <c r="K831" s="27" t="s">
        <v>106</v>
      </c>
      <c r="L831" s="27" t="s">
        <v>2057</v>
      </c>
      <c r="M831" s="27" t="s">
        <v>1681</v>
      </c>
      <c r="N831" s="17">
        <f t="shared" si="65"/>
        <v>45250</v>
      </c>
      <c r="O831" s="13" t="s">
        <v>1776</v>
      </c>
      <c r="P831" s="13" t="s">
        <v>1221</v>
      </c>
      <c r="Q831" s="13" t="s">
        <v>38</v>
      </c>
      <c r="R831" s="13" t="s">
        <v>365</v>
      </c>
      <c r="S831" s="13" t="s">
        <v>1215</v>
      </c>
      <c r="T831" s="28">
        <v>28.99</v>
      </c>
      <c r="U831" s="13" t="s">
        <v>28</v>
      </c>
      <c r="V831" s="13" t="s">
        <v>53</v>
      </c>
      <c r="W831" s="13" t="s">
        <v>1219</v>
      </c>
      <c r="X831" s="17">
        <f t="shared" si="66"/>
        <v>45342</v>
      </c>
      <c r="Y831" s="3"/>
    </row>
    <row r="832" spans="1:25" ht="45" customHeight="1">
      <c r="A832" s="3">
        <v>830</v>
      </c>
      <c r="B832" s="13" t="s">
        <v>3071</v>
      </c>
      <c r="C832" s="13" t="s">
        <v>103</v>
      </c>
      <c r="D832" s="13" t="s">
        <v>3072</v>
      </c>
      <c r="E832" s="13" t="s">
        <v>28</v>
      </c>
      <c r="F832" s="13" t="s">
        <v>29</v>
      </c>
      <c r="G832" s="13" t="s">
        <v>1216</v>
      </c>
      <c r="H832" s="13" t="s">
        <v>1031</v>
      </c>
      <c r="I832" s="27" t="s">
        <v>365</v>
      </c>
      <c r="J832" s="27" t="s">
        <v>1898</v>
      </c>
      <c r="K832" s="27" t="s">
        <v>106</v>
      </c>
      <c r="L832" s="27" t="s">
        <v>1899</v>
      </c>
      <c r="M832" s="27" t="s">
        <v>1681</v>
      </c>
      <c r="N832" s="17">
        <f t="shared" si="65"/>
        <v>45250</v>
      </c>
      <c r="O832" s="13" t="s">
        <v>1776</v>
      </c>
      <c r="P832" s="13" t="s">
        <v>1231</v>
      </c>
      <c r="Q832" s="13" t="s">
        <v>38</v>
      </c>
      <c r="R832" s="13" t="s">
        <v>365</v>
      </c>
      <c r="S832" s="13" t="s">
        <v>1215</v>
      </c>
      <c r="T832" s="28">
        <v>25.74</v>
      </c>
      <c r="U832" s="13" t="s">
        <v>28</v>
      </c>
      <c r="V832" s="13" t="s">
        <v>89</v>
      </c>
      <c r="W832" s="13" t="s">
        <v>1219</v>
      </c>
      <c r="X832" s="17">
        <f t="shared" si="66"/>
        <v>45342</v>
      </c>
      <c r="Y832" s="3"/>
    </row>
    <row r="833" spans="1:25" ht="45" customHeight="1">
      <c r="A833" s="3">
        <v>831</v>
      </c>
      <c r="B833" s="13" t="s">
        <v>3073</v>
      </c>
      <c r="C833" s="13" t="s">
        <v>103</v>
      </c>
      <c r="D833" s="13" t="s">
        <v>3074</v>
      </c>
      <c r="E833" s="13" t="s">
        <v>28</v>
      </c>
      <c r="F833" s="13" t="s">
        <v>29</v>
      </c>
      <c r="G833" s="13" t="s">
        <v>72</v>
      </c>
      <c r="H833" s="13" t="s">
        <v>1031</v>
      </c>
      <c r="I833" s="27" t="s">
        <v>365</v>
      </c>
      <c r="J833" s="27" t="s">
        <v>1898</v>
      </c>
      <c r="K833" s="27" t="s">
        <v>106</v>
      </c>
      <c r="L833" s="27" t="s">
        <v>1899</v>
      </c>
      <c r="M833" s="27" t="s">
        <v>36</v>
      </c>
      <c r="N833" s="17">
        <f t="shared" si="65"/>
        <v>45250</v>
      </c>
      <c r="O833" s="13" t="s">
        <v>1776</v>
      </c>
      <c r="P833" s="13" t="s">
        <v>1149</v>
      </c>
      <c r="Q833" s="13" t="s">
        <v>38</v>
      </c>
      <c r="R833" s="13" t="s">
        <v>365</v>
      </c>
      <c r="S833" s="13" t="s">
        <v>74</v>
      </c>
      <c r="T833" s="28">
        <v>30.88</v>
      </c>
      <c r="U833" s="13" t="s">
        <v>28</v>
      </c>
      <c r="V833" s="13" t="s">
        <v>146</v>
      </c>
      <c r="W833" s="13" t="s">
        <v>72</v>
      </c>
      <c r="X833" s="17">
        <f t="shared" si="66"/>
        <v>45342</v>
      </c>
      <c r="Y833" s="3"/>
    </row>
    <row r="834" spans="1:25" ht="45" customHeight="1">
      <c r="A834" s="3">
        <v>832</v>
      </c>
      <c r="B834" s="13" t="s">
        <v>3075</v>
      </c>
      <c r="C834" s="13" t="s">
        <v>103</v>
      </c>
      <c r="D834" s="13" t="s">
        <v>3076</v>
      </c>
      <c r="E834" s="13" t="s">
        <v>28</v>
      </c>
      <c r="F834" s="13" t="s">
        <v>29</v>
      </c>
      <c r="G834" s="13" t="s">
        <v>537</v>
      </c>
      <c r="H834" s="13" t="s">
        <v>1031</v>
      </c>
      <c r="I834" s="27" t="s">
        <v>365</v>
      </c>
      <c r="J834" s="27" t="s">
        <v>1898</v>
      </c>
      <c r="K834" s="27" t="s">
        <v>106</v>
      </c>
      <c r="L834" s="27" t="s">
        <v>1899</v>
      </c>
      <c r="M834" s="27" t="s">
        <v>1681</v>
      </c>
      <c r="N834" s="17">
        <f t="shared" si="65"/>
        <v>45250</v>
      </c>
      <c r="O834" s="13" t="s">
        <v>1776</v>
      </c>
      <c r="P834" s="13" t="s">
        <v>64</v>
      </c>
      <c r="Q834" s="13" t="s">
        <v>38</v>
      </c>
      <c r="R834" s="13" t="s">
        <v>365</v>
      </c>
      <c r="S834" s="13" t="s">
        <v>64</v>
      </c>
      <c r="T834" s="28">
        <v>24.32</v>
      </c>
      <c r="U834" s="13" t="s">
        <v>28</v>
      </c>
      <c r="V834" s="13" t="s">
        <v>89</v>
      </c>
      <c r="W834" s="13" t="s">
        <v>537</v>
      </c>
      <c r="X834" s="17">
        <f t="shared" si="66"/>
        <v>45342</v>
      </c>
      <c r="Y834" s="3"/>
    </row>
    <row r="835" spans="1:25" ht="45" customHeight="1">
      <c r="A835" s="3">
        <v>833</v>
      </c>
      <c r="B835" s="13" t="s">
        <v>3077</v>
      </c>
      <c r="C835" s="13" t="s">
        <v>103</v>
      </c>
      <c r="D835" s="13" t="s">
        <v>3078</v>
      </c>
      <c r="E835" s="13" t="s">
        <v>28</v>
      </c>
      <c r="F835" s="13" t="s">
        <v>29</v>
      </c>
      <c r="G835" s="13" t="s">
        <v>1216</v>
      </c>
      <c r="H835" s="13" t="s">
        <v>1031</v>
      </c>
      <c r="I835" s="27" t="s">
        <v>365</v>
      </c>
      <c r="J835" s="27" t="s">
        <v>1898</v>
      </c>
      <c r="K835" s="27" t="s">
        <v>106</v>
      </c>
      <c r="L835" s="27" t="s">
        <v>1899</v>
      </c>
      <c r="M835" s="27" t="s">
        <v>1681</v>
      </c>
      <c r="N835" s="17">
        <f t="shared" si="65"/>
        <v>45250</v>
      </c>
      <c r="O835" s="13" t="s">
        <v>1776</v>
      </c>
      <c r="P835" s="13" t="s">
        <v>1231</v>
      </c>
      <c r="Q835" s="13" t="s">
        <v>38</v>
      </c>
      <c r="R835" s="13" t="s">
        <v>365</v>
      </c>
      <c r="S835" s="13" t="s">
        <v>1215</v>
      </c>
      <c r="T835" s="28">
        <v>25.72</v>
      </c>
      <c r="U835" s="13" t="s">
        <v>28</v>
      </c>
      <c r="V835" s="13" t="s">
        <v>89</v>
      </c>
      <c r="W835" s="13" t="s">
        <v>1219</v>
      </c>
      <c r="X835" s="17">
        <f t="shared" si="66"/>
        <v>45342</v>
      </c>
      <c r="Y835" s="3"/>
    </row>
    <row r="836" spans="1:25" ht="45" customHeight="1">
      <c r="A836" s="3">
        <v>834</v>
      </c>
      <c r="B836" s="13" t="s">
        <v>3079</v>
      </c>
      <c r="C836" s="13" t="s">
        <v>103</v>
      </c>
      <c r="D836" s="13" t="s">
        <v>3080</v>
      </c>
      <c r="E836" s="13" t="s">
        <v>28</v>
      </c>
      <c r="F836" s="13" t="s">
        <v>29</v>
      </c>
      <c r="G836" s="13" t="s">
        <v>1216</v>
      </c>
      <c r="H836" s="13" t="s">
        <v>1031</v>
      </c>
      <c r="I836" s="27" t="s">
        <v>365</v>
      </c>
      <c r="J836" s="27" t="s">
        <v>1898</v>
      </c>
      <c r="K836" s="27" t="s">
        <v>106</v>
      </c>
      <c r="L836" s="27" t="s">
        <v>1899</v>
      </c>
      <c r="M836" s="27" t="s">
        <v>1681</v>
      </c>
      <c r="N836" s="17">
        <f t="shared" si="65"/>
        <v>45250</v>
      </c>
      <c r="O836" s="13" t="s">
        <v>1776</v>
      </c>
      <c r="P836" s="13" t="s">
        <v>1221</v>
      </c>
      <c r="Q836" s="13" t="s">
        <v>38</v>
      </c>
      <c r="R836" s="13" t="s">
        <v>365</v>
      </c>
      <c r="S836" s="13" t="s">
        <v>1215</v>
      </c>
      <c r="T836" s="28">
        <v>23.53</v>
      </c>
      <c r="U836" s="13" t="s">
        <v>28</v>
      </c>
      <c r="V836" s="13" t="s">
        <v>53</v>
      </c>
      <c r="W836" s="13" t="s">
        <v>1219</v>
      </c>
      <c r="X836" s="17">
        <f t="shared" si="66"/>
        <v>45342</v>
      </c>
      <c r="Y836" s="3"/>
    </row>
    <row r="837" spans="1:25" ht="45" customHeight="1">
      <c r="A837" s="3">
        <v>835</v>
      </c>
      <c r="B837" s="13" t="s">
        <v>3081</v>
      </c>
      <c r="C837" s="13" t="s">
        <v>103</v>
      </c>
      <c r="D837" s="13" t="s">
        <v>3082</v>
      </c>
      <c r="E837" s="13" t="s">
        <v>28</v>
      </c>
      <c r="F837" s="13" t="s">
        <v>29</v>
      </c>
      <c r="G837" s="13" t="s">
        <v>1216</v>
      </c>
      <c r="H837" s="13" t="s">
        <v>1031</v>
      </c>
      <c r="I837" s="27" t="s">
        <v>365</v>
      </c>
      <c r="J837" s="27" t="s">
        <v>1898</v>
      </c>
      <c r="K837" s="27" t="s">
        <v>106</v>
      </c>
      <c r="L837" s="27" t="s">
        <v>1899</v>
      </c>
      <c r="M837" s="27" t="s">
        <v>1681</v>
      </c>
      <c r="N837" s="17">
        <f t="shared" si="65"/>
        <v>45250</v>
      </c>
      <c r="O837" s="13" t="s">
        <v>1776</v>
      </c>
      <c r="P837" s="13" t="s">
        <v>1215</v>
      </c>
      <c r="Q837" s="13" t="s">
        <v>38</v>
      </c>
      <c r="R837" s="13" t="s">
        <v>365</v>
      </c>
      <c r="S837" s="13" t="s">
        <v>1215</v>
      </c>
      <c r="T837" s="28">
        <v>26.01</v>
      </c>
      <c r="U837" s="13" t="s">
        <v>28</v>
      </c>
      <c r="V837" s="13" t="s">
        <v>146</v>
      </c>
      <c r="W837" s="13" t="s">
        <v>1219</v>
      </c>
      <c r="X837" s="17">
        <f t="shared" si="66"/>
        <v>45342</v>
      </c>
      <c r="Y837" s="3"/>
    </row>
    <row r="838" spans="1:25" ht="45" customHeight="1">
      <c r="A838" s="3">
        <v>836</v>
      </c>
      <c r="B838" s="13" t="s">
        <v>3083</v>
      </c>
      <c r="C838" s="13" t="s">
        <v>103</v>
      </c>
      <c r="D838" s="13" t="s">
        <v>3084</v>
      </c>
      <c r="E838" s="13" t="s">
        <v>28</v>
      </c>
      <c r="F838" s="13" t="s">
        <v>29</v>
      </c>
      <c r="G838" s="13" t="s">
        <v>1216</v>
      </c>
      <c r="H838" s="13" t="s">
        <v>1031</v>
      </c>
      <c r="I838" s="27" t="s">
        <v>365</v>
      </c>
      <c r="J838" s="27" t="s">
        <v>1898</v>
      </c>
      <c r="K838" s="27" t="s">
        <v>106</v>
      </c>
      <c r="L838" s="27" t="s">
        <v>1899</v>
      </c>
      <c r="M838" s="27" t="s">
        <v>1681</v>
      </c>
      <c r="N838" s="17">
        <f t="shared" si="65"/>
        <v>45250</v>
      </c>
      <c r="O838" s="13" t="s">
        <v>1776</v>
      </c>
      <c r="P838" s="13" t="s">
        <v>1215</v>
      </c>
      <c r="Q838" s="13" t="s">
        <v>38</v>
      </c>
      <c r="R838" s="13" t="s">
        <v>365</v>
      </c>
      <c r="S838" s="13" t="s">
        <v>1215</v>
      </c>
      <c r="T838" s="28">
        <v>23</v>
      </c>
      <c r="U838" s="13" t="s">
        <v>28</v>
      </c>
      <c r="V838" s="13" t="s">
        <v>146</v>
      </c>
      <c r="W838" s="13" t="s">
        <v>1219</v>
      </c>
      <c r="X838" s="17">
        <f t="shared" si="66"/>
        <v>45342</v>
      </c>
      <c r="Y838" s="3"/>
    </row>
    <row r="839" spans="1:25" ht="45" customHeight="1">
      <c r="A839" s="3">
        <v>837</v>
      </c>
      <c r="B839" s="13" t="s">
        <v>3085</v>
      </c>
      <c r="C839" s="13" t="s">
        <v>103</v>
      </c>
      <c r="D839" s="13" t="s">
        <v>3086</v>
      </c>
      <c r="E839" s="13" t="s">
        <v>28</v>
      </c>
      <c r="F839" s="13" t="s">
        <v>29</v>
      </c>
      <c r="G839" s="13" t="s">
        <v>72</v>
      </c>
      <c r="H839" s="13" t="s">
        <v>1031</v>
      </c>
      <c r="I839" s="27" t="s">
        <v>365</v>
      </c>
      <c r="J839" s="27" t="s">
        <v>1898</v>
      </c>
      <c r="K839" s="27" t="s">
        <v>106</v>
      </c>
      <c r="L839" s="27" t="s">
        <v>1899</v>
      </c>
      <c r="M839" s="27" t="s">
        <v>1681</v>
      </c>
      <c r="N839" s="17">
        <f t="shared" si="65"/>
        <v>45250</v>
      </c>
      <c r="O839" s="13" t="s">
        <v>1776</v>
      </c>
      <c r="P839" s="13" t="s">
        <v>1100</v>
      </c>
      <c r="Q839" s="13" t="s">
        <v>38</v>
      </c>
      <c r="R839" s="13" t="s">
        <v>365</v>
      </c>
      <c r="S839" s="13" t="s">
        <v>74</v>
      </c>
      <c r="T839" s="28">
        <v>24.82</v>
      </c>
      <c r="U839" s="13" t="s">
        <v>28</v>
      </c>
      <c r="V839" s="13" t="s">
        <v>89</v>
      </c>
      <c r="W839" s="13" t="s">
        <v>72</v>
      </c>
      <c r="X839" s="17">
        <f t="shared" si="66"/>
        <v>45342</v>
      </c>
      <c r="Y839" s="3"/>
    </row>
    <row r="840" spans="1:25" ht="45" customHeight="1">
      <c r="A840" s="3">
        <v>838</v>
      </c>
      <c r="B840" s="13" t="s">
        <v>3087</v>
      </c>
      <c r="C840" s="13" t="s">
        <v>103</v>
      </c>
      <c r="D840" s="13" t="s">
        <v>3088</v>
      </c>
      <c r="E840" s="13" t="s">
        <v>28</v>
      </c>
      <c r="F840" s="13" t="s">
        <v>29</v>
      </c>
      <c r="G840" s="13" t="s">
        <v>72</v>
      </c>
      <c r="H840" s="13" t="s">
        <v>1031</v>
      </c>
      <c r="I840" s="27" t="s">
        <v>365</v>
      </c>
      <c r="J840" s="27" t="s">
        <v>1898</v>
      </c>
      <c r="K840" s="27" t="s">
        <v>106</v>
      </c>
      <c r="L840" s="27" t="s">
        <v>1899</v>
      </c>
      <c r="M840" s="27" t="s">
        <v>36</v>
      </c>
      <c r="N840" s="17">
        <f t="shared" si="65"/>
        <v>45250</v>
      </c>
      <c r="O840" s="13" t="s">
        <v>1776</v>
      </c>
      <c r="P840" s="13" t="s">
        <v>1144</v>
      </c>
      <c r="Q840" s="13" t="s">
        <v>38</v>
      </c>
      <c r="R840" s="13" t="s">
        <v>365</v>
      </c>
      <c r="S840" s="13" t="s">
        <v>74</v>
      </c>
      <c r="T840" s="28">
        <v>26.97</v>
      </c>
      <c r="U840" s="13" t="s">
        <v>28</v>
      </c>
      <c r="V840" s="13" t="s">
        <v>53</v>
      </c>
      <c r="W840" s="13" t="s">
        <v>72</v>
      </c>
      <c r="X840" s="17">
        <f t="shared" si="66"/>
        <v>45342</v>
      </c>
      <c r="Y840" s="3"/>
    </row>
    <row r="841" spans="1:25" ht="45" customHeight="1">
      <c r="A841" s="3">
        <v>839</v>
      </c>
      <c r="B841" s="13" t="s">
        <v>3089</v>
      </c>
      <c r="C841" s="13" t="s">
        <v>103</v>
      </c>
      <c r="D841" s="13" t="s">
        <v>3090</v>
      </c>
      <c r="E841" s="13" t="s">
        <v>28</v>
      </c>
      <c r="F841" s="13" t="s">
        <v>29</v>
      </c>
      <c r="G841" s="13" t="s">
        <v>1216</v>
      </c>
      <c r="H841" s="13" t="s">
        <v>1031</v>
      </c>
      <c r="I841" s="27" t="s">
        <v>365</v>
      </c>
      <c r="J841" s="27" t="s">
        <v>1898</v>
      </c>
      <c r="K841" s="27" t="s">
        <v>106</v>
      </c>
      <c r="L841" s="27" t="s">
        <v>1899</v>
      </c>
      <c r="M841" s="27" t="s">
        <v>36</v>
      </c>
      <c r="N841" s="17">
        <f t="shared" si="65"/>
        <v>45250</v>
      </c>
      <c r="O841" s="13" t="s">
        <v>1776</v>
      </c>
      <c r="P841" s="13" t="s">
        <v>1215</v>
      </c>
      <c r="Q841" s="13" t="s">
        <v>38</v>
      </c>
      <c r="R841" s="13" t="s">
        <v>365</v>
      </c>
      <c r="S841" s="13" t="s">
        <v>1215</v>
      </c>
      <c r="T841" s="28">
        <v>25.51</v>
      </c>
      <c r="U841" s="13" t="s">
        <v>28</v>
      </c>
      <c r="V841" s="13" t="s">
        <v>146</v>
      </c>
      <c r="W841" s="13" t="s">
        <v>1219</v>
      </c>
      <c r="X841" s="17">
        <f t="shared" si="66"/>
        <v>45342</v>
      </c>
      <c r="Y841" s="3"/>
    </row>
    <row r="842" spans="1:25" ht="45" customHeight="1">
      <c r="A842" s="3">
        <v>840</v>
      </c>
      <c r="B842" s="13" t="s">
        <v>3091</v>
      </c>
      <c r="C842" s="13" t="s">
        <v>103</v>
      </c>
      <c r="D842" s="13" t="s">
        <v>3092</v>
      </c>
      <c r="E842" s="13" t="s">
        <v>28</v>
      </c>
      <c r="F842" s="13" t="s">
        <v>29</v>
      </c>
      <c r="G842" s="13" t="s">
        <v>56</v>
      </c>
      <c r="H842" s="13" t="s">
        <v>1031</v>
      </c>
      <c r="I842" s="27" t="s">
        <v>365</v>
      </c>
      <c r="J842" s="27" t="s">
        <v>1898</v>
      </c>
      <c r="K842" s="27" t="s">
        <v>106</v>
      </c>
      <c r="L842" s="27" t="s">
        <v>1899</v>
      </c>
      <c r="M842" s="27" t="s">
        <v>36</v>
      </c>
      <c r="N842" s="17">
        <f t="shared" si="65"/>
        <v>45250</v>
      </c>
      <c r="O842" s="13" t="s">
        <v>1776</v>
      </c>
      <c r="P842" s="13" t="s">
        <v>58</v>
      </c>
      <c r="Q842" s="13" t="s">
        <v>38</v>
      </c>
      <c r="R842" s="13" t="s">
        <v>365</v>
      </c>
      <c r="S842" s="13" t="s">
        <v>58</v>
      </c>
      <c r="T842" s="28">
        <v>25.1</v>
      </c>
      <c r="U842" s="13" t="s">
        <v>28</v>
      </c>
      <c r="V842" s="13" t="s">
        <v>53</v>
      </c>
      <c r="W842" s="13" t="s">
        <v>56</v>
      </c>
      <c r="X842" s="17">
        <f t="shared" si="66"/>
        <v>45342</v>
      </c>
      <c r="Y842" s="3"/>
    </row>
    <row r="843" spans="1:25" ht="45" customHeight="1">
      <c r="A843" s="3">
        <v>841</v>
      </c>
      <c r="B843" s="13" t="s">
        <v>3093</v>
      </c>
      <c r="C843" s="13" t="s">
        <v>103</v>
      </c>
      <c r="D843" s="13" t="s">
        <v>3094</v>
      </c>
      <c r="E843" s="13" t="s">
        <v>28</v>
      </c>
      <c r="F843" s="13" t="s">
        <v>29</v>
      </c>
      <c r="G843" s="13" t="s">
        <v>56</v>
      </c>
      <c r="H843" s="13" t="s">
        <v>1031</v>
      </c>
      <c r="I843" s="27" t="s">
        <v>365</v>
      </c>
      <c r="J843" s="27" t="s">
        <v>1898</v>
      </c>
      <c r="K843" s="27" t="s">
        <v>106</v>
      </c>
      <c r="L843" s="27" t="s">
        <v>1899</v>
      </c>
      <c r="M843" s="27" t="s">
        <v>36</v>
      </c>
      <c r="N843" s="17">
        <f t="shared" si="65"/>
        <v>45250</v>
      </c>
      <c r="O843" s="13" t="s">
        <v>1776</v>
      </c>
      <c r="P843" s="13" t="s">
        <v>203</v>
      </c>
      <c r="Q843" s="13" t="s">
        <v>38</v>
      </c>
      <c r="R843" s="13" t="s">
        <v>365</v>
      </c>
      <c r="S843" s="13" t="s">
        <v>58</v>
      </c>
      <c r="T843" s="28">
        <v>25.23</v>
      </c>
      <c r="U843" s="13" t="s">
        <v>28</v>
      </c>
      <c r="V843" s="13" t="s">
        <v>89</v>
      </c>
      <c r="W843" s="13" t="s">
        <v>56</v>
      </c>
      <c r="X843" s="17">
        <f t="shared" si="66"/>
        <v>45342</v>
      </c>
      <c r="Y843" s="3"/>
    </row>
    <row r="844" spans="1:25" ht="45" customHeight="1">
      <c r="A844" s="3">
        <v>842</v>
      </c>
      <c r="B844" s="13" t="s">
        <v>3095</v>
      </c>
      <c r="C844" s="13" t="s">
        <v>103</v>
      </c>
      <c r="D844" s="13" t="s">
        <v>3096</v>
      </c>
      <c r="E844" s="13" t="s">
        <v>28</v>
      </c>
      <c r="F844" s="13" t="s">
        <v>29</v>
      </c>
      <c r="G844" s="13" t="s">
        <v>56</v>
      </c>
      <c r="H844" s="13" t="s">
        <v>1031</v>
      </c>
      <c r="I844" s="27" t="s">
        <v>365</v>
      </c>
      <c r="J844" s="27" t="s">
        <v>1898</v>
      </c>
      <c r="K844" s="27" t="s">
        <v>106</v>
      </c>
      <c r="L844" s="27" t="s">
        <v>1899</v>
      </c>
      <c r="M844" s="27" t="s">
        <v>36</v>
      </c>
      <c r="N844" s="17">
        <f t="shared" si="65"/>
        <v>45250</v>
      </c>
      <c r="O844" s="13" t="s">
        <v>1776</v>
      </c>
      <c r="P844" s="13" t="s">
        <v>203</v>
      </c>
      <c r="Q844" s="13" t="s">
        <v>38</v>
      </c>
      <c r="R844" s="13" t="s">
        <v>365</v>
      </c>
      <c r="S844" s="13" t="s">
        <v>58</v>
      </c>
      <c r="T844" s="28">
        <v>33.42</v>
      </c>
      <c r="U844" s="13" t="s">
        <v>28</v>
      </c>
      <c r="V844" s="13" t="s">
        <v>89</v>
      </c>
      <c r="W844" s="13" t="s">
        <v>56</v>
      </c>
      <c r="X844" s="17">
        <f t="shared" si="66"/>
        <v>45342</v>
      </c>
      <c r="Y844" s="3"/>
    </row>
    <row r="845" spans="1:25" ht="45" customHeight="1">
      <c r="A845" s="3">
        <v>843</v>
      </c>
      <c r="B845" s="13" t="s">
        <v>3097</v>
      </c>
      <c r="C845" s="13" t="s">
        <v>103</v>
      </c>
      <c r="D845" s="13" t="s">
        <v>3098</v>
      </c>
      <c r="E845" s="13" t="s">
        <v>28</v>
      </c>
      <c r="F845" s="13" t="s">
        <v>29</v>
      </c>
      <c r="G845" s="13" t="s">
        <v>56</v>
      </c>
      <c r="H845" s="13" t="s">
        <v>1031</v>
      </c>
      <c r="I845" s="27" t="s">
        <v>365</v>
      </c>
      <c r="J845" s="27" t="s">
        <v>1898</v>
      </c>
      <c r="K845" s="27" t="s">
        <v>106</v>
      </c>
      <c r="L845" s="27" t="s">
        <v>1899</v>
      </c>
      <c r="M845" s="27" t="s">
        <v>36</v>
      </c>
      <c r="N845" s="17">
        <f t="shared" si="65"/>
        <v>45250</v>
      </c>
      <c r="O845" s="13" t="s">
        <v>1776</v>
      </c>
      <c r="P845" s="13" t="s">
        <v>1033</v>
      </c>
      <c r="Q845" s="13" t="s">
        <v>38</v>
      </c>
      <c r="R845" s="13" t="s">
        <v>365</v>
      </c>
      <c r="S845" s="13" t="s">
        <v>58</v>
      </c>
      <c r="T845" s="28">
        <v>29.06</v>
      </c>
      <c r="U845" s="13" t="s">
        <v>28</v>
      </c>
      <c r="V845" s="13" t="s">
        <v>146</v>
      </c>
      <c r="W845" s="13" t="s">
        <v>56</v>
      </c>
      <c r="X845" s="17">
        <f t="shared" si="66"/>
        <v>45342</v>
      </c>
      <c r="Y845" s="3"/>
    </row>
    <row r="846" spans="1:25" ht="45" customHeight="1">
      <c r="A846" s="3">
        <v>844</v>
      </c>
      <c r="B846" s="13" t="s">
        <v>3099</v>
      </c>
      <c r="C846" s="13" t="s">
        <v>103</v>
      </c>
      <c r="D846" s="13" t="s">
        <v>3100</v>
      </c>
      <c r="E846" s="13" t="s">
        <v>28</v>
      </c>
      <c r="F846" s="13" t="s">
        <v>29</v>
      </c>
      <c r="G846" s="13" t="s">
        <v>1216</v>
      </c>
      <c r="H846" s="13" t="s">
        <v>1031</v>
      </c>
      <c r="I846" s="27" t="s">
        <v>365</v>
      </c>
      <c r="J846" s="27" t="s">
        <v>1898</v>
      </c>
      <c r="K846" s="27" t="s">
        <v>106</v>
      </c>
      <c r="L846" s="27" t="s">
        <v>1899</v>
      </c>
      <c r="M846" s="27" t="s">
        <v>1681</v>
      </c>
      <c r="N846" s="17">
        <f t="shared" si="65"/>
        <v>45250</v>
      </c>
      <c r="O846" s="13" t="s">
        <v>1776</v>
      </c>
      <c r="P846" s="13" t="s">
        <v>1231</v>
      </c>
      <c r="Q846" s="13" t="s">
        <v>38</v>
      </c>
      <c r="R846" s="13" t="s">
        <v>365</v>
      </c>
      <c r="S846" s="13" t="s">
        <v>1215</v>
      </c>
      <c r="T846" s="28">
        <v>25.45</v>
      </c>
      <c r="U846" s="13" t="s">
        <v>28</v>
      </c>
      <c r="V846" s="13" t="s">
        <v>89</v>
      </c>
      <c r="W846" s="13" t="s">
        <v>1219</v>
      </c>
      <c r="X846" s="17">
        <f t="shared" si="66"/>
        <v>45342</v>
      </c>
      <c r="Y846" s="3"/>
    </row>
    <row r="847" spans="1:25" ht="45" customHeight="1">
      <c r="A847" s="3">
        <v>845</v>
      </c>
      <c r="B847" s="13" t="s">
        <v>3101</v>
      </c>
      <c r="C847" s="13" t="s">
        <v>103</v>
      </c>
      <c r="D847" s="13" t="s">
        <v>3102</v>
      </c>
      <c r="E847" s="13" t="s">
        <v>28</v>
      </c>
      <c r="F847" s="13" t="s">
        <v>29</v>
      </c>
      <c r="G847" s="13" t="s">
        <v>680</v>
      </c>
      <c r="H847" s="13" t="s">
        <v>1031</v>
      </c>
      <c r="I847" s="27" t="s">
        <v>365</v>
      </c>
      <c r="J847" s="27" t="s">
        <v>1898</v>
      </c>
      <c r="K847" s="27" t="s">
        <v>106</v>
      </c>
      <c r="L847" s="27" t="s">
        <v>1899</v>
      </c>
      <c r="M847" s="27" t="s">
        <v>36</v>
      </c>
      <c r="N847" s="17">
        <f t="shared" si="65"/>
        <v>45250</v>
      </c>
      <c r="O847" s="13" t="s">
        <v>1776</v>
      </c>
      <c r="P847" s="13" t="s">
        <v>182</v>
      </c>
      <c r="Q847" s="13" t="s">
        <v>38</v>
      </c>
      <c r="R847" s="13" t="s">
        <v>365</v>
      </c>
      <c r="S847" s="13" t="s">
        <v>52</v>
      </c>
      <c r="T847" s="28">
        <v>26.5</v>
      </c>
      <c r="U847" s="13" t="s">
        <v>28</v>
      </c>
      <c r="V847" s="13" t="s">
        <v>89</v>
      </c>
      <c r="W847" s="13" t="s">
        <v>683</v>
      </c>
      <c r="X847" s="17">
        <f t="shared" si="66"/>
        <v>45342</v>
      </c>
      <c r="Y847" s="3"/>
    </row>
    <row r="848" spans="1:25" ht="45" customHeight="1">
      <c r="A848" s="3">
        <v>846</v>
      </c>
      <c r="B848" s="13" t="s">
        <v>3103</v>
      </c>
      <c r="C848" s="13" t="s">
        <v>103</v>
      </c>
      <c r="D848" s="13" t="s">
        <v>3104</v>
      </c>
      <c r="E848" s="13" t="s">
        <v>28</v>
      </c>
      <c r="F848" s="13" t="s">
        <v>29</v>
      </c>
      <c r="G848" s="13" t="s">
        <v>537</v>
      </c>
      <c r="H848" s="13" t="s">
        <v>1031</v>
      </c>
      <c r="I848" s="27" t="s">
        <v>365</v>
      </c>
      <c r="J848" s="27" t="s">
        <v>1898</v>
      </c>
      <c r="K848" s="27" t="s">
        <v>106</v>
      </c>
      <c r="L848" s="27" t="s">
        <v>1899</v>
      </c>
      <c r="M848" s="27" t="s">
        <v>1681</v>
      </c>
      <c r="N848" s="17">
        <f t="shared" si="65"/>
        <v>45250</v>
      </c>
      <c r="O848" s="13" t="s">
        <v>1776</v>
      </c>
      <c r="P848" s="13" t="s">
        <v>549</v>
      </c>
      <c r="Q848" s="13" t="s">
        <v>38</v>
      </c>
      <c r="R848" s="13" t="s">
        <v>365</v>
      </c>
      <c r="S848" s="13" t="s">
        <v>64</v>
      </c>
      <c r="T848" s="28">
        <v>28.72</v>
      </c>
      <c r="U848" s="13" t="s">
        <v>28</v>
      </c>
      <c r="V848" s="13" t="s">
        <v>53</v>
      </c>
      <c r="W848" s="13" t="s">
        <v>537</v>
      </c>
      <c r="X848" s="17">
        <f t="shared" si="66"/>
        <v>45342</v>
      </c>
      <c r="Y848" s="3"/>
    </row>
    <row r="849" spans="1:25" ht="45" customHeight="1">
      <c r="A849" s="3">
        <v>847</v>
      </c>
      <c r="B849" s="13" t="s">
        <v>3105</v>
      </c>
      <c r="C849" s="13" t="s">
        <v>103</v>
      </c>
      <c r="D849" s="13" t="s">
        <v>3106</v>
      </c>
      <c r="E849" s="13" t="s">
        <v>28</v>
      </c>
      <c r="F849" s="13" t="s">
        <v>29</v>
      </c>
      <c r="G849" s="13" t="s">
        <v>1216</v>
      </c>
      <c r="H849" s="13" t="s">
        <v>1031</v>
      </c>
      <c r="I849" s="27" t="s">
        <v>365</v>
      </c>
      <c r="J849" s="27" t="s">
        <v>1898</v>
      </c>
      <c r="K849" s="27" t="s">
        <v>106</v>
      </c>
      <c r="L849" s="27" t="s">
        <v>1899</v>
      </c>
      <c r="M849" s="27" t="s">
        <v>1681</v>
      </c>
      <c r="N849" s="17">
        <f t="shared" si="65"/>
        <v>45250</v>
      </c>
      <c r="O849" s="13" t="s">
        <v>1776</v>
      </c>
      <c r="P849" s="13" t="s">
        <v>1231</v>
      </c>
      <c r="Q849" s="13" t="s">
        <v>38</v>
      </c>
      <c r="R849" s="13" t="s">
        <v>365</v>
      </c>
      <c r="S849" s="13" t="s">
        <v>1215</v>
      </c>
      <c r="T849" s="28">
        <v>24.86</v>
      </c>
      <c r="U849" s="13" t="s">
        <v>28</v>
      </c>
      <c r="V849" s="13" t="s">
        <v>89</v>
      </c>
      <c r="W849" s="13" t="s">
        <v>1219</v>
      </c>
      <c r="X849" s="17">
        <f t="shared" si="66"/>
        <v>45342</v>
      </c>
      <c r="Y849" s="3"/>
    </row>
    <row r="850" spans="1:25" ht="45" customHeight="1">
      <c r="A850" s="3">
        <v>848</v>
      </c>
      <c r="B850" s="13" t="s">
        <v>3107</v>
      </c>
      <c r="C850" s="13" t="s">
        <v>103</v>
      </c>
      <c r="D850" s="13" t="s">
        <v>3108</v>
      </c>
      <c r="E850" s="13" t="s">
        <v>28</v>
      </c>
      <c r="F850" s="13" t="s">
        <v>29</v>
      </c>
      <c r="G850" s="13" t="s">
        <v>680</v>
      </c>
      <c r="H850" s="13" t="s">
        <v>1031</v>
      </c>
      <c r="I850" s="27" t="s">
        <v>365</v>
      </c>
      <c r="J850" s="27" t="s">
        <v>1898</v>
      </c>
      <c r="K850" s="27" t="s">
        <v>106</v>
      </c>
      <c r="L850" s="27" t="s">
        <v>1899</v>
      </c>
      <c r="M850" s="27" t="s">
        <v>36</v>
      </c>
      <c r="N850" s="17">
        <f t="shared" si="65"/>
        <v>45250</v>
      </c>
      <c r="O850" s="13" t="s">
        <v>1776</v>
      </c>
      <c r="P850" s="13" t="s">
        <v>182</v>
      </c>
      <c r="Q850" s="13" t="s">
        <v>38</v>
      </c>
      <c r="R850" s="13" t="s">
        <v>365</v>
      </c>
      <c r="S850" s="13" t="s">
        <v>52</v>
      </c>
      <c r="T850" s="28">
        <v>26.11</v>
      </c>
      <c r="U850" s="13" t="s">
        <v>28</v>
      </c>
      <c r="V850" s="13" t="s">
        <v>89</v>
      </c>
      <c r="W850" s="13" t="s">
        <v>683</v>
      </c>
      <c r="X850" s="17">
        <f t="shared" si="66"/>
        <v>45342</v>
      </c>
      <c r="Y850" s="3"/>
    </row>
    <row r="851" spans="1:25" ht="45" customHeight="1">
      <c r="A851" s="3">
        <v>849</v>
      </c>
      <c r="B851" s="13" t="s">
        <v>3109</v>
      </c>
      <c r="C851" s="13" t="s">
        <v>103</v>
      </c>
      <c r="D851" s="13" t="s">
        <v>3110</v>
      </c>
      <c r="E851" s="13" t="s">
        <v>28</v>
      </c>
      <c r="F851" s="13" t="s">
        <v>29</v>
      </c>
      <c r="G851" s="13" t="s">
        <v>1216</v>
      </c>
      <c r="H851" s="13" t="s">
        <v>1031</v>
      </c>
      <c r="I851" s="27" t="s">
        <v>365</v>
      </c>
      <c r="J851" s="27" t="s">
        <v>1898</v>
      </c>
      <c r="K851" s="27" t="s">
        <v>106</v>
      </c>
      <c r="L851" s="27" t="s">
        <v>1899</v>
      </c>
      <c r="M851" s="27" t="s">
        <v>36</v>
      </c>
      <c r="N851" s="17">
        <f t="shared" si="65"/>
        <v>45250</v>
      </c>
      <c r="O851" s="13" t="s">
        <v>1776</v>
      </c>
      <c r="P851" s="13" t="s">
        <v>1215</v>
      </c>
      <c r="Q851" s="13" t="s">
        <v>38</v>
      </c>
      <c r="R851" s="13" t="s">
        <v>365</v>
      </c>
      <c r="S851" s="13" t="s">
        <v>1215</v>
      </c>
      <c r="T851" s="28">
        <v>26.82</v>
      </c>
      <c r="U851" s="13" t="s">
        <v>28</v>
      </c>
      <c r="V851" s="13" t="s">
        <v>146</v>
      </c>
      <c r="W851" s="13" t="s">
        <v>1219</v>
      </c>
      <c r="X851" s="17">
        <f t="shared" si="66"/>
        <v>45342</v>
      </c>
      <c r="Y851" s="3"/>
    </row>
    <row r="852" spans="1:25" ht="45" customHeight="1">
      <c r="A852" s="3">
        <v>850</v>
      </c>
      <c r="B852" s="13" t="s">
        <v>3111</v>
      </c>
      <c r="C852" s="13" t="s">
        <v>103</v>
      </c>
      <c r="D852" s="13" t="s">
        <v>3112</v>
      </c>
      <c r="E852" s="13" t="s">
        <v>660</v>
      </c>
      <c r="F852" s="13" t="s">
        <v>428</v>
      </c>
      <c r="G852" s="13" t="s">
        <v>646</v>
      </c>
      <c r="H852" s="13" t="s">
        <v>406</v>
      </c>
      <c r="I852" s="27" t="s">
        <v>3113</v>
      </c>
      <c r="J852" s="27" t="s">
        <v>33</v>
      </c>
      <c r="K852" s="27" t="s">
        <v>106</v>
      </c>
      <c r="L852" s="27" t="s">
        <v>35</v>
      </c>
      <c r="M852" s="27" t="s">
        <v>36</v>
      </c>
      <c r="N852" s="17">
        <f>DATE(2023,12,4)</f>
        <v>45264</v>
      </c>
      <c r="O852" s="13" t="s">
        <v>107</v>
      </c>
      <c r="P852" s="13" t="s">
        <v>430</v>
      </c>
      <c r="Q852" s="13" t="s">
        <v>431</v>
      </c>
      <c r="R852" s="13" t="s">
        <v>3114</v>
      </c>
      <c r="S852" s="13" t="s">
        <v>433</v>
      </c>
      <c r="T852" s="28">
        <v>28.99</v>
      </c>
      <c r="U852" s="13" t="s">
        <v>445</v>
      </c>
      <c r="V852" s="13" t="s">
        <v>413</v>
      </c>
      <c r="W852" s="13" t="s">
        <v>649</v>
      </c>
      <c r="X852" s="17">
        <f>DATE(2024,3,4)</f>
        <v>45355</v>
      </c>
      <c r="Y852" s="3"/>
    </row>
    <row r="853" spans="1:25" ht="45" customHeight="1">
      <c r="A853" s="3">
        <v>851</v>
      </c>
      <c r="B853" s="13" t="s">
        <v>3115</v>
      </c>
      <c r="C853" s="13" t="s">
        <v>103</v>
      </c>
      <c r="D853" s="13" t="s">
        <v>3116</v>
      </c>
      <c r="E853" s="13" t="s">
        <v>445</v>
      </c>
      <c r="F853" s="13" t="s">
        <v>428</v>
      </c>
      <c r="G853" s="13" t="s">
        <v>85</v>
      </c>
      <c r="H853" s="13" t="s">
        <v>406</v>
      </c>
      <c r="I853" s="27" t="s">
        <v>3117</v>
      </c>
      <c r="J853" s="27" t="s">
        <v>33</v>
      </c>
      <c r="K853" s="27" t="s">
        <v>106</v>
      </c>
      <c r="L853" s="27" t="s">
        <v>35</v>
      </c>
      <c r="M853" s="27" t="s">
        <v>36</v>
      </c>
      <c r="N853" s="17">
        <f>DATE(2023,12,4)</f>
        <v>45264</v>
      </c>
      <c r="O853" s="13" t="s">
        <v>107</v>
      </c>
      <c r="P853" s="13" t="s">
        <v>430</v>
      </c>
      <c r="Q853" s="13" t="s">
        <v>431</v>
      </c>
      <c r="R853" s="13" t="s">
        <v>3118</v>
      </c>
      <c r="S853" s="13" t="s">
        <v>433</v>
      </c>
      <c r="T853" s="28">
        <v>30.68</v>
      </c>
      <c r="U853" s="13" t="s">
        <v>445</v>
      </c>
      <c r="V853" s="13" t="s">
        <v>413</v>
      </c>
      <c r="W853" s="13" t="s">
        <v>85</v>
      </c>
      <c r="X853" s="17">
        <f>DATE(2024,3,4)</f>
        <v>45355</v>
      </c>
      <c r="Y853" s="3"/>
    </row>
    <row r="854" spans="1:25" ht="45" customHeight="1">
      <c r="A854" s="3">
        <v>852</v>
      </c>
      <c r="B854" s="13" t="s">
        <v>3119</v>
      </c>
      <c r="C854" s="13" t="s">
        <v>26</v>
      </c>
      <c r="D854" s="13" t="s">
        <v>3120</v>
      </c>
      <c r="E854" s="13" t="s">
        <v>28</v>
      </c>
      <c r="F854" s="13" t="s">
        <v>29</v>
      </c>
      <c r="G854" s="13" t="s">
        <v>30</v>
      </c>
      <c r="H854" s="13" t="s">
        <v>1031</v>
      </c>
      <c r="I854" s="27" t="s">
        <v>3121</v>
      </c>
      <c r="J854" s="27" t="s">
        <v>33</v>
      </c>
      <c r="K854" s="27" t="s">
        <v>34</v>
      </c>
      <c r="L854" s="27" t="s">
        <v>35</v>
      </c>
      <c r="M854" s="27" t="s">
        <v>36</v>
      </c>
      <c r="N854" s="17">
        <f t="shared" ref="N854:N880" si="67">DATE(2023,12,1)</f>
        <v>45261</v>
      </c>
      <c r="O854" s="13" t="s">
        <v>34</v>
      </c>
      <c r="P854" s="13" t="s">
        <v>1154</v>
      </c>
      <c r="Q854" s="13" t="s">
        <v>38</v>
      </c>
      <c r="R854" s="13" t="s">
        <v>3122</v>
      </c>
      <c r="S854" s="13" t="s">
        <v>37</v>
      </c>
      <c r="T854" s="28">
        <v>24.07</v>
      </c>
      <c r="U854" s="13" t="s">
        <v>28</v>
      </c>
      <c r="V854" s="13" t="s">
        <v>146</v>
      </c>
      <c r="W854" s="13" t="s">
        <v>30</v>
      </c>
      <c r="X854" s="17">
        <f>DATE(2024,1,1)</f>
        <v>45292</v>
      </c>
      <c r="Y854" s="3"/>
    </row>
    <row r="855" spans="1:25" ht="45" customHeight="1">
      <c r="A855" s="3">
        <v>853</v>
      </c>
      <c r="B855" s="13" t="s">
        <v>3123</v>
      </c>
      <c r="C855" s="13" t="s">
        <v>103</v>
      </c>
      <c r="D855" s="13" t="s">
        <v>3124</v>
      </c>
      <c r="E855" s="13" t="s">
        <v>28</v>
      </c>
      <c r="F855" s="13" t="s">
        <v>29</v>
      </c>
      <c r="G855" s="13" t="s">
        <v>680</v>
      </c>
      <c r="H855" s="13" t="s">
        <v>1031</v>
      </c>
      <c r="I855" s="27" t="s">
        <v>3125</v>
      </c>
      <c r="J855" s="27" t="s">
        <v>33</v>
      </c>
      <c r="K855" s="27" t="s">
        <v>106</v>
      </c>
      <c r="L855" s="27" t="s">
        <v>35</v>
      </c>
      <c r="M855" s="27" t="s">
        <v>36</v>
      </c>
      <c r="N855" s="17">
        <f t="shared" si="67"/>
        <v>45261</v>
      </c>
      <c r="O855" s="13" t="s">
        <v>34</v>
      </c>
      <c r="P855" s="13" t="s">
        <v>52</v>
      </c>
      <c r="Q855" s="13" t="s">
        <v>38</v>
      </c>
      <c r="R855" s="13" t="s">
        <v>3126</v>
      </c>
      <c r="S855" s="13" t="s">
        <v>52</v>
      </c>
      <c r="T855" s="28">
        <v>21.37</v>
      </c>
      <c r="U855" s="13" t="s">
        <v>28</v>
      </c>
      <c r="V855" s="13" t="s">
        <v>146</v>
      </c>
      <c r="W855" s="13" t="s">
        <v>683</v>
      </c>
      <c r="X855" s="17">
        <f>DATE(2023,12,14)</f>
        <v>45274</v>
      </c>
      <c r="Y855" s="3"/>
    </row>
    <row r="856" spans="1:25" ht="45" customHeight="1">
      <c r="A856" s="3">
        <v>854</v>
      </c>
      <c r="B856" s="13" t="s">
        <v>3127</v>
      </c>
      <c r="C856" s="13" t="s">
        <v>103</v>
      </c>
      <c r="D856" s="13" t="s">
        <v>3128</v>
      </c>
      <c r="E856" s="13" t="s">
        <v>28</v>
      </c>
      <c r="F856" s="13" t="s">
        <v>29</v>
      </c>
      <c r="G856" s="13" t="s">
        <v>1216</v>
      </c>
      <c r="H856" s="13" t="s">
        <v>31</v>
      </c>
      <c r="I856" s="27" t="s">
        <v>3129</v>
      </c>
      <c r="J856" s="27" t="s">
        <v>33</v>
      </c>
      <c r="K856" s="27" t="s">
        <v>106</v>
      </c>
      <c r="L856" s="27" t="s">
        <v>35</v>
      </c>
      <c r="M856" s="27" t="s">
        <v>36</v>
      </c>
      <c r="N856" s="17">
        <f t="shared" si="67"/>
        <v>45261</v>
      </c>
      <c r="O856" s="13" t="s">
        <v>34</v>
      </c>
      <c r="P856" s="13" t="s">
        <v>1215</v>
      </c>
      <c r="Q856" s="13" t="s">
        <v>38</v>
      </c>
      <c r="R856" s="13" t="s">
        <v>3130</v>
      </c>
      <c r="S856" s="13" t="s">
        <v>1215</v>
      </c>
      <c r="T856" s="28">
        <v>24.09</v>
      </c>
      <c r="U856" s="13" t="s">
        <v>28</v>
      </c>
      <c r="V856" s="13" t="s">
        <v>146</v>
      </c>
      <c r="W856" s="13" t="s">
        <v>1219</v>
      </c>
      <c r="X856" s="17">
        <f>DATE(2023,12,20)</f>
        <v>45280</v>
      </c>
      <c r="Y856" s="3"/>
    </row>
    <row r="857" spans="1:25" ht="45" customHeight="1">
      <c r="A857" s="3">
        <v>855</v>
      </c>
      <c r="B857" s="13" t="s">
        <v>3131</v>
      </c>
      <c r="C857" s="13" t="s">
        <v>103</v>
      </c>
      <c r="D857" s="13" t="s">
        <v>3132</v>
      </c>
      <c r="E857" s="13" t="s">
        <v>28</v>
      </c>
      <c r="F857" s="13" t="s">
        <v>29</v>
      </c>
      <c r="G857" s="13" t="s">
        <v>1216</v>
      </c>
      <c r="H857" s="13" t="s">
        <v>1031</v>
      </c>
      <c r="I857" s="27" t="s">
        <v>3133</v>
      </c>
      <c r="J857" s="27" t="s">
        <v>33</v>
      </c>
      <c r="K857" s="27" t="s">
        <v>106</v>
      </c>
      <c r="L857" s="27" t="s">
        <v>35</v>
      </c>
      <c r="M857" s="27" t="s">
        <v>36</v>
      </c>
      <c r="N857" s="17">
        <f t="shared" si="67"/>
        <v>45261</v>
      </c>
      <c r="O857" s="13" t="s">
        <v>34</v>
      </c>
      <c r="P857" s="13" t="s">
        <v>1221</v>
      </c>
      <c r="Q857" s="13" t="s">
        <v>38</v>
      </c>
      <c r="R857" s="13" t="s">
        <v>3134</v>
      </c>
      <c r="S857" s="13" t="s">
        <v>1215</v>
      </c>
      <c r="T857" s="28">
        <v>35.72</v>
      </c>
      <c r="U857" s="13" t="s">
        <v>28</v>
      </c>
      <c r="V857" s="13" t="s">
        <v>53</v>
      </c>
      <c r="W857" s="13" t="s">
        <v>1219</v>
      </c>
      <c r="X857" s="17">
        <f>DATE(2023,12,20)</f>
        <v>45280</v>
      </c>
      <c r="Y857" s="3"/>
    </row>
    <row r="858" spans="1:25" ht="45" customHeight="1">
      <c r="A858" s="3">
        <v>856</v>
      </c>
      <c r="B858" s="13" t="s">
        <v>3135</v>
      </c>
      <c r="C858" s="13" t="s">
        <v>103</v>
      </c>
      <c r="D858" s="13" t="s">
        <v>3136</v>
      </c>
      <c r="E858" s="13" t="s">
        <v>28</v>
      </c>
      <c r="F858" s="13" t="s">
        <v>29</v>
      </c>
      <c r="G858" s="13" t="s">
        <v>56</v>
      </c>
      <c r="H858" s="13" t="s">
        <v>1031</v>
      </c>
      <c r="I858" s="27" t="s">
        <v>3137</v>
      </c>
      <c r="J858" s="27" t="s">
        <v>33</v>
      </c>
      <c r="K858" s="27" t="s">
        <v>106</v>
      </c>
      <c r="L858" s="27" t="s">
        <v>35</v>
      </c>
      <c r="M858" s="27" t="s">
        <v>36</v>
      </c>
      <c r="N858" s="17">
        <f t="shared" si="67"/>
        <v>45261</v>
      </c>
      <c r="O858" s="13" t="s">
        <v>34</v>
      </c>
      <c r="P858" s="13" t="s">
        <v>58</v>
      </c>
      <c r="Q858" s="13" t="s">
        <v>38</v>
      </c>
      <c r="R858" s="13" t="s">
        <v>3138</v>
      </c>
      <c r="S858" s="13" t="s">
        <v>58</v>
      </c>
      <c r="T858" s="28">
        <v>21.67</v>
      </c>
      <c r="U858" s="13" t="s">
        <v>28</v>
      </c>
      <c r="V858" s="13" t="s">
        <v>53</v>
      </c>
      <c r="W858" s="13" t="s">
        <v>56</v>
      </c>
      <c r="X858" s="17">
        <f>DATE(2024,1,1)</f>
        <v>45292</v>
      </c>
      <c r="Y858" s="3"/>
    </row>
    <row r="859" spans="1:25" ht="45" customHeight="1">
      <c r="A859" s="3">
        <v>857</v>
      </c>
      <c r="B859" s="13" t="s">
        <v>3139</v>
      </c>
      <c r="C859" s="13" t="s">
        <v>103</v>
      </c>
      <c r="D859" s="13" t="s">
        <v>3140</v>
      </c>
      <c r="E859" s="13" t="s">
        <v>28</v>
      </c>
      <c r="F859" s="13" t="s">
        <v>29</v>
      </c>
      <c r="G859" s="13" t="s">
        <v>1216</v>
      </c>
      <c r="H859" s="13" t="s">
        <v>1031</v>
      </c>
      <c r="I859" s="27" t="s">
        <v>3141</v>
      </c>
      <c r="J859" s="27" t="s">
        <v>33</v>
      </c>
      <c r="K859" s="27" t="s">
        <v>106</v>
      </c>
      <c r="L859" s="27" t="s">
        <v>35</v>
      </c>
      <c r="M859" s="27" t="s">
        <v>36</v>
      </c>
      <c r="N859" s="17">
        <f t="shared" si="67"/>
        <v>45261</v>
      </c>
      <c r="O859" s="13" t="s">
        <v>34</v>
      </c>
      <c r="P859" s="13" t="s">
        <v>1221</v>
      </c>
      <c r="Q859" s="13" t="s">
        <v>38</v>
      </c>
      <c r="R859" s="13" t="s">
        <v>3142</v>
      </c>
      <c r="S859" s="13" t="s">
        <v>1215</v>
      </c>
      <c r="T859" s="28">
        <v>25.3</v>
      </c>
      <c r="U859" s="13" t="s">
        <v>28</v>
      </c>
      <c r="V859" s="13" t="s">
        <v>53</v>
      </c>
      <c r="W859" s="13" t="s">
        <v>1219</v>
      </c>
      <c r="X859" s="17">
        <f>DATE(2023,12,20)</f>
        <v>45280</v>
      </c>
      <c r="Y859" s="3"/>
    </row>
    <row r="860" spans="1:25" ht="45" customHeight="1">
      <c r="A860" s="3">
        <v>858</v>
      </c>
      <c r="B860" s="13" t="s">
        <v>3143</v>
      </c>
      <c r="C860" s="13" t="s">
        <v>26</v>
      </c>
      <c r="D860" s="13" t="s">
        <v>3144</v>
      </c>
      <c r="E860" s="13" t="s">
        <v>28</v>
      </c>
      <c r="F860" s="13" t="s">
        <v>29</v>
      </c>
      <c r="G860" s="13" t="s">
        <v>48</v>
      </c>
      <c r="H860" s="13" t="s">
        <v>1031</v>
      </c>
      <c r="I860" s="27" t="s">
        <v>3145</v>
      </c>
      <c r="J860" s="27" t="s">
        <v>33</v>
      </c>
      <c r="K860" s="27" t="s">
        <v>34</v>
      </c>
      <c r="L860" s="27" t="s">
        <v>35</v>
      </c>
      <c r="M860" s="27" t="s">
        <v>36</v>
      </c>
      <c r="N860" s="17">
        <f t="shared" si="67"/>
        <v>45261</v>
      </c>
      <c r="O860" s="13" t="s">
        <v>34</v>
      </c>
      <c r="P860" s="13" t="s">
        <v>50</v>
      </c>
      <c r="Q860" s="13" t="s">
        <v>38</v>
      </c>
      <c r="R860" s="13" t="s">
        <v>3146</v>
      </c>
      <c r="S860" s="13" t="s">
        <v>52</v>
      </c>
      <c r="T860" s="28">
        <v>24.76</v>
      </c>
      <c r="U860" s="13" t="s">
        <v>28</v>
      </c>
      <c r="V860" s="13" t="s">
        <v>53</v>
      </c>
      <c r="W860" s="13" t="s">
        <v>48</v>
      </c>
      <c r="X860" s="17">
        <f>DATE(2023,12,14)</f>
        <v>45274</v>
      </c>
      <c r="Y860" s="3"/>
    </row>
    <row r="861" spans="1:25" ht="45" customHeight="1">
      <c r="A861" s="3">
        <v>859</v>
      </c>
      <c r="B861" s="13" t="s">
        <v>3147</v>
      </c>
      <c r="C861" s="13" t="s">
        <v>103</v>
      </c>
      <c r="D861" s="13" t="s">
        <v>3148</v>
      </c>
      <c r="E861" s="13" t="s">
        <v>28</v>
      </c>
      <c r="F861" s="13" t="s">
        <v>29</v>
      </c>
      <c r="G861" s="13" t="s">
        <v>56</v>
      </c>
      <c r="H861" s="13" t="s">
        <v>1031</v>
      </c>
      <c r="I861" s="27" t="s">
        <v>3149</v>
      </c>
      <c r="J861" s="27" t="s">
        <v>33</v>
      </c>
      <c r="K861" s="27" t="s">
        <v>106</v>
      </c>
      <c r="L861" s="27" t="s">
        <v>35</v>
      </c>
      <c r="M861" s="27" t="s">
        <v>36</v>
      </c>
      <c r="N861" s="17">
        <f t="shared" si="67"/>
        <v>45261</v>
      </c>
      <c r="O861" s="13" t="s">
        <v>34</v>
      </c>
      <c r="P861" s="13" t="s">
        <v>1033</v>
      </c>
      <c r="Q861" s="13" t="s">
        <v>38</v>
      </c>
      <c r="R861" s="13" t="s">
        <v>3150</v>
      </c>
      <c r="S861" s="13" t="s">
        <v>58</v>
      </c>
      <c r="T861" s="28">
        <v>27.37</v>
      </c>
      <c r="U861" s="13" t="s">
        <v>28</v>
      </c>
      <c r="V861" s="13" t="s">
        <v>146</v>
      </c>
      <c r="W861" s="13" t="s">
        <v>56</v>
      </c>
      <c r="X861" s="17">
        <f>DATE(2024,1,1)</f>
        <v>45292</v>
      </c>
      <c r="Y861" s="3"/>
    </row>
    <row r="862" spans="1:25" ht="45" customHeight="1">
      <c r="A862" s="3">
        <v>860</v>
      </c>
      <c r="B862" s="13" t="s">
        <v>3151</v>
      </c>
      <c r="C862" s="13" t="s">
        <v>26</v>
      </c>
      <c r="D862" s="13" t="s">
        <v>3152</v>
      </c>
      <c r="E862" s="13" t="s">
        <v>28</v>
      </c>
      <c r="F862" s="13" t="s">
        <v>29</v>
      </c>
      <c r="G862" s="13" t="s">
        <v>56</v>
      </c>
      <c r="H862" s="13" t="s">
        <v>31</v>
      </c>
      <c r="I862" s="27" t="s">
        <v>3153</v>
      </c>
      <c r="J862" s="27" t="s">
        <v>33</v>
      </c>
      <c r="K862" s="27" t="s">
        <v>34</v>
      </c>
      <c r="L862" s="27" t="s">
        <v>35</v>
      </c>
      <c r="M862" s="27" t="s">
        <v>36</v>
      </c>
      <c r="N862" s="17">
        <f t="shared" si="67"/>
        <v>45261</v>
      </c>
      <c r="O862" s="13" t="s">
        <v>34</v>
      </c>
      <c r="P862" s="13" t="s">
        <v>58</v>
      </c>
      <c r="Q862" s="13" t="s">
        <v>38</v>
      </c>
      <c r="R862" s="13" t="s">
        <v>3154</v>
      </c>
      <c r="S862" s="13" t="s">
        <v>58</v>
      </c>
      <c r="T862" s="28">
        <v>25.35</v>
      </c>
      <c r="U862" s="13" t="s">
        <v>28</v>
      </c>
      <c r="V862" s="13" t="s">
        <v>76</v>
      </c>
      <c r="W862" s="13" t="s">
        <v>56</v>
      </c>
      <c r="X862" s="17">
        <f>DATE(2024,1,1)</f>
        <v>45292</v>
      </c>
      <c r="Y862" s="3"/>
    </row>
    <row r="863" spans="1:25" ht="45" customHeight="1">
      <c r="A863" s="3">
        <v>861</v>
      </c>
      <c r="B863" s="13" t="s">
        <v>3155</v>
      </c>
      <c r="C863" s="13" t="s">
        <v>103</v>
      </c>
      <c r="D863" s="13" t="s">
        <v>3156</v>
      </c>
      <c r="E863" s="13" t="s">
        <v>28</v>
      </c>
      <c r="F863" s="13" t="s">
        <v>29</v>
      </c>
      <c r="G863" s="13" t="s">
        <v>1216</v>
      </c>
      <c r="H863" s="13" t="s">
        <v>1031</v>
      </c>
      <c r="I863" s="27" t="s">
        <v>3157</v>
      </c>
      <c r="J863" s="27" t="s">
        <v>33</v>
      </c>
      <c r="K863" s="27" t="s">
        <v>106</v>
      </c>
      <c r="L863" s="27" t="s">
        <v>35</v>
      </c>
      <c r="M863" s="27" t="s">
        <v>36</v>
      </c>
      <c r="N863" s="17">
        <f t="shared" si="67"/>
        <v>45261</v>
      </c>
      <c r="O863" s="13" t="s">
        <v>34</v>
      </c>
      <c r="P863" s="13" t="s">
        <v>1215</v>
      </c>
      <c r="Q863" s="13" t="s">
        <v>38</v>
      </c>
      <c r="R863" s="13" t="s">
        <v>3158</v>
      </c>
      <c r="S863" s="13" t="s">
        <v>1215</v>
      </c>
      <c r="T863" s="28">
        <v>29.35</v>
      </c>
      <c r="U863" s="13" t="s">
        <v>28</v>
      </c>
      <c r="V863" s="13" t="s">
        <v>146</v>
      </c>
      <c r="W863" s="13" t="s">
        <v>1219</v>
      </c>
      <c r="X863" s="17">
        <f>DATE(2023,12,20)</f>
        <v>45280</v>
      </c>
      <c r="Y863" s="3"/>
    </row>
    <row r="864" spans="1:25" ht="45" customHeight="1">
      <c r="A864" s="3">
        <v>862</v>
      </c>
      <c r="B864" s="13" t="s">
        <v>3159</v>
      </c>
      <c r="C864" s="13" t="s">
        <v>26</v>
      </c>
      <c r="D864" s="13" t="s">
        <v>3160</v>
      </c>
      <c r="E864" s="13" t="s">
        <v>28</v>
      </c>
      <c r="F864" s="13" t="s">
        <v>29</v>
      </c>
      <c r="G864" s="13" t="s">
        <v>30</v>
      </c>
      <c r="H864" s="13" t="s">
        <v>1031</v>
      </c>
      <c r="I864" s="27" t="s">
        <v>3161</v>
      </c>
      <c r="J864" s="27" t="s">
        <v>33</v>
      </c>
      <c r="K864" s="27" t="s">
        <v>34</v>
      </c>
      <c r="L864" s="27" t="s">
        <v>35</v>
      </c>
      <c r="M864" s="27" t="s">
        <v>36</v>
      </c>
      <c r="N864" s="17">
        <f t="shared" si="67"/>
        <v>45261</v>
      </c>
      <c r="O864" s="13" t="s">
        <v>34</v>
      </c>
      <c r="P864" s="13" t="s">
        <v>1154</v>
      </c>
      <c r="Q864" s="13" t="s">
        <v>38</v>
      </c>
      <c r="R864" s="13" t="s">
        <v>3162</v>
      </c>
      <c r="S864" s="13" t="s">
        <v>37</v>
      </c>
      <c r="T864" s="28">
        <v>23.9</v>
      </c>
      <c r="U864" s="13" t="s">
        <v>28</v>
      </c>
      <c r="V864" s="13" t="s">
        <v>146</v>
      </c>
      <c r="W864" s="13" t="s">
        <v>30</v>
      </c>
      <c r="X864" s="17">
        <f>DATE(2024,1,1)</f>
        <v>45292</v>
      </c>
      <c r="Y864" s="3"/>
    </row>
    <row r="865" spans="1:25" ht="45" customHeight="1">
      <c r="A865" s="3">
        <v>863</v>
      </c>
      <c r="B865" s="13" t="s">
        <v>3163</v>
      </c>
      <c r="C865" s="13" t="s">
        <v>103</v>
      </c>
      <c r="D865" s="13" t="s">
        <v>3164</v>
      </c>
      <c r="E865" s="13" t="s">
        <v>28</v>
      </c>
      <c r="F865" s="13" t="s">
        <v>29</v>
      </c>
      <c r="G865" s="13" t="s">
        <v>1216</v>
      </c>
      <c r="H865" s="13" t="s">
        <v>1031</v>
      </c>
      <c r="I865" s="27" t="s">
        <v>3165</v>
      </c>
      <c r="J865" s="27" t="s">
        <v>33</v>
      </c>
      <c r="K865" s="27" t="s">
        <v>106</v>
      </c>
      <c r="L865" s="27" t="s">
        <v>35</v>
      </c>
      <c r="M865" s="27" t="s">
        <v>36</v>
      </c>
      <c r="N865" s="17">
        <f t="shared" si="67"/>
        <v>45261</v>
      </c>
      <c r="O865" s="13" t="s">
        <v>34</v>
      </c>
      <c r="P865" s="13" t="s">
        <v>1215</v>
      </c>
      <c r="Q865" s="13" t="s">
        <v>38</v>
      </c>
      <c r="R865" s="13" t="s">
        <v>3166</v>
      </c>
      <c r="S865" s="13" t="s">
        <v>1215</v>
      </c>
      <c r="T865" s="28">
        <v>31.1</v>
      </c>
      <c r="U865" s="13" t="s">
        <v>28</v>
      </c>
      <c r="V865" s="13" t="s">
        <v>146</v>
      </c>
      <c r="W865" s="13" t="s">
        <v>1219</v>
      </c>
      <c r="X865" s="17">
        <f>DATE(2023,12,20)</f>
        <v>45280</v>
      </c>
      <c r="Y865" s="3"/>
    </row>
    <row r="866" spans="1:25" ht="45" customHeight="1">
      <c r="A866" s="3">
        <v>864</v>
      </c>
      <c r="B866" s="13" t="s">
        <v>3167</v>
      </c>
      <c r="C866" s="13" t="s">
        <v>26</v>
      </c>
      <c r="D866" s="13" t="s">
        <v>3168</v>
      </c>
      <c r="E866" s="13" t="s">
        <v>28</v>
      </c>
      <c r="F866" s="13" t="s">
        <v>29</v>
      </c>
      <c r="G866" s="13" t="s">
        <v>30</v>
      </c>
      <c r="H866" s="13" t="s">
        <v>1031</v>
      </c>
      <c r="I866" s="27" t="s">
        <v>3169</v>
      </c>
      <c r="J866" s="27" t="s">
        <v>33</v>
      </c>
      <c r="K866" s="27" t="s">
        <v>34</v>
      </c>
      <c r="L866" s="27" t="s">
        <v>35</v>
      </c>
      <c r="M866" s="27" t="s">
        <v>36</v>
      </c>
      <c r="N866" s="17">
        <f t="shared" si="67"/>
        <v>45261</v>
      </c>
      <c r="O866" s="13" t="s">
        <v>34</v>
      </c>
      <c r="P866" s="13" t="s">
        <v>1154</v>
      </c>
      <c r="Q866" s="13" t="s">
        <v>38</v>
      </c>
      <c r="R866" s="13" t="s">
        <v>3170</v>
      </c>
      <c r="S866" s="13" t="s">
        <v>37</v>
      </c>
      <c r="T866" s="28">
        <v>22.48</v>
      </c>
      <c r="U866" s="13" t="s">
        <v>28</v>
      </c>
      <c r="V866" s="13" t="s">
        <v>146</v>
      </c>
      <c r="W866" s="13" t="s">
        <v>30</v>
      </c>
      <c r="X866" s="17">
        <f>DATE(2024,1,1)</f>
        <v>45292</v>
      </c>
      <c r="Y866" s="3"/>
    </row>
    <row r="867" spans="1:25" ht="45" customHeight="1">
      <c r="A867" s="3">
        <v>865</v>
      </c>
      <c r="B867" s="13" t="s">
        <v>3171</v>
      </c>
      <c r="C867" s="13" t="s">
        <v>26</v>
      </c>
      <c r="D867" s="13" t="s">
        <v>3172</v>
      </c>
      <c r="E867" s="13" t="s">
        <v>28</v>
      </c>
      <c r="F867" s="13" t="s">
        <v>29</v>
      </c>
      <c r="G867" s="13" t="s">
        <v>1216</v>
      </c>
      <c r="H867" s="13" t="s">
        <v>1031</v>
      </c>
      <c r="I867" s="27" t="s">
        <v>3173</v>
      </c>
      <c r="J867" s="27" t="s">
        <v>33</v>
      </c>
      <c r="K867" s="27" t="s">
        <v>34</v>
      </c>
      <c r="L867" s="27" t="s">
        <v>35</v>
      </c>
      <c r="M867" s="27" t="s">
        <v>36</v>
      </c>
      <c r="N867" s="17">
        <f t="shared" si="67"/>
        <v>45261</v>
      </c>
      <c r="O867" s="13" t="s">
        <v>34</v>
      </c>
      <c r="P867" s="13" t="s">
        <v>1215</v>
      </c>
      <c r="Q867" s="13" t="s">
        <v>38</v>
      </c>
      <c r="R867" s="13" t="s">
        <v>3174</v>
      </c>
      <c r="S867" s="13" t="s">
        <v>1215</v>
      </c>
      <c r="T867" s="28">
        <v>26.16</v>
      </c>
      <c r="U867" s="13" t="s">
        <v>28</v>
      </c>
      <c r="V867" s="13" t="s">
        <v>146</v>
      </c>
      <c r="W867" s="13" t="s">
        <v>1219</v>
      </c>
      <c r="X867" s="17">
        <f>DATE(2023,12,20)</f>
        <v>45280</v>
      </c>
      <c r="Y867" s="3"/>
    </row>
    <row r="868" spans="1:25" ht="45" customHeight="1">
      <c r="A868" s="3">
        <v>866</v>
      </c>
      <c r="B868" s="13" t="s">
        <v>3175</v>
      </c>
      <c r="C868" s="13" t="s">
        <v>26</v>
      </c>
      <c r="D868" s="13" t="s">
        <v>3176</v>
      </c>
      <c r="E868" s="13" t="s">
        <v>28</v>
      </c>
      <c r="F868" s="13" t="s">
        <v>29</v>
      </c>
      <c r="G868" s="13" t="s">
        <v>72</v>
      </c>
      <c r="H868" s="13" t="s">
        <v>1031</v>
      </c>
      <c r="I868" s="27" t="s">
        <v>3177</v>
      </c>
      <c r="J868" s="27" t="s">
        <v>33</v>
      </c>
      <c r="K868" s="27" t="s">
        <v>34</v>
      </c>
      <c r="L868" s="27" t="s">
        <v>35</v>
      </c>
      <c r="M868" s="27" t="s">
        <v>36</v>
      </c>
      <c r="N868" s="17">
        <f t="shared" si="67"/>
        <v>45261</v>
      </c>
      <c r="O868" s="13" t="s">
        <v>34</v>
      </c>
      <c r="P868" s="13" t="s">
        <v>1144</v>
      </c>
      <c r="Q868" s="13" t="s">
        <v>38</v>
      </c>
      <c r="R868" s="13" t="s">
        <v>3178</v>
      </c>
      <c r="S868" s="13" t="s">
        <v>74</v>
      </c>
      <c r="T868" s="28">
        <v>25.09</v>
      </c>
      <c r="U868" s="13" t="s">
        <v>28</v>
      </c>
      <c r="V868" s="13" t="s">
        <v>53</v>
      </c>
      <c r="W868" s="13" t="s">
        <v>72</v>
      </c>
      <c r="X868" s="17">
        <f>DATE(2024,1,21)</f>
        <v>45312</v>
      </c>
      <c r="Y868" s="3"/>
    </row>
    <row r="869" spans="1:25" ht="45" customHeight="1">
      <c r="A869" s="3">
        <v>867</v>
      </c>
      <c r="B869" s="13" t="s">
        <v>3179</v>
      </c>
      <c r="C869" s="13" t="s">
        <v>103</v>
      </c>
      <c r="D869" s="13" t="s">
        <v>3180</v>
      </c>
      <c r="E869" s="13" t="s">
        <v>28</v>
      </c>
      <c r="F869" s="13" t="s">
        <v>29</v>
      </c>
      <c r="G869" s="13" t="s">
        <v>1216</v>
      </c>
      <c r="H869" s="13" t="s">
        <v>31</v>
      </c>
      <c r="I869" s="27" t="s">
        <v>3181</v>
      </c>
      <c r="J869" s="27" t="s">
        <v>33</v>
      </c>
      <c r="K869" s="27" t="s">
        <v>106</v>
      </c>
      <c r="L869" s="27" t="s">
        <v>35</v>
      </c>
      <c r="M869" s="27" t="s">
        <v>36</v>
      </c>
      <c r="N869" s="17">
        <f t="shared" si="67"/>
        <v>45261</v>
      </c>
      <c r="O869" s="13" t="s">
        <v>1198</v>
      </c>
      <c r="P869" s="13" t="s">
        <v>1221</v>
      </c>
      <c r="Q869" s="13" t="s">
        <v>38</v>
      </c>
      <c r="R869" s="13" t="s">
        <v>3182</v>
      </c>
      <c r="S869" s="13" t="s">
        <v>1215</v>
      </c>
      <c r="T869" s="28">
        <v>23.58</v>
      </c>
      <c r="U869" s="13" t="s">
        <v>28</v>
      </c>
      <c r="V869" s="13" t="s">
        <v>53</v>
      </c>
      <c r="W869" s="13" t="s">
        <v>1219</v>
      </c>
      <c r="X869" s="17">
        <f>DATE(2023,12,20)</f>
        <v>45280</v>
      </c>
      <c r="Y869" s="3"/>
    </row>
    <row r="870" spans="1:25" ht="45" customHeight="1">
      <c r="A870" s="3">
        <v>868</v>
      </c>
      <c r="B870" s="13" t="s">
        <v>3183</v>
      </c>
      <c r="C870" s="13" t="s">
        <v>26</v>
      </c>
      <c r="D870" s="13" t="s">
        <v>1033</v>
      </c>
      <c r="E870" s="13" t="s">
        <v>499</v>
      </c>
      <c r="F870" s="13" t="s">
        <v>29</v>
      </c>
      <c r="G870" s="13" t="s">
        <v>56</v>
      </c>
      <c r="H870" s="13" t="s">
        <v>406</v>
      </c>
      <c r="I870" s="27" t="s">
        <v>3184</v>
      </c>
      <c r="J870" s="27" t="s">
        <v>33</v>
      </c>
      <c r="K870" s="27" t="s">
        <v>34</v>
      </c>
      <c r="L870" s="27" t="s">
        <v>35</v>
      </c>
      <c r="M870" s="27" t="s">
        <v>36</v>
      </c>
      <c r="N870" s="17">
        <f t="shared" si="67"/>
        <v>45261</v>
      </c>
      <c r="O870" s="13" t="s">
        <v>34</v>
      </c>
      <c r="P870" s="13" t="s">
        <v>58</v>
      </c>
      <c r="Q870" s="13" t="s">
        <v>501</v>
      </c>
      <c r="R870" s="13" t="s">
        <v>3185</v>
      </c>
      <c r="S870" s="13" t="s">
        <v>441</v>
      </c>
      <c r="T870" s="28">
        <v>29.1</v>
      </c>
      <c r="U870" s="13" t="s">
        <v>499</v>
      </c>
      <c r="V870" s="13" t="s">
        <v>146</v>
      </c>
      <c r="W870" s="13" t="s">
        <v>56</v>
      </c>
      <c r="X870" s="17">
        <f>DATE(2024,1,1)</f>
        <v>45292</v>
      </c>
      <c r="Y870" s="3"/>
    </row>
    <row r="871" spans="1:25" ht="45" customHeight="1">
      <c r="A871" s="3">
        <v>869</v>
      </c>
      <c r="B871" s="13" t="s">
        <v>3186</v>
      </c>
      <c r="C871" s="13" t="s">
        <v>103</v>
      </c>
      <c r="D871" s="13" t="s">
        <v>3187</v>
      </c>
      <c r="E871" s="13" t="s">
        <v>28</v>
      </c>
      <c r="F871" s="13" t="s">
        <v>29</v>
      </c>
      <c r="G871" s="13" t="s">
        <v>85</v>
      </c>
      <c r="H871" s="13" t="s">
        <v>1031</v>
      </c>
      <c r="I871" s="27" t="s">
        <v>3188</v>
      </c>
      <c r="J871" s="27" t="s">
        <v>33</v>
      </c>
      <c r="K871" s="27" t="s">
        <v>106</v>
      </c>
      <c r="L871" s="27" t="s">
        <v>35</v>
      </c>
      <c r="M871" s="27" t="s">
        <v>36</v>
      </c>
      <c r="N871" s="17">
        <f t="shared" si="67"/>
        <v>45261</v>
      </c>
      <c r="O871" s="13" t="s">
        <v>1198</v>
      </c>
      <c r="P871" s="13" t="s">
        <v>230</v>
      </c>
      <c r="Q871" s="13" t="s">
        <v>38</v>
      </c>
      <c r="R871" s="13" t="s">
        <v>3189</v>
      </c>
      <c r="S871" s="13" t="s">
        <v>87</v>
      </c>
      <c r="T871" s="28">
        <v>25.89</v>
      </c>
      <c r="U871" s="13" t="s">
        <v>28</v>
      </c>
      <c r="V871" s="13" t="s">
        <v>146</v>
      </c>
      <c r="W871" s="13" t="s">
        <v>85</v>
      </c>
      <c r="X871" s="17">
        <f>DATE(2023,12,19)</f>
        <v>45279</v>
      </c>
      <c r="Y871" s="3"/>
    </row>
    <row r="872" spans="1:25" ht="45" customHeight="1">
      <c r="A872" s="3">
        <v>870</v>
      </c>
      <c r="B872" s="13" t="s">
        <v>3190</v>
      </c>
      <c r="C872" s="13" t="s">
        <v>26</v>
      </c>
      <c r="D872" s="13" t="s">
        <v>3191</v>
      </c>
      <c r="E872" s="13" t="s">
        <v>28</v>
      </c>
      <c r="F872" s="13" t="s">
        <v>29</v>
      </c>
      <c r="G872" s="13" t="s">
        <v>680</v>
      </c>
      <c r="H872" s="13" t="s">
        <v>1031</v>
      </c>
      <c r="I872" s="27" t="s">
        <v>3192</v>
      </c>
      <c r="J872" s="27" t="s">
        <v>33</v>
      </c>
      <c r="K872" s="27" t="s">
        <v>34</v>
      </c>
      <c r="L872" s="27" t="s">
        <v>1291</v>
      </c>
      <c r="M872" s="27" t="s">
        <v>36</v>
      </c>
      <c r="N872" s="17">
        <f t="shared" si="67"/>
        <v>45261</v>
      </c>
      <c r="O872" s="13" t="s">
        <v>34</v>
      </c>
      <c r="P872" s="13" t="s">
        <v>52</v>
      </c>
      <c r="Q872" s="13" t="s">
        <v>38</v>
      </c>
      <c r="R872" s="13" t="s">
        <v>3193</v>
      </c>
      <c r="S872" s="13" t="s">
        <v>52</v>
      </c>
      <c r="T872" s="28">
        <v>26.36</v>
      </c>
      <c r="U872" s="13" t="s">
        <v>28</v>
      </c>
      <c r="V872" s="13" t="s">
        <v>146</v>
      </c>
      <c r="W872" s="13" t="s">
        <v>683</v>
      </c>
      <c r="X872" s="17">
        <f>DATE(2023,12,14)</f>
        <v>45274</v>
      </c>
      <c r="Y872" s="3"/>
    </row>
    <row r="873" spans="1:25" ht="45" customHeight="1">
      <c r="A873" s="3">
        <v>871</v>
      </c>
      <c r="B873" s="13" t="s">
        <v>3194</v>
      </c>
      <c r="C873" s="13" t="s">
        <v>103</v>
      </c>
      <c r="D873" s="13" t="s">
        <v>3195</v>
      </c>
      <c r="E873" s="13" t="s">
        <v>28</v>
      </c>
      <c r="F873" s="13" t="s">
        <v>29</v>
      </c>
      <c r="G873" s="13" t="s">
        <v>1216</v>
      </c>
      <c r="H873" s="13" t="s">
        <v>1031</v>
      </c>
      <c r="I873" s="27" t="s">
        <v>3196</v>
      </c>
      <c r="J873" s="27" t="s">
        <v>33</v>
      </c>
      <c r="K873" s="27" t="s">
        <v>106</v>
      </c>
      <c r="L873" s="27" t="s">
        <v>35</v>
      </c>
      <c r="M873" s="27" t="s">
        <v>36</v>
      </c>
      <c r="N873" s="17">
        <f t="shared" si="67"/>
        <v>45261</v>
      </c>
      <c r="O873" s="13" t="s">
        <v>34</v>
      </c>
      <c r="P873" s="13" t="s">
        <v>1231</v>
      </c>
      <c r="Q873" s="13" t="s">
        <v>38</v>
      </c>
      <c r="R873" s="13" t="s">
        <v>3197</v>
      </c>
      <c r="S873" s="13" t="s">
        <v>1215</v>
      </c>
      <c r="T873" s="28">
        <v>38.19</v>
      </c>
      <c r="U873" s="13" t="s">
        <v>28</v>
      </c>
      <c r="V873" s="13" t="s">
        <v>89</v>
      </c>
      <c r="W873" s="13" t="s">
        <v>1219</v>
      </c>
      <c r="X873" s="17">
        <f>DATE(2023,12,20)</f>
        <v>45280</v>
      </c>
      <c r="Y873" s="3"/>
    </row>
    <row r="874" spans="1:25" ht="45" customHeight="1">
      <c r="A874" s="3">
        <v>872</v>
      </c>
      <c r="B874" s="13" t="s">
        <v>3198</v>
      </c>
      <c r="C874" s="13" t="s">
        <v>26</v>
      </c>
      <c r="D874" s="13" t="s">
        <v>3199</v>
      </c>
      <c r="E874" s="13" t="s">
        <v>28</v>
      </c>
      <c r="F874" s="13" t="s">
        <v>29</v>
      </c>
      <c r="G874" s="13" t="s">
        <v>85</v>
      </c>
      <c r="H874" s="13" t="s">
        <v>1031</v>
      </c>
      <c r="I874" s="27" t="s">
        <v>3200</v>
      </c>
      <c r="J874" s="27" t="s">
        <v>33</v>
      </c>
      <c r="K874" s="27" t="s">
        <v>34</v>
      </c>
      <c r="L874" s="27" t="s">
        <v>35</v>
      </c>
      <c r="M874" s="27" t="s">
        <v>36</v>
      </c>
      <c r="N874" s="17">
        <f t="shared" si="67"/>
        <v>45261</v>
      </c>
      <c r="O874" s="13" t="s">
        <v>34</v>
      </c>
      <c r="P874" s="13" t="s">
        <v>230</v>
      </c>
      <c r="Q874" s="13" t="s">
        <v>38</v>
      </c>
      <c r="R874" s="13" t="s">
        <v>3201</v>
      </c>
      <c r="S874" s="13" t="s">
        <v>87</v>
      </c>
      <c r="T874" s="28">
        <v>24.75</v>
      </c>
      <c r="U874" s="13" t="s">
        <v>28</v>
      </c>
      <c r="V874" s="13" t="s">
        <v>146</v>
      </c>
      <c r="W874" s="13" t="s">
        <v>85</v>
      </c>
      <c r="X874" s="17">
        <f>DATE(2023,12,19)</f>
        <v>45279</v>
      </c>
      <c r="Y874" s="3"/>
    </row>
    <row r="875" spans="1:25" ht="45" customHeight="1">
      <c r="A875" s="3">
        <v>873</v>
      </c>
      <c r="B875" s="13" t="s">
        <v>3202</v>
      </c>
      <c r="C875" s="13" t="s">
        <v>26</v>
      </c>
      <c r="D875" s="13" t="s">
        <v>3203</v>
      </c>
      <c r="E875" s="13" t="s">
        <v>28</v>
      </c>
      <c r="F875" s="13" t="s">
        <v>29</v>
      </c>
      <c r="G875" s="13" t="s">
        <v>1058</v>
      </c>
      <c r="H875" s="13" t="s">
        <v>1031</v>
      </c>
      <c r="I875" s="27" t="s">
        <v>3204</v>
      </c>
      <c r="J875" s="27" t="s">
        <v>33</v>
      </c>
      <c r="K875" s="27" t="s">
        <v>34</v>
      </c>
      <c r="L875" s="27" t="s">
        <v>35</v>
      </c>
      <c r="M875" s="27" t="s">
        <v>36</v>
      </c>
      <c r="N875" s="17">
        <f t="shared" si="67"/>
        <v>45261</v>
      </c>
      <c r="O875" s="13" t="s">
        <v>34</v>
      </c>
      <c r="P875" s="13" t="s">
        <v>87</v>
      </c>
      <c r="Q875" s="13" t="s">
        <v>38</v>
      </c>
      <c r="R875" s="13" t="s">
        <v>3205</v>
      </c>
      <c r="S875" s="13" t="s">
        <v>87</v>
      </c>
      <c r="T875" s="28">
        <v>25.69</v>
      </c>
      <c r="U875" s="13" t="s">
        <v>28</v>
      </c>
      <c r="V875" s="13" t="s">
        <v>89</v>
      </c>
      <c r="W875" s="13" t="s">
        <v>1058</v>
      </c>
      <c r="X875" s="17">
        <f>DATE(2023,12,19)</f>
        <v>45279</v>
      </c>
      <c r="Y875" s="3"/>
    </row>
    <row r="876" spans="1:25" ht="45" customHeight="1">
      <c r="A876" s="3">
        <v>874</v>
      </c>
      <c r="B876" s="13" t="s">
        <v>3206</v>
      </c>
      <c r="C876" s="13" t="s">
        <v>26</v>
      </c>
      <c r="D876" s="13" t="s">
        <v>3207</v>
      </c>
      <c r="E876" s="13" t="s">
        <v>28</v>
      </c>
      <c r="F876" s="13" t="s">
        <v>29</v>
      </c>
      <c r="G876" s="13" t="s">
        <v>1058</v>
      </c>
      <c r="H876" s="13" t="s">
        <v>1031</v>
      </c>
      <c r="I876" s="27" t="s">
        <v>3208</v>
      </c>
      <c r="J876" s="27" t="s">
        <v>33</v>
      </c>
      <c r="K876" s="27" t="s">
        <v>34</v>
      </c>
      <c r="L876" s="27" t="s">
        <v>35</v>
      </c>
      <c r="M876" s="27" t="s">
        <v>36</v>
      </c>
      <c r="N876" s="17">
        <f t="shared" si="67"/>
        <v>45261</v>
      </c>
      <c r="O876" s="13" t="s">
        <v>1198</v>
      </c>
      <c r="P876" s="13" t="s">
        <v>230</v>
      </c>
      <c r="Q876" s="13" t="s">
        <v>38</v>
      </c>
      <c r="R876" s="13" t="s">
        <v>3209</v>
      </c>
      <c r="S876" s="13" t="s">
        <v>87</v>
      </c>
      <c r="T876" s="28">
        <v>37.35</v>
      </c>
      <c r="U876" s="13" t="s">
        <v>28</v>
      </c>
      <c r="V876" s="13" t="s">
        <v>146</v>
      </c>
      <c r="W876" s="13" t="s">
        <v>1058</v>
      </c>
      <c r="X876" s="17">
        <f>DATE(2023,12,19)</f>
        <v>45279</v>
      </c>
      <c r="Y876" s="3"/>
    </row>
    <row r="877" spans="1:25" ht="45" customHeight="1">
      <c r="A877" s="3">
        <v>875</v>
      </c>
      <c r="B877" s="13" t="s">
        <v>3210</v>
      </c>
      <c r="C877" s="13" t="s">
        <v>26</v>
      </c>
      <c r="D877" s="13" t="s">
        <v>3211</v>
      </c>
      <c r="E877" s="13" t="s">
        <v>28</v>
      </c>
      <c r="F877" s="13" t="s">
        <v>417</v>
      </c>
      <c r="G877" s="13" t="s">
        <v>674</v>
      </c>
      <c r="H877" s="13" t="s">
        <v>419</v>
      </c>
      <c r="I877" s="27" t="s">
        <v>3212</v>
      </c>
      <c r="J877" s="27" t="s">
        <v>33</v>
      </c>
      <c r="K877" s="27" t="s">
        <v>34</v>
      </c>
      <c r="L877" s="27" t="s">
        <v>35</v>
      </c>
      <c r="M877" s="27" t="s">
        <v>36</v>
      </c>
      <c r="N877" s="17">
        <f t="shared" si="67"/>
        <v>45261</v>
      </c>
      <c r="O877" s="13" t="s">
        <v>34</v>
      </c>
      <c r="P877" s="13" t="s">
        <v>676</v>
      </c>
      <c r="Q877" s="13" t="s">
        <v>38</v>
      </c>
      <c r="R877" s="13" t="s">
        <v>3213</v>
      </c>
      <c r="S877" s="13" t="s">
        <v>423</v>
      </c>
      <c r="T877" s="28">
        <v>26.89</v>
      </c>
      <c r="U877" s="13" t="s">
        <v>28</v>
      </c>
      <c r="V877" s="13" t="s">
        <v>53</v>
      </c>
      <c r="W877" s="13" t="s">
        <v>678</v>
      </c>
      <c r="X877" s="17">
        <f>DATE(2023,12,13)</f>
        <v>45273</v>
      </c>
      <c r="Y877" s="3"/>
    </row>
    <row r="878" spans="1:25" ht="45" customHeight="1">
      <c r="A878" s="3">
        <v>876</v>
      </c>
      <c r="B878" s="13" t="s">
        <v>3214</v>
      </c>
      <c r="C878" s="13" t="s">
        <v>103</v>
      </c>
      <c r="D878" s="13" t="s">
        <v>3215</v>
      </c>
      <c r="E878" s="13" t="s">
        <v>28</v>
      </c>
      <c r="F878" s="13" t="s">
        <v>29</v>
      </c>
      <c r="G878" s="13" t="s">
        <v>123</v>
      </c>
      <c r="H878" s="13" t="s">
        <v>31</v>
      </c>
      <c r="I878" s="27" t="s">
        <v>3216</v>
      </c>
      <c r="J878" s="27" t="s">
        <v>33</v>
      </c>
      <c r="K878" s="27" t="s">
        <v>106</v>
      </c>
      <c r="L878" s="27" t="s">
        <v>35</v>
      </c>
      <c r="M878" s="27" t="s">
        <v>36</v>
      </c>
      <c r="N878" s="17">
        <f t="shared" si="67"/>
        <v>45261</v>
      </c>
      <c r="O878" s="13" t="s">
        <v>34</v>
      </c>
      <c r="P878" s="13" t="s">
        <v>144</v>
      </c>
      <c r="Q878" s="13" t="s">
        <v>38</v>
      </c>
      <c r="R878" s="13" t="s">
        <v>3217</v>
      </c>
      <c r="S878" s="13" t="s">
        <v>127</v>
      </c>
      <c r="T878" s="28">
        <v>26.86</v>
      </c>
      <c r="U878" s="13" t="s">
        <v>28</v>
      </c>
      <c r="V878" s="13" t="s">
        <v>146</v>
      </c>
      <c r="W878" s="13" t="s">
        <v>128</v>
      </c>
      <c r="X878" s="17">
        <f>DATE(2023,12,15)</f>
        <v>45275</v>
      </c>
      <c r="Y878" s="3"/>
    </row>
    <row r="879" spans="1:25" ht="45" customHeight="1">
      <c r="A879" s="3">
        <v>877</v>
      </c>
      <c r="B879" s="13" t="s">
        <v>3218</v>
      </c>
      <c r="C879" s="13" t="s">
        <v>26</v>
      </c>
      <c r="D879" s="13" t="s">
        <v>3219</v>
      </c>
      <c r="E879" s="13" t="s">
        <v>28</v>
      </c>
      <c r="F879" s="13" t="s">
        <v>29</v>
      </c>
      <c r="G879" s="13" t="s">
        <v>48</v>
      </c>
      <c r="H879" s="13" t="s">
        <v>1031</v>
      </c>
      <c r="I879" s="27" t="s">
        <v>3220</v>
      </c>
      <c r="J879" s="27" t="s">
        <v>33</v>
      </c>
      <c r="K879" s="27" t="s">
        <v>34</v>
      </c>
      <c r="L879" s="27" t="s">
        <v>35</v>
      </c>
      <c r="M879" s="27" t="s">
        <v>36</v>
      </c>
      <c r="N879" s="17">
        <f t="shared" si="67"/>
        <v>45261</v>
      </c>
      <c r="O879" s="13" t="s">
        <v>34</v>
      </c>
      <c r="P879" s="13" t="s">
        <v>50</v>
      </c>
      <c r="Q879" s="13" t="s">
        <v>38</v>
      </c>
      <c r="R879" s="13" t="s">
        <v>3221</v>
      </c>
      <c r="S879" s="13" t="s">
        <v>52</v>
      </c>
      <c r="T879" s="28">
        <v>26.98</v>
      </c>
      <c r="U879" s="13" t="s">
        <v>28</v>
      </c>
      <c r="V879" s="13" t="s">
        <v>53</v>
      </c>
      <c r="W879" s="13" t="s">
        <v>48</v>
      </c>
      <c r="X879" s="17">
        <f>DATE(2023,12,14)</f>
        <v>45274</v>
      </c>
      <c r="Y879" s="3"/>
    </row>
    <row r="880" spans="1:25" ht="45" customHeight="1">
      <c r="A880" s="3">
        <v>878</v>
      </c>
      <c r="B880" s="13" t="s">
        <v>3222</v>
      </c>
      <c r="C880" s="13" t="s">
        <v>26</v>
      </c>
      <c r="D880" s="13" t="s">
        <v>3223</v>
      </c>
      <c r="E880" s="13" t="s">
        <v>28</v>
      </c>
      <c r="F880" s="13" t="s">
        <v>417</v>
      </c>
      <c r="G880" s="13" t="s">
        <v>756</v>
      </c>
      <c r="H880" s="13" t="s">
        <v>419</v>
      </c>
      <c r="I880" s="27" t="s">
        <v>3224</v>
      </c>
      <c r="J880" s="27" t="s">
        <v>33</v>
      </c>
      <c r="K880" s="27" t="s">
        <v>34</v>
      </c>
      <c r="L880" s="27" t="s">
        <v>35</v>
      </c>
      <c r="M880" s="27" t="s">
        <v>36</v>
      </c>
      <c r="N880" s="17">
        <f t="shared" si="67"/>
        <v>45261</v>
      </c>
      <c r="O880" s="13" t="s">
        <v>34</v>
      </c>
      <c r="P880" s="13" t="s">
        <v>693</v>
      </c>
      <c r="Q880" s="13" t="s">
        <v>38</v>
      </c>
      <c r="R880" s="13" t="s">
        <v>3225</v>
      </c>
      <c r="S880" s="13" t="s">
        <v>423</v>
      </c>
      <c r="T880" s="28">
        <v>24.59</v>
      </c>
      <c r="U880" s="13" t="s">
        <v>28</v>
      </c>
      <c r="V880" s="13" t="s">
        <v>89</v>
      </c>
      <c r="W880" s="13" t="s">
        <v>759</v>
      </c>
      <c r="X880" s="17">
        <f>DATE(2023,12,13)</f>
        <v>45273</v>
      </c>
      <c r="Y880" s="3"/>
    </row>
    <row r="881" spans="1:25" ht="45" customHeight="1">
      <c r="A881" s="3">
        <v>879</v>
      </c>
      <c r="B881" s="13" t="s">
        <v>3226</v>
      </c>
      <c r="C881" s="13" t="s">
        <v>103</v>
      </c>
      <c r="D881" s="13" t="s">
        <v>3227</v>
      </c>
      <c r="E881" s="13" t="s">
        <v>28</v>
      </c>
      <c r="F881" s="13" t="s">
        <v>29</v>
      </c>
      <c r="G881" s="13" t="s">
        <v>123</v>
      </c>
      <c r="H881" s="13" t="s">
        <v>31</v>
      </c>
      <c r="I881" s="27" t="s">
        <v>3228</v>
      </c>
      <c r="J881" s="27" t="s">
        <v>33</v>
      </c>
      <c r="K881" s="27" t="s">
        <v>106</v>
      </c>
      <c r="L881" s="27" t="s">
        <v>35</v>
      </c>
      <c r="M881" s="27" t="s">
        <v>36</v>
      </c>
      <c r="N881" s="17">
        <f>DATE(2024,9,17)</f>
        <v>45552</v>
      </c>
      <c r="O881" s="13" t="s">
        <v>107</v>
      </c>
      <c r="P881" s="13" t="s">
        <v>144</v>
      </c>
      <c r="Q881" s="13" t="s">
        <v>38</v>
      </c>
      <c r="R881" s="13" t="s">
        <v>3229</v>
      </c>
      <c r="S881" s="13" t="s">
        <v>127</v>
      </c>
      <c r="T881" s="28">
        <v>20.77</v>
      </c>
      <c r="U881" s="13" t="s">
        <v>28</v>
      </c>
      <c r="V881" s="13" t="s">
        <v>146</v>
      </c>
      <c r="W881" s="13" t="s">
        <v>128</v>
      </c>
      <c r="X881" s="17">
        <f>DATE(2024,12,3)</f>
        <v>45629</v>
      </c>
      <c r="Y881" s="3"/>
    </row>
    <row r="882" spans="1:25" ht="45" customHeight="1">
      <c r="A882" s="3">
        <v>880</v>
      </c>
      <c r="B882" s="13" t="s">
        <v>3230</v>
      </c>
      <c r="C882" s="13" t="s">
        <v>103</v>
      </c>
      <c r="D882" s="13" t="s">
        <v>3231</v>
      </c>
      <c r="E882" s="13" t="s">
        <v>28</v>
      </c>
      <c r="F882" s="13" t="s">
        <v>29</v>
      </c>
      <c r="G882" s="13" t="s">
        <v>56</v>
      </c>
      <c r="H882" s="13" t="s">
        <v>1031</v>
      </c>
      <c r="I882" s="27" t="s">
        <v>3232</v>
      </c>
      <c r="J882" s="27" t="s">
        <v>33</v>
      </c>
      <c r="K882" s="27" t="s">
        <v>106</v>
      </c>
      <c r="L882" s="27" t="s">
        <v>35</v>
      </c>
      <c r="M882" s="27" t="s">
        <v>36</v>
      </c>
      <c r="N882" s="17">
        <f t="shared" ref="N882:N887" si="68">DATE(2023,12,1)</f>
        <v>45261</v>
      </c>
      <c r="O882" s="13" t="s">
        <v>34</v>
      </c>
      <c r="P882" s="13" t="s">
        <v>203</v>
      </c>
      <c r="Q882" s="13" t="s">
        <v>38</v>
      </c>
      <c r="R882" s="13" t="s">
        <v>3233</v>
      </c>
      <c r="S882" s="13" t="s">
        <v>58</v>
      </c>
      <c r="T882" s="28">
        <v>24.01</v>
      </c>
      <c r="U882" s="13" t="s">
        <v>28</v>
      </c>
      <c r="V882" s="13" t="s">
        <v>89</v>
      </c>
      <c r="W882" s="13" t="s">
        <v>56</v>
      </c>
      <c r="X882" s="17">
        <f>DATE(2024,1,1)</f>
        <v>45292</v>
      </c>
      <c r="Y882" s="3"/>
    </row>
    <row r="883" spans="1:25" ht="45" customHeight="1">
      <c r="A883" s="3">
        <v>881</v>
      </c>
      <c r="B883" s="13" t="s">
        <v>3234</v>
      </c>
      <c r="C883" s="13" t="s">
        <v>26</v>
      </c>
      <c r="D883" s="13" t="s">
        <v>3235</v>
      </c>
      <c r="E883" s="13" t="s">
        <v>28</v>
      </c>
      <c r="F883" s="13" t="s">
        <v>29</v>
      </c>
      <c r="G883" s="13" t="s">
        <v>72</v>
      </c>
      <c r="H883" s="13" t="s">
        <v>1031</v>
      </c>
      <c r="I883" s="27" t="s">
        <v>3236</v>
      </c>
      <c r="J883" s="27" t="s">
        <v>33</v>
      </c>
      <c r="K883" s="27" t="s">
        <v>34</v>
      </c>
      <c r="L883" s="27" t="s">
        <v>35</v>
      </c>
      <c r="M883" s="27" t="s">
        <v>36</v>
      </c>
      <c r="N883" s="17">
        <f t="shared" si="68"/>
        <v>45261</v>
      </c>
      <c r="O883" s="13" t="s">
        <v>34</v>
      </c>
      <c r="P883" s="13" t="s">
        <v>1100</v>
      </c>
      <c r="Q883" s="13" t="s">
        <v>38</v>
      </c>
      <c r="R883" s="13" t="s">
        <v>3237</v>
      </c>
      <c r="S883" s="13" t="s">
        <v>74</v>
      </c>
      <c r="T883" s="28">
        <v>30.2</v>
      </c>
      <c r="U883" s="13" t="s">
        <v>28</v>
      </c>
      <c r="V883" s="13" t="s">
        <v>89</v>
      </c>
      <c r="W883" s="13" t="s">
        <v>72</v>
      </c>
      <c r="X883" s="17">
        <f>DATE(2023,12,21)</f>
        <v>45281</v>
      </c>
      <c r="Y883" s="3"/>
    </row>
    <row r="884" spans="1:25" ht="45" customHeight="1">
      <c r="A884" s="3">
        <v>882</v>
      </c>
      <c r="B884" s="13" t="s">
        <v>3238</v>
      </c>
      <c r="C884" s="13" t="s">
        <v>103</v>
      </c>
      <c r="D884" s="13" t="s">
        <v>3239</v>
      </c>
      <c r="E884" s="13" t="s">
        <v>1054</v>
      </c>
      <c r="F884" s="13" t="s">
        <v>29</v>
      </c>
      <c r="G884" s="13" t="s">
        <v>537</v>
      </c>
      <c r="H884" s="13" t="s">
        <v>1031</v>
      </c>
      <c r="I884" s="27" t="s">
        <v>3240</v>
      </c>
      <c r="J884" s="27" t="s">
        <v>33</v>
      </c>
      <c r="K884" s="27" t="s">
        <v>106</v>
      </c>
      <c r="L884" s="27" t="s">
        <v>35</v>
      </c>
      <c r="M884" s="27" t="s">
        <v>36</v>
      </c>
      <c r="N884" s="17">
        <f t="shared" si="68"/>
        <v>45261</v>
      </c>
      <c r="O884" s="13" t="s">
        <v>1198</v>
      </c>
      <c r="P884" s="13" t="s">
        <v>64</v>
      </c>
      <c r="Q884" s="13" t="s">
        <v>1054</v>
      </c>
      <c r="R884" s="13" t="s">
        <v>3241</v>
      </c>
      <c r="S884" s="13" t="s">
        <v>64</v>
      </c>
      <c r="T884" s="28">
        <v>24.67</v>
      </c>
      <c r="U884" s="13" t="s">
        <v>1054</v>
      </c>
      <c r="V884" s="13" t="s">
        <v>89</v>
      </c>
      <c r="W884" s="13" t="s">
        <v>537</v>
      </c>
      <c r="X884" s="17">
        <f>DATE(2023,12,18)</f>
        <v>45278</v>
      </c>
      <c r="Y884" s="3"/>
    </row>
    <row r="885" spans="1:25" ht="45" customHeight="1">
      <c r="A885" s="3">
        <v>883</v>
      </c>
      <c r="B885" s="13" t="s">
        <v>3242</v>
      </c>
      <c r="C885" s="13" t="s">
        <v>26</v>
      </c>
      <c r="D885" s="13" t="s">
        <v>3243</v>
      </c>
      <c r="E885" s="13" t="s">
        <v>28</v>
      </c>
      <c r="F885" s="13" t="s">
        <v>29</v>
      </c>
      <c r="G885" s="13" t="s">
        <v>79</v>
      </c>
      <c r="H885" s="13" t="s">
        <v>31</v>
      </c>
      <c r="I885" s="27" t="s">
        <v>3244</v>
      </c>
      <c r="J885" s="27" t="s">
        <v>33</v>
      </c>
      <c r="K885" s="27" t="s">
        <v>34</v>
      </c>
      <c r="L885" s="27" t="s">
        <v>35</v>
      </c>
      <c r="M885" s="27" t="s">
        <v>36</v>
      </c>
      <c r="N885" s="17">
        <f t="shared" si="68"/>
        <v>45261</v>
      </c>
      <c r="O885" s="13" t="s">
        <v>34</v>
      </c>
      <c r="P885" s="13" t="s">
        <v>81</v>
      </c>
      <c r="Q885" s="13" t="s">
        <v>38</v>
      </c>
      <c r="R885" s="13" t="s">
        <v>3245</v>
      </c>
      <c r="S885" s="13" t="s">
        <v>81</v>
      </c>
      <c r="T885" s="28">
        <v>26.05</v>
      </c>
      <c r="U885" s="13" t="s">
        <v>28</v>
      </c>
      <c r="V885" s="13" t="s">
        <v>76</v>
      </c>
      <c r="W885" s="13" t="s">
        <v>79</v>
      </c>
      <c r="X885" s="17">
        <f>DATE(2024,1,1)</f>
        <v>45292</v>
      </c>
      <c r="Y885" s="3"/>
    </row>
    <row r="886" spans="1:25" ht="45" customHeight="1">
      <c r="A886" s="3">
        <v>884</v>
      </c>
      <c r="B886" s="13" t="s">
        <v>3246</v>
      </c>
      <c r="C886" s="13" t="s">
        <v>103</v>
      </c>
      <c r="D886" s="13" t="s">
        <v>3247</v>
      </c>
      <c r="E886" s="13" t="s">
        <v>1054</v>
      </c>
      <c r="F886" s="13" t="s">
        <v>29</v>
      </c>
      <c r="G886" s="13" t="s">
        <v>1216</v>
      </c>
      <c r="H886" s="13" t="s">
        <v>1031</v>
      </c>
      <c r="I886" s="27" t="s">
        <v>3248</v>
      </c>
      <c r="J886" s="27" t="s">
        <v>33</v>
      </c>
      <c r="K886" s="27" t="s">
        <v>106</v>
      </c>
      <c r="L886" s="27" t="s">
        <v>35</v>
      </c>
      <c r="M886" s="27" t="s">
        <v>36</v>
      </c>
      <c r="N886" s="17">
        <f t="shared" si="68"/>
        <v>45261</v>
      </c>
      <c r="O886" s="13" t="s">
        <v>107</v>
      </c>
      <c r="P886" s="13" t="s">
        <v>1215</v>
      </c>
      <c r="Q886" s="13" t="s">
        <v>1054</v>
      </c>
      <c r="R886" s="13" t="s">
        <v>3249</v>
      </c>
      <c r="S886" s="13" t="s">
        <v>1215</v>
      </c>
      <c r="T886" s="28">
        <v>25.2</v>
      </c>
      <c r="U886" s="13" t="s">
        <v>1054</v>
      </c>
      <c r="V886" s="13" t="s">
        <v>146</v>
      </c>
      <c r="W886" s="13" t="s">
        <v>1219</v>
      </c>
      <c r="X886" s="17">
        <f>DATE(2023,12,20)</f>
        <v>45280</v>
      </c>
      <c r="Y886" s="3"/>
    </row>
    <row r="887" spans="1:25" ht="45" customHeight="1">
      <c r="A887" s="3">
        <v>885</v>
      </c>
      <c r="B887" s="13" t="s">
        <v>3250</v>
      </c>
      <c r="C887" s="13" t="s">
        <v>103</v>
      </c>
      <c r="D887" s="13" t="s">
        <v>3251</v>
      </c>
      <c r="E887" s="13" t="s">
        <v>28</v>
      </c>
      <c r="F887" s="13" t="s">
        <v>29</v>
      </c>
      <c r="G887" s="13" t="s">
        <v>1216</v>
      </c>
      <c r="H887" s="13" t="s">
        <v>31</v>
      </c>
      <c r="I887" s="27" t="s">
        <v>3252</v>
      </c>
      <c r="J887" s="27" t="s">
        <v>33</v>
      </c>
      <c r="K887" s="27" t="s">
        <v>106</v>
      </c>
      <c r="L887" s="27" t="s">
        <v>35</v>
      </c>
      <c r="M887" s="27" t="s">
        <v>36</v>
      </c>
      <c r="N887" s="17">
        <f t="shared" si="68"/>
        <v>45261</v>
      </c>
      <c r="O887" s="13" t="s">
        <v>107</v>
      </c>
      <c r="P887" s="13" t="s">
        <v>1215</v>
      </c>
      <c r="Q887" s="13" t="s">
        <v>38</v>
      </c>
      <c r="R887" s="13" t="s">
        <v>3253</v>
      </c>
      <c r="S887" s="13" t="s">
        <v>1215</v>
      </c>
      <c r="T887" s="28">
        <v>23.77</v>
      </c>
      <c r="U887" s="13" t="s">
        <v>28</v>
      </c>
      <c r="V887" s="13" t="s">
        <v>146</v>
      </c>
      <c r="W887" s="13" t="s">
        <v>1219</v>
      </c>
      <c r="X887" s="17">
        <f>DATE(2023,12,20)</f>
        <v>45280</v>
      </c>
      <c r="Y887" s="3"/>
    </row>
    <row r="888" spans="1:25" ht="45" customHeight="1">
      <c r="A888" s="3">
        <v>886</v>
      </c>
      <c r="B888" s="13" t="s">
        <v>3254</v>
      </c>
      <c r="C888" s="13" t="s">
        <v>103</v>
      </c>
      <c r="D888" s="13" t="s">
        <v>3255</v>
      </c>
      <c r="E888" s="13" t="s">
        <v>28</v>
      </c>
      <c r="F888" s="13" t="s">
        <v>29</v>
      </c>
      <c r="G888" s="13" t="s">
        <v>72</v>
      </c>
      <c r="H888" s="13" t="s">
        <v>1031</v>
      </c>
      <c r="I888" s="27" t="s">
        <v>365</v>
      </c>
      <c r="J888" s="27" t="s">
        <v>1898</v>
      </c>
      <c r="K888" s="27" t="s">
        <v>106</v>
      </c>
      <c r="L888" s="27" t="s">
        <v>1899</v>
      </c>
      <c r="M888" s="27" t="s">
        <v>1681</v>
      </c>
      <c r="N888" s="17">
        <f t="shared" ref="N888:N906" si="69">DATE(2023,12,4)</f>
        <v>45264</v>
      </c>
      <c r="O888" s="13" t="s">
        <v>1776</v>
      </c>
      <c r="P888" s="13" t="s">
        <v>1100</v>
      </c>
      <c r="Q888" s="13" t="s">
        <v>38</v>
      </c>
      <c r="R888" s="13" t="s">
        <v>365</v>
      </c>
      <c r="S888" s="13" t="s">
        <v>74</v>
      </c>
      <c r="T888" s="28">
        <v>27.29</v>
      </c>
      <c r="U888" s="13" t="s">
        <v>28</v>
      </c>
      <c r="V888" s="13" t="s">
        <v>89</v>
      </c>
      <c r="W888" s="13" t="s">
        <v>72</v>
      </c>
      <c r="X888" s="17">
        <f t="shared" ref="X888:X894" si="70">DATE(2024,2,23)</f>
        <v>45345</v>
      </c>
      <c r="Y888" s="3"/>
    </row>
    <row r="889" spans="1:25" ht="45" customHeight="1">
      <c r="A889" s="3">
        <v>887</v>
      </c>
      <c r="B889" s="13" t="s">
        <v>3256</v>
      </c>
      <c r="C889" s="13" t="s">
        <v>103</v>
      </c>
      <c r="D889" s="13" t="s">
        <v>3257</v>
      </c>
      <c r="E889" s="13" t="s">
        <v>28</v>
      </c>
      <c r="F889" s="13" t="s">
        <v>29</v>
      </c>
      <c r="G889" s="13" t="s">
        <v>72</v>
      </c>
      <c r="H889" s="13" t="s">
        <v>1031</v>
      </c>
      <c r="I889" s="27" t="s">
        <v>365</v>
      </c>
      <c r="J889" s="27" t="s">
        <v>1898</v>
      </c>
      <c r="K889" s="27" t="s">
        <v>106</v>
      </c>
      <c r="L889" s="27" t="s">
        <v>1899</v>
      </c>
      <c r="M889" s="27" t="s">
        <v>1681</v>
      </c>
      <c r="N889" s="17">
        <f t="shared" si="69"/>
        <v>45264</v>
      </c>
      <c r="O889" s="13" t="s">
        <v>1776</v>
      </c>
      <c r="P889" s="13" t="s">
        <v>1100</v>
      </c>
      <c r="Q889" s="13" t="s">
        <v>38</v>
      </c>
      <c r="R889" s="13" t="s">
        <v>365</v>
      </c>
      <c r="S889" s="13" t="s">
        <v>74</v>
      </c>
      <c r="T889" s="28">
        <v>31.03</v>
      </c>
      <c r="U889" s="13" t="s">
        <v>28</v>
      </c>
      <c r="V889" s="13" t="s">
        <v>89</v>
      </c>
      <c r="W889" s="13" t="s">
        <v>72</v>
      </c>
      <c r="X889" s="17">
        <f t="shared" si="70"/>
        <v>45345</v>
      </c>
      <c r="Y889" s="3"/>
    </row>
    <row r="890" spans="1:25" ht="45" customHeight="1">
      <c r="A890" s="3">
        <v>888</v>
      </c>
      <c r="B890" s="13" t="s">
        <v>3258</v>
      </c>
      <c r="C890" s="13" t="s">
        <v>103</v>
      </c>
      <c r="D890" s="13" t="s">
        <v>3259</v>
      </c>
      <c r="E890" s="13" t="s">
        <v>28</v>
      </c>
      <c r="F890" s="13" t="s">
        <v>29</v>
      </c>
      <c r="G890" s="13" t="s">
        <v>56</v>
      </c>
      <c r="H890" s="13" t="s">
        <v>1031</v>
      </c>
      <c r="I890" s="27" t="s">
        <v>365</v>
      </c>
      <c r="J890" s="27" t="s">
        <v>1898</v>
      </c>
      <c r="K890" s="27" t="s">
        <v>106</v>
      </c>
      <c r="L890" s="27" t="s">
        <v>1899</v>
      </c>
      <c r="M890" s="27" t="s">
        <v>1681</v>
      </c>
      <c r="N890" s="17">
        <f t="shared" si="69"/>
        <v>45264</v>
      </c>
      <c r="O890" s="13" t="s">
        <v>1776</v>
      </c>
      <c r="P890" s="13" t="s">
        <v>203</v>
      </c>
      <c r="Q890" s="13" t="s">
        <v>38</v>
      </c>
      <c r="R890" s="13" t="s">
        <v>365</v>
      </c>
      <c r="S890" s="13" t="s">
        <v>58</v>
      </c>
      <c r="T890" s="28">
        <v>29.57</v>
      </c>
      <c r="U890" s="13" t="s">
        <v>28</v>
      </c>
      <c r="V890" s="13" t="s">
        <v>89</v>
      </c>
      <c r="W890" s="13" t="s">
        <v>56</v>
      </c>
      <c r="X890" s="17">
        <f t="shared" si="70"/>
        <v>45345</v>
      </c>
      <c r="Y890" s="3"/>
    </row>
    <row r="891" spans="1:25" ht="45" customHeight="1">
      <c r="A891" s="3">
        <v>889</v>
      </c>
      <c r="B891" s="13" t="s">
        <v>3260</v>
      </c>
      <c r="C891" s="13" t="s">
        <v>103</v>
      </c>
      <c r="D891" s="13" t="s">
        <v>3261</v>
      </c>
      <c r="E891" s="13" t="s">
        <v>28</v>
      </c>
      <c r="F891" s="13" t="s">
        <v>29</v>
      </c>
      <c r="G891" s="13" t="s">
        <v>56</v>
      </c>
      <c r="H891" s="13" t="s">
        <v>1031</v>
      </c>
      <c r="I891" s="27" t="s">
        <v>365</v>
      </c>
      <c r="J891" s="27" t="s">
        <v>1898</v>
      </c>
      <c r="K891" s="27" t="s">
        <v>106</v>
      </c>
      <c r="L891" s="27" t="s">
        <v>1899</v>
      </c>
      <c r="M891" s="27" t="s">
        <v>36</v>
      </c>
      <c r="N891" s="17">
        <f t="shared" si="69"/>
        <v>45264</v>
      </c>
      <c r="O891" s="13" t="s">
        <v>1776</v>
      </c>
      <c r="P891" s="13" t="s">
        <v>1033</v>
      </c>
      <c r="Q891" s="13" t="s">
        <v>38</v>
      </c>
      <c r="R891" s="13" t="s">
        <v>365</v>
      </c>
      <c r="S891" s="13" t="s">
        <v>58</v>
      </c>
      <c r="T891" s="28">
        <v>30.94</v>
      </c>
      <c r="U891" s="13" t="s">
        <v>28</v>
      </c>
      <c r="V891" s="13" t="s">
        <v>146</v>
      </c>
      <c r="W891" s="13" t="s">
        <v>56</v>
      </c>
      <c r="X891" s="17">
        <f t="shared" si="70"/>
        <v>45345</v>
      </c>
      <c r="Y891" s="3"/>
    </row>
    <row r="892" spans="1:25" ht="45" customHeight="1">
      <c r="A892" s="3">
        <v>890</v>
      </c>
      <c r="B892" s="13" t="s">
        <v>3262</v>
      </c>
      <c r="C892" s="13" t="s">
        <v>103</v>
      </c>
      <c r="D892" s="13" t="s">
        <v>3263</v>
      </c>
      <c r="E892" s="13" t="s">
        <v>28</v>
      </c>
      <c r="F892" s="13" t="s">
        <v>29</v>
      </c>
      <c r="G892" s="13" t="s">
        <v>56</v>
      </c>
      <c r="H892" s="13" t="s">
        <v>1031</v>
      </c>
      <c r="I892" s="27" t="s">
        <v>365</v>
      </c>
      <c r="J892" s="27" t="s">
        <v>1898</v>
      </c>
      <c r="K892" s="27" t="s">
        <v>106</v>
      </c>
      <c r="L892" s="27" t="s">
        <v>1899</v>
      </c>
      <c r="M892" s="27" t="s">
        <v>1681</v>
      </c>
      <c r="N892" s="17">
        <f t="shared" si="69"/>
        <v>45264</v>
      </c>
      <c r="O892" s="13" t="s">
        <v>1776</v>
      </c>
      <c r="P892" s="13" t="s">
        <v>1033</v>
      </c>
      <c r="Q892" s="13" t="s">
        <v>38</v>
      </c>
      <c r="R892" s="13" t="s">
        <v>365</v>
      </c>
      <c r="S892" s="13" t="s">
        <v>58</v>
      </c>
      <c r="T892" s="28">
        <v>24.31</v>
      </c>
      <c r="U892" s="13" t="s">
        <v>28</v>
      </c>
      <c r="V892" s="13" t="s">
        <v>146</v>
      </c>
      <c r="W892" s="13" t="s">
        <v>56</v>
      </c>
      <c r="X892" s="17">
        <f t="shared" si="70"/>
        <v>45345</v>
      </c>
      <c r="Y892" s="3"/>
    </row>
    <row r="893" spans="1:25" ht="45" customHeight="1">
      <c r="A893" s="3">
        <v>891</v>
      </c>
      <c r="B893" s="13" t="s">
        <v>3264</v>
      </c>
      <c r="C893" s="13" t="s">
        <v>103</v>
      </c>
      <c r="D893" s="13" t="s">
        <v>3265</v>
      </c>
      <c r="E893" s="13" t="s">
        <v>28</v>
      </c>
      <c r="F893" s="13" t="s">
        <v>29</v>
      </c>
      <c r="G893" s="13" t="s">
        <v>680</v>
      </c>
      <c r="H893" s="13" t="s">
        <v>1031</v>
      </c>
      <c r="I893" s="27" t="s">
        <v>365</v>
      </c>
      <c r="J893" s="27" t="s">
        <v>1898</v>
      </c>
      <c r="K893" s="27" t="s">
        <v>106</v>
      </c>
      <c r="L893" s="27" t="s">
        <v>1899</v>
      </c>
      <c r="M893" s="27" t="s">
        <v>1681</v>
      </c>
      <c r="N893" s="17">
        <f t="shared" si="69"/>
        <v>45264</v>
      </c>
      <c r="O893" s="13" t="s">
        <v>1776</v>
      </c>
      <c r="P893" s="13" t="s">
        <v>52</v>
      </c>
      <c r="Q893" s="13" t="s">
        <v>38</v>
      </c>
      <c r="R893" s="13" t="s">
        <v>365</v>
      </c>
      <c r="S893" s="13" t="s">
        <v>52</v>
      </c>
      <c r="T893" s="28">
        <v>28.16</v>
      </c>
      <c r="U893" s="13" t="s">
        <v>28</v>
      </c>
      <c r="V893" s="13" t="s">
        <v>146</v>
      </c>
      <c r="W893" s="13" t="s">
        <v>683</v>
      </c>
      <c r="X893" s="17">
        <f t="shared" si="70"/>
        <v>45345</v>
      </c>
      <c r="Y893" s="3"/>
    </row>
    <row r="894" spans="1:25" ht="45" customHeight="1">
      <c r="A894" s="3">
        <v>892</v>
      </c>
      <c r="B894" s="13" t="s">
        <v>3266</v>
      </c>
      <c r="C894" s="13" t="s">
        <v>103</v>
      </c>
      <c r="D894" s="13" t="s">
        <v>3267</v>
      </c>
      <c r="E894" s="13" t="s">
        <v>28</v>
      </c>
      <c r="F894" s="13" t="s">
        <v>29</v>
      </c>
      <c r="G894" s="13" t="s">
        <v>680</v>
      </c>
      <c r="H894" s="13" t="s">
        <v>1031</v>
      </c>
      <c r="I894" s="27" t="s">
        <v>365</v>
      </c>
      <c r="J894" s="27" t="s">
        <v>1898</v>
      </c>
      <c r="K894" s="27" t="s">
        <v>106</v>
      </c>
      <c r="L894" s="27" t="s">
        <v>1899</v>
      </c>
      <c r="M894" s="27" t="s">
        <v>1681</v>
      </c>
      <c r="N894" s="17">
        <f t="shared" si="69"/>
        <v>45264</v>
      </c>
      <c r="O894" s="13" t="s">
        <v>1776</v>
      </c>
      <c r="P894" s="13" t="s">
        <v>50</v>
      </c>
      <c r="Q894" s="13" t="s">
        <v>38</v>
      </c>
      <c r="R894" s="13" t="s">
        <v>365</v>
      </c>
      <c r="S894" s="13" t="s">
        <v>52</v>
      </c>
      <c r="T894" s="28">
        <v>25.78</v>
      </c>
      <c r="U894" s="13" t="s">
        <v>28</v>
      </c>
      <c r="V894" s="13" t="s">
        <v>53</v>
      </c>
      <c r="W894" s="13" t="s">
        <v>683</v>
      </c>
      <c r="X894" s="17">
        <f t="shared" si="70"/>
        <v>45345</v>
      </c>
      <c r="Y894" s="3"/>
    </row>
    <row r="895" spans="1:25" ht="45" customHeight="1">
      <c r="A895" s="3">
        <v>893</v>
      </c>
      <c r="B895" s="13" t="s">
        <v>3268</v>
      </c>
      <c r="C895" s="13" t="s">
        <v>103</v>
      </c>
      <c r="D895" s="13" t="s">
        <v>3269</v>
      </c>
      <c r="E895" s="13" t="s">
        <v>28</v>
      </c>
      <c r="F895" s="13" t="s">
        <v>29</v>
      </c>
      <c r="G895" s="13" t="s">
        <v>85</v>
      </c>
      <c r="H895" s="13" t="s">
        <v>1031</v>
      </c>
      <c r="I895" s="27" t="s">
        <v>365</v>
      </c>
      <c r="J895" s="27" t="s">
        <v>1898</v>
      </c>
      <c r="K895" s="27" t="s">
        <v>106</v>
      </c>
      <c r="L895" s="27" t="s">
        <v>1899</v>
      </c>
      <c r="M895" s="27" t="s">
        <v>1681</v>
      </c>
      <c r="N895" s="17">
        <f t="shared" si="69"/>
        <v>45264</v>
      </c>
      <c r="O895" s="13" t="s">
        <v>1776</v>
      </c>
      <c r="P895" s="13" t="s">
        <v>1060</v>
      </c>
      <c r="Q895" s="13" t="s">
        <v>38</v>
      </c>
      <c r="R895" s="13" t="s">
        <v>365</v>
      </c>
      <c r="S895" s="13" t="s">
        <v>87</v>
      </c>
      <c r="T895" s="28">
        <v>25.42</v>
      </c>
      <c r="U895" s="13" t="s">
        <v>28</v>
      </c>
      <c r="V895" s="13" t="s">
        <v>53</v>
      </c>
      <c r="W895" s="13" t="s">
        <v>85</v>
      </c>
      <c r="X895" s="17">
        <f>DATE(2024,2,21)</f>
        <v>45343</v>
      </c>
      <c r="Y895" s="3"/>
    </row>
    <row r="896" spans="1:25" ht="45" customHeight="1">
      <c r="A896" s="3">
        <v>894</v>
      </c>
      <c r="B896" s="13" t="s">
        <v>3270</v>
      </c>
      <c r="C896" s="13" t="s">
        <v>103</v>
      </c>
      <c r="D896" s="13" t="s">
        <v>3271</v>
      </c>
      <c r="E896" s="13" t="s">
        <v>28</v>
      </c>
      <c r="F896" s="13" t="s">
        <v>29</v>
      </c>
      <c r="G896" s="13" t="s">
        <v>1216</v>
      </c>
      <c r="H896" s="13" t="s">
        <v>1031</v>
      </c>
      <c r="I896" s="27" t="s">
        <v>365</v>
      </c>
      <c r="J896" s="27" t="s">
        <v>1898</v>
      </c>
      <c r="K896" s="27" t="s">
        <v>106</v>
      </c>
      <c r="L896" s="27" t="s">
        <v>1899</v>
      </c>
      <c r="M896" s="27" t="s">
        <v>1681</v>
      </c>
      <c r="N896" s="17">
        <f t="shared" si="69"/>
        <v>45264</v>
      </c>
      <c r="O896" s="13" t="s">
        <v>1776</v>
      </c>
      <c r="P896" s="13" t="s">
        <v>1215</v>
      </c>
      <c r="Q896" s="13" t="s">
        <v>38</v>
      </c>
      <c r="R896" s="13" t="s">
        <v>365</v>
      </c>
      <c r="S896" s="13" t="s">
        <v>1215</v>
      </c>
      <c r="T896" s="28">
        <v>26.27</v>
      </c>
      <c r="U896" s="13" t="s">
        <v>28</v>
      </c>
      <c r="V896" s="13" t="s">
        <v>146</v>
      </c>
      <c r="W896" s="13" t="s">
        <v>1219</v>
      </c>
      <c r="X896" s="17">
        <f>DATE(2024,3,4)</f>
        <v>45355</v>
      </c>
      <c r="Y896" s="3"/>
    </row>
    <row r="897" spans="1:25" ht="45" customHeight="1">
      <c r="A897" s="3">
        <v>895</v>
      </c>
      <c r="B897" s="13" t="s">
        <v>3272</v>
      </c>
      <c r="C897" s="13" t="s">
        <v>103</v>
      </c>
      <c r="D897" s="13" t="s">
        <v>3273</v>
      </c>
      <c r="E897" s="13" t="s">
        <v>28</v>
      </c>
      <c r="F897" s="13" t="s">
        <v>29</v>
      </c>
      <c r="G897" s="13" t="s">
        <v>680</v>
      </c>
      <c r="H897" s="13" t="s">
        <v>1031</v>
      </c>
      <c r="I897" s="27" t="s">
        <v>365</v>
      </c>
      <c r="J897" s="27" t="s">
        <v>1898</v>
      </c>
      <c r="K897" s="27" t="s">
        <v>106</v>
      </c>
      <c r="L897" s="27" t="s">
        <v>1899</v>
      </c>
      <c r="M897" s="27" t="s">
        <v>36</v>
      </c>
      <c r="N897" s="17">
        <f t="shared" si="69"/>
        <v>45264</v>
      </c>
      <c r="O897" s="13" t="s">
        <v>1776</v>
      </c>
      <c r="P897" s="13" t="s">
        <v>50</v>
      </c>
      <c r="Q897" s="13" t="s">
        <v>38</v>
      </c>
      <c r="R897" s="13" t="s">
        <v>365</v>
      </c>
      <c r="S897" s="13" t="s">
        <v>52</v>
      </c>
      <c r="T897" s="28">
        <v>26.58</v>
      </c>
      <c r="U897" s="13" t="s">
        <v>28</v>
      </c>
      <c r="V897" s="13" t="s">
        <v>53</v>
      </c>
      <c r="W897" s="13" t="s">
        <v>683</v>
      </c>
      <c r="X897" s="17">
        <f>DATE(2024,2,23)</f>
        <v>45345</v>
      </c>
      <c r="Y897" s="3"/>
    </row>
    <row r="898" spans="1:25" ht="45" customHeight="1">
      <c r="A898" s="3">
        <v>896</v>
      </c>
      <c r="B898" s="13" t="s">
        <v>3274</v>
      </c>
      <c r="C898" s="13" t="s">
        <v>103</v>
      </c>
      <c r="D898" s="13" t="s">
        <v>3275</v>
      </c>
      <c r="E898" s="13" t="s">
        <v>28</v>
      </c>
      <c r="F898" s="13" t="s">
        <v>29</v>
      </c>
      <c r="G898" s="13" t="s">
        <v>1216</v>
      </c>
      <c r="H898" s="13" t="s">
        <v>1031</v>
      </c>
      <c r="I898" s="27" t="s">
        <v>365</v>
      </c>
      <c r="J898" s="27" t="s">
        <v>1898</v>
      </c>
      <c r="K898" s="27" t="s">
        <v>106</v>
      </c>
      <c r="L898" s="27" t="s">
        <v>1899</v>
      </c>
      <c r="M898" s="27" t="s">
        <v>1681</v>
      </c>
      <c r="N898" s="17">
        <f t="shared" si="69"/>
        <v>45264</v>
      </c>
      <c r="O898" s="13" t="s">
        <v>1776</v>
      </c>
      <c r="P898" s="13" t="s">
        <v>1221</v>
      </c>
      <c r="Q898" s="13" t="s">
        <v>38</v>
      </c>
      <c r="R898" s="13" t="s">
        <v>365</v>
      </c>
      <c r="S898" s="13" t="s">
        <v>1215</v>
      </c>
      <c r="T898" s="28">
        <v>32.590000000000003</v>
      </c>
      <c r="U898" s="13" t="s">
        <v>28</v>
      </c>
      <c r="V898" s="13" t="s">
        <v>53</v>
      </c>
      <c r="W898" s="13" t="s">
        <v>1219</v>
      </c>
      <c r="X898" s="17">
        <f>DATE(2024,3,4)</f>
        <v>45355</v>
      </c>
      <c r="Y898" s="3"/>
    </row>
    <row r="899" spans="1:25" ht="45" customHeight="1">
      <c r="A899" s="3">
        <v>897</v>
      </c>
      <c r="B899" s="13" t="s">
        <v>3276</v>
      </c>
      <c r="C899" s="13" t="s">
        <v>103</v>
      </c>
      <c r="D899" s="13" t="s">
        <v>3277</v>
      </c>
      <c r="E899" s="13" t="s">
        <v>28</v>
      </c>
      <c r="F899" s="13" t="s">
        <v>29</v>
      </c>
      <c r="G899" s="13" t="s">
        <v>1216</v>
      </c>
      <c r="H899" s="13" t="s">
        <v>1031</v>
      </c>
      <c r="I899" s="27" t="s">
        <v>365</v>
      </c>
      <c r="J899" s="27" t="s">
        <v>1898</v>
      </c>
      <c r="K899" s="27" t="s">
        <v>106</v>
      </c>
      <c r="L899" s="27" t="s">
        <v>1899</v>
      </c>
      <c r="M899" s="27" t="s">
        <v>36</v>
      </c>
      <c r="N899" s="17">
        <f t="shared" si="69"/>
        <v>45264</v>
      </c>
      <c r="O899" s="13" t="s">
        <v>1776</v>
      </c>
      <c r="P899" s="13" t="s">
        <v>1215</v>
      </c>
      <c r="Q899" s="13" t="s">
        <v>38</v>
      </c>
      <c r="R899" s="13" t="s">
        <v>365</v>
      </c>
      <c r="S899" s="13" t="s">
        <v>1215</v>
      </c>
      <c r="T899" s="28">
        <v>29.1</v>
      </c>
      <c r="U899" s="13" t="s">
        <v>28</v>
      </c>
      <c r="V899" s="13" t="s">
        <v>146</v>
      </c>
      <c r="W899" s="13" t="s">
        <v>1219</v>
      </c>
      <c r="X899" s="17">
        <f>DATE(2024,3,4)</f>
        <v>45355</v>
      </c>
      <c r="Y899" s="3"/>
    </row>
    <row r="900" spans="1:25" ht="45" customHeight="1">
      <c r="A900" s="3">
        <v>898</v>
      </c>
      <c r="B900" s="13" t="s">
        <v>3278</v>
      </c>
      <c r="C900" s="13" t="s">
        <v>103</v>
      </c>
      <c r="D900" s="13" t="s">
        <v>3279</v>
      </c>
      <c r="E900" s="13" t="s">
        <v>28</v>
      </c>
      <c r="F900" s="13" t="s">
        <v>29</v>
      </c>
      <c r="G900" s="13" t="s">
        <v>85</v>
      </c>
      <c r="H900" s="13" t="s">
        <v>1031</v>
      </c>
      <c r="I900" s="27" t="s">
        <v>365</v>
      </c>
      <c r="J900" s="27" t="s">
        <v>1898</v>
      </c>
      <c r="K900" s="27" t="s">
        <v>106</v>
      </c>
      <c r="L900" s="27" t="s">
        <v>1899</v>
      </c>
      <c r="M900" s="27" t="s">
        <v>36</v>
      </c>
      <c r="N900" s="17">
        <f t="shared" si="69"/>
        <v>45264</v>
      </c>
      <c r="O900" s="13" t="s">
        <v>1776</v>
      </c>
      <c r="P900" s="13" t="s">
        <v>1060</v>
      </c>
      <c r="Q900" s="13" t="s">
        <v>38</v>
      </c>
      <c r="R900" s="13" t="s">
        <v>365</v>
      </c>
      <c r="S900" s="13" t="s">
        <v>87</v>
      </c>
      <c r="T900" s="28">
        <v>26.89</v>
      </c>
      <c r="U900" s="13" t="s">
        <v>28</v>
      </c>
      <c r="V900" s="13" t="s">
        <v>53</v>
      </c>
      <c r="W900" s="13" t="s">
        <v>85</v>
      </c>
      <c r="X900" s="17">
        <f>DATE(2024,2,21)</f>
        <v>45343</v>
      </c>
      <c r="Y900" s="3"/>
    </row>
    <row r="901" spans="1:25" ht="45" customHeight="1">
      <c r="A901" s="3">
        <v>899</v>
      </c>
      <c r="B901" s="13" t="s">
        <v>3280</v>
      </c>
      <c r="C901" s="13" t="s">
        <v>103</v>
      </c>
      <c r="D901" s="13" t="s">
        <v>3281</v>
      </c>
      <c r="E901" s="13" t="s">
        <v>28</v>
      </c>
      <c r="F901" s="13" t="s">
        <v>29</v>
      </c>
      <c r="G901" s="13" t="s">
        <v>1216</v>
      </c>
      <c r="H901" s="13" t="s">
        <v>1031</v>
      </c>
      <c r="I901" s="27" t="s">
        <v>365</v>
      </c>
      <c r="J901" s="27" t="s">
        <v>1898</v>
      </c>
      <c r="K901" s="27" t="s">
        <v>106</v>
      </c>
      <c r="L901" s="27" t="s">
        <v>1899</v>
      </c>
      <c r="M901" s="27" t="s">
        <v>36</v>
      </c>
      <c r="N901" s="17">
        <f t="shared" si="69"/>
        <v>45264</v>
      </c>
      <c r="O901" s="13" t="s">
        <v>1776</v>
      </c>
      <c r="P901" s="13" t="s">
        <v>1221</v>
      </c>
      <c r="Q901" s="13" t="s">
        <v>38</v>
      </c>
      <c r="R901" s="13" t="s">
        <v>365</v>
      </c>
      <c r="S901" s="13" t="s">
        <v>1215</v>
      </c>
      <c r="T901" s="28">
        <v>29.71</v>
      </c>
      <c r="U901" s="13" t="s">
        <v>28</v>
      </c>
      <c r="V901" s="13" t="s">
        <v>53</v>
      </c>
      <c r="W901" s="13" t="s">
        <v>1219</v>
      </c>
      <c r="X901" s="17">
        <f t="shared" ref="X901:X906" si="71">DATE(2024,3,4)</f>
        <v>45355</v>
      </c>
      <c r="Y901" s="3"/>
    </row>
    <row r="902" spans="1:25" ht="45" customHeight="1">
      <c r="A902" s="3">
        <v>900</v>
      </c>
      <c r="B902" s="13" t="s">
        <v>3282</v>
      </c>
      <c r="C902" s="13" t="s">
        <v>103</v>
      </c>
      <c r="D902" s="13" t="s">
        <v>3283</v>
      </c>
      <c r="E902" s="13" t="s">
        <v>28</v>
      </c>
      <c r="F902" s="13" t="s">
        <v>29</v>
      </c>
      <c r="G902" s="13" t="s">
        <v>1216</v>
      </c>
      <c r="H902" s="13" t="s">
        <v>1031</v>
      </c>
      <c r="I902" s="27" t="s">
        <v>365</v>
      </c>
      <c r="J902" s="27" t="s">
        <v>1898</v>
      </c>
      <c r="K902" s="27" t="s">
        <v>106</v>
      </c>
      <c r="L902" s="27" t="s">
        <v>1899</v>
      </c>
      <c r="M902" s="27" t="s">
        <v>1681</v>
      </c>
      <c r="N902" s="17">
        <f t="shared" si="69"/>
        <v>45264</v>
      </c>
      <c r="O902" s="13" t="s">
        <v>1776</v>
      </c>
      <c r="P902" s="13" t="s">
        <v>1221</v>
      </c>
      <c r="Q902" s="13" t="s">
        <v>38</v>
      </c>
      <c r="R902" s="13" t="s">
        <v>365</v>
      </c>
      <c r="S902" s="13" t="s">
        <v>1215</v>
      </c>
      <c r="T902" s="28">
        <v>26.77</v>
      </c>
      <c r="U902" s="13" t="s">
        <v>28</v>
      </c>
      <c r="V902" s="13" t="s">
        <v>53</v>
      </c>
      <c r="W902" s="13" t="s">
        <v>1219</v>
      </c>
      <c r="X902" s="17">
        <f t="shared" si="71"/>
        <v>45355</v>
      </c>
      <c r="Y902" s="3"/>
    </row>
    <row r="903" spans="1:25" ht="45" customHeight="1">
      <c r="A903" s="3">
        <v>901</v>
      </c>
      <c r="B903" s="13" t="s">
        <v>3284</v>
      </c>
      <c r="C903" s="13" t="s">
        <v>103</v>
      </c>
      <c r="D903" s="13" t="s">
        <v>3285</v>
      </c>
      <c r="E903" s="13" t="s">
        <v>28</v>
      </c>
      <c r="F903" s="13" t="s">
        <v>29</v>
      </c>
      <c r="G903" s="13" t="s">
        <v>1216</v>
      </c>
      <c r="H903" s="13" t="s">
        <v>1031</v>
      </c>
      <c r="I903" s="27" t="s">
        <v>365</v>
      </c>
      <c r="J903" s="27" t="s">
        <v>1898</v>
      </c>
      <c r="K903" s="27" t="s">
        <v>106</v>
      </c>
      <c r="L903" s="27" t="s">
        <v>1899</v>
      </c>
      <c r="M903" s="27" t="s">
        <v>36</v>
      </c>
      <c r="N903" s="17">
        <f t="shared" si="69"/>
        <v>45264</v>
      </c>
      <c r="O903" s="13" t="s">
        <v>1776</v>
      </c>
      <c r="P903" s="13" t="s">
        <v>1221</v>
      </c>
      <c r="Q903" s="13" t="s">
        <v>38</v>
      </c>
      <c r="R903" s="13" t="s">
        <v>365</v>
      </c>
      <c r="S903" s="13" t="s">
        <v>1215</v>
      </c>
      <c r="T903" s="28">
        <v>27.59</v>
      </c>
      <c r="U903" s="13" t="s">
        <v>28</v>
      </c>
      <c r="V903" s="13" t="s">
        <v>53</v>
      </c>
      <c r="W903" s="13" t="s">
        <v>1219</v>
      </c>
      <c r="X903" s="17">
        <f t="shared" si="71"/>
        <v>45355</v>
      </c>
      <c r="Y903" s="3"/>
    </row>
    <row r="904" spans="1:25" ht="45" customHeight="1">
      <c r="A904" s="3">
        <v>902</v>
      </c>
      <c r="B904" s="13" t="s">
        <v>3286</v>
      </c>
      <c r="C904" s="13" t="s">
        <v>103</v>
      </c>
      <c r="D904" s="13" t="s">
        <v>3287</v>
      </c>
      <c r="E904" s="13" t="s">
        <v>28</v>
      </c>
      <c r="F904" s="13" t="s">
        <v>29</v>
      </c>
      <c r="G904" s="13" t="s">
        <v>1216</v>
      </c>
      <c r="H904" s="13" t="s">
        <v>1031</v>
      </c>
      <c r="I904" s="27" t="s">
        <v>365</v>
      </c>
      <c r="J904" s="27" t="s">
        <v>1898</v>
      </c>
      <c r="K904" s="27" t="s">
        <v>106</v>
      </c>
      <c r="L904" s="27" t="s">
        <v>1899</v>
      </c>
      <c r="M904" s="27" t="s">
        <v>1681</v>
      </c>
      <c r="N904" s="17">
        <f t="shared" si="69"/>
        <v>45264</v>
      </c>
      <c r="O904" s="13" t="s">
        <v>1776</v>
      </c>
      <c r="P904" s="13" t="s">
        <v>1231</v>
      </c>
      <c r="Q904" s="13" t="s">
        <v>38</v>
      </c>
      <c r="R904" s="13" t="s">
        <v>365</v>
      </c>
      <c r="S904" s="13" t="s">
        <v>1215</v>
      </c>
      <c r="T904" s="28">
        <v>22.8</v>
      </c>
      <c r="U904" s="13" t="s">
        <v>28</v>
      </c>
      <c r="V904" s="13" t="s">
        <v>89</v>
      </c>
      <c r="W904" s="13" t="s">
        <v>1219</v>
      </c>
      <c r="X904" s="17">
        <f t="shared" si="71"/>
        <v>45355</v>
      </c>
      <c r="Y904" s="3"/>
    </row>
    <row r="905" spans="1:25" ht="45" customHeight="1">
      <c r="A905" s="3">
        <v>903</v>
      </c>
      <c r="B905" s="13" t="s">
        <v>3288</v>
      </c>
      <c r="C905" s="13" t="s">
        <v>103</v>
      </c>
      <c r="D905" s="13" t="s">
        <v>3289</v>
      </c>
      <c r="E905" s="13" t="s">
        <v>28</v>
      </c>
      <c r="F905" s="13" t="s">
        <v>29</v>
      </c>
      <c r="G905" s="13" t="s">
        <v>1216</v>
      </c>
      <c r="H905" s="13" t="s">
        <v>1031</v>
      </c>
      <c r="I905" s="27" t="s">
        <v>365</v>
      </c>
      <c r="J905" s="27" t="s">
        <v>1898</v>
      </c>
      <c r="K905" s="27" t="s">
        <v>106</v>
      </c>
      <c r="L905" s="27" t="s">
        <v>1899</v>
      </c>
      <c r="M905" s="27" t="s">
        <v>1681</v>
      </c>
      <c r="N905" s="17">
        <f t="shared" si="69"/>
        <v>45264</v>
      </c>
      <c r="O905" s="13" t="s">
        <v>1776</v>
      </c>
      <c r="P905" s="13" t="s">
        <v>1231</v>
      </c>
      <c r="Q905" s="13" t="s">
        <v>38</v>
      </c>
      <c r="R905" s="13" t="s">
        <v>365</v>
      </c>
      <c r="S905" s="13" t="s">
        <v>1215</v>
      </c>
      <c r="T905" s="28">
        <v>29.36</v>
      </c>
      <c r="U905" s="13" t="s">
        <v>28</v>
      </c>
      <c r="V905" s="13" t="s">
        <v>89</v>
      </c>
      <c r="W905" s="13" t="s">
        <v>1219</v>
      </c>
      <c r="X905" s="17">
        <f t="shared" si="71"/>
        <v>45355</v>
      </c>
      <c r="Y905" s="3"/>
    </row>
    <row r="906" spans="1:25" ht="45" customHeight="1">
      <c r="A906" s="3">
        <v>904</v>
      </c>
      <c r="B906" s="13" t="s">
        <v>3290</v>
      </c>
      <c r="C906" s="13" t="s">
        <v>103</v>
      </c>
      <c r="D906" s="13" t="s">
        <v>3291</v>
      </c>
      <c r="E906" s="13" t="s">
        <v>28</v>
      </c>
      <c r="F906" s="13" t="s">
        <v>29</v>
      </c>
      <c r="G906" s="13" t="s">
        <v>1216</v>
      </c>
      <c r="H906" s="13" t="s">
        <v>1031</v>
      </c>
      <c r="I906" s="27" t="s">
        <v>365</v>
      </c>
      <c r="J906" s="27" t="s">
        <v>1898</v>
      </c>
      <c r="K906" s="27" t="s">
        <v>106</v>
      </c>
      <c r="L906" s="27" t="s">
        <v>1899</v>
      </c>
      <c r="M906" s="27" t="s">
        <v>36</v>
      </c>
      <c r="N906" s="17">
        <f t="shared" si="69"/>
        <v>45264</v>
      </c>
      <c r="O906" s="13" t="s">
        <v>1776</v>
      </c>
      <c r="P906" s="13" t="s">
        <v>1215</v>
      </c>
      <c r="Q906" s="13" t="s">
        <v>38</v>
      </c>
      <c r="R906" s="13" t="s">
        <v>365</v>
      </c>
      <c r="S906" s="13" t="s">
        <v>1215</v>
      </c>
      <c r="T906" s="28">
        <v>31.44</v>
      </c>
      <c r="U906" s="13" t="s">
        <v>28</v>
      </c>
      <c r="V906" s="13" t="s">
        <v>146</v>
      </c>
      <c r="W906" s="13" t="s">
        <v>1219</v>
      </c>
      <c r="X906" s="17">
        <f t="shared" si="71"/>
        <v>45355</v>
      </c>
      <c r="Y906" s="3"/>
    </row>
    <row r="907" spans="1:25" ht="45" customHeight="1">
      <c r="A907" s="3">
        <v>905</v>
      </c>
      <c r="B907" s="13" t="s">
        <v>3292</v>
      </c>
      <c r="C907" s="13" t="s">
        <v>26</v>
      </c>
      <c r="D907" s="13" t="s">
        <v>3293</v>
      </c>
      <c r="E907" s="13" t="s">
        <v>445</v>
      </c>
      <c r="F907" s="13" t="s">
        <v>446</v>
      </c>
      <c r="G907" s="13" t="s">
        <v>615</v>
      </c>
      <c r="H907" s="13" t="s">
        <v>406</v>
      </c>
      <c r="I907" s="27" t="s">
        <v>3294</v>
      </c>
      <c r="J907" s="27" t="s">
        <v>33</v>
      </c>
      <c r="K907" s="27" t="s">
        <v>34</v>
      </c>
      <c r="L907" s="27" t="s">
        <v>35</v>
      </c>
      <c r="M907" s="27" t="s">
        <v>36</v>
      </c>
      <c r="N907" s="17">
        <f>DATE(2023,12,18)</f>
        <v>45278</v>
      </c>
      <c r="O907" s="13" t="s">
        <v>107</v>
      </c>
      <c r="P907" s="13" t="s">
        <v>449</v>
      </c>
      <c r="Q907" s="13" t="s">
        <v>431</v>
      </c>
      <c r="R907" s="13" t="s">
        <v>3295</v>
      </c>
      <c r="S907" s="13" t="s">
        <v>403</v>
      </c>
      <c r="T907" s="28">
        <v>31.69</v>
      </c>
      <c r="U907" s="13" t="s">
        <v>445</v>
      </c>
      <c r="V907" s="13" t="s">
        <v>413</v>
      </c>
      <c r="W907" s="13" t="s">
        <v>615</v>
      </c>
      <c r="X907" s="17">
        <f>DATE(2024,3,18)</f>
        <v>45369</v>
      </c>
      <c r="Y907" s="3"/>
    </row>
    <row r="908" spans="1:25" ht="45" customHeight="1">
      <c r="A908" s="3">
        <v>906</v>
      </c>
      <c r="B908" s="13" t="s">
        <v>3296</v>
      </c>
      <c r="C908" s="13" t="s">
        <v>26</v>
      </c>
      <c r="D908" s="13" t="s">
        <v>3297</v>
      </c>
      <c r="E908" s="13" t="s">
        <v>733</v>
      </c>
      <c r="F908" s="13" t="s">
        <v>446</v>
      </c>
      <c r="G908" s="13" t="s">
        <v>615</v>
      </c>
      <c r="H908" s="13" t="s">
        <v>406</v>
      </c>
      <c r="I908" s="27" t="s">
        <v>3298</v>
      </c>
      <c r="J908" s="27" t="s">
        <v>33</v>
      </c>
      <c r="K908" s="27" t="s">
        <v>34</v>
      </c>
      <c r="L908" s="27" t="s">
        <v>35</v>
      </c>
      <c r="M908" s="27" t="s">
        <v>36</v>
      </c>
      <c r="N908" s="17">
        <f>DATE(2023,12,18)</f>
        <v>45278</v>
      </c>
      <c r="O908" s="13" t="s">
        <v>107</v>
      </c>
      <c r="P908" s="13" t="s">
        <v>449</v>
      </c>
      <c r="Q908" s="13" t="s">
        <v>670</v>
      </c>
      <c r="R908" s="13" t="s">
        <v>3299</v>
      </c>
      <c r="S908" s="13" t="s">
        <v>449</v>
      </c>
      <c r="T908" s="28">
        <v>37.450000000000003</v>
      </c>
      <c r="U908" s="13" t="s">
        <v>733</v>
      </c>
      <c r="V908" s="13" t="s">
        <v>146</v>
      </c>
      <c r="W908" s="13" t="s">
        <v>615</v>
      </c>
      <c r="X908" s="17">
        <f>DATE(2024,3,18)</f>
        <v>45369</v>
      </c>
      <c r="Y908" s="3"/>
    </row>
    <row r="909" spans="1:25" ht="45" customHeight="1">
      <c r="A909" s="3">
        <v>907</v>
      </c>
      <c r="B909" s="13" t="s">
        <v>3300</v>
      </c>
      <c r="C909" s="13" t="s">
        <v>103</v>
      </c>
      <c r="D909" s="13" t="s">
        <v>3301</v>
      </c>
      <c r="E909" s="13" t="s">
        <v>762</v>
      </c>
      <c r="F909" s="13" t="s">
        <v>687</v>
      </c>
      <c r="G909" s="13" t="s">
        <v>687</v>
      </c>
      <c r="H909" s="13" t="s">
        <v>406</v>
      </c>
      <c r="I909" s="27" t="s">
        <v>3302</v>
      </c>
      <c r="J909" s="27" t="s">
        <v>33</v>
      </c>
      <c r="K909" s="27" t="s">
        <v>106</v>
      </c>
      <c r="L909" s="27" t="s">
        <v>35</v>
      </c>
      <c r="M909" s="27" t="s">
        <v>36</v>
      </c>
      <c r="N909" s="17">
        <f>DATE(2023,12,18)</f>
        <v>45278</v>
      </c>
      <c r="O909" s="13" t="s">
        <v>107</v>
      </c>
      <c r="P909" s="13" t="s">
        <v>689</v>
      </c>
      <c r="Q909" s="13" t="s">
        <v>670</v>
      </c>
      <c r="R909" s="13" t="s">
        <v>3303</v>
      </c>
      <c r="S909" s="13" t="s">
        <v>403</v>
      </c>
      <c r="T909" s="28">
        <v>26</v>
      </c>
      <c r="U909" s="13" t="s">
        <v>765</v>
      </c>
      <c r="V909" s="13" t="s">
        <v>146</v>
      </c>
      <c r="W909" s="13" t="s">
        <v>691</v>
      </c>
      <c r="X909" s="17">
        <f>DATE(2024,2,20)</f>
        <v>45342</v>
      </c>
      <c r="Y909" s="3"/>
    </row>
    <row r="910" spans="1:25" ht="45" customHeight="1">
      <c r="A910" s="3">
        <v>908</v>
      </c>
      <c r="B910" s="13" t="s">
        <v>3304</v>
      </c>
      <c r="C910" s="13" t="s">
        <v>103</v>
      </c>
      <c r="D910" s="13" t="s">
        <v>3305</v>
      </c>
      <c r="E910" s="13" t="s">
        <v>490</v>
      </c>
      <c r="F910" s="13" t="s">
        <v>446</v>
      </c>
      <c r="G910" s="13" t="s">
        <v>447</v>
      </c>
      <c r="H910" s="13" t="s">
        <v>406</v>
      </c>
      <c r="I910" s="27" t="s">
        <v>3306</v>
      </c>
      <c r="J910" s="27" t="s">
        <v>33</v>
      </c>
      <c r="K910" s="27" t="s">
        <v>106</v>
      </c>
      <c r="L910" s="27" t="s">
        <v>912</v>
      </c>
      <c r="M910" s="27" t="s">
        <v>409</v>
      </c>
      <c r="N910" s="17">
        <f>DATE(2024,1,8)</f>
        <v>45299</v>
      </c>
      <c r="O910" s="13" t="s">
        <v>107</v>
      </c>
      <c r="P910" s="13" t="s">
        <v>449</v>
      </c>
      <c r="Q910" s="13" t="s">
        <v>465</v>
      </c>
      <c r="R910" s="13" t="s">
        <v>3307</v>
      </c>
      <c r="S910" s="13" t="s">
        <v>403</v>
      </c>
      <c r="T910" s="28">
        <v>28.98</v>
      </c>
      <c r="U910" s="13" t="s">
        <v>490</v>
      </c>
      <c r="V910" s="13" t="s">
        <v>413</v>
      </c>
      <c r="W910" s="13" t="s">
        <v>447</v>
      </c>
      <c r="X910" s="17">
        <f>DATE(2024,5,1)</f>
        <v>45413</v>
      </c>
      <c r="Y910" s="3"/>
    </row>
    <row r="911" spans="1:25" ht="45" customHeight="1">
      <c r="A911" s="3">
        <v>909</v>
      </c>
      <c r="B911" s="13" t="s">
        <v>3308</v>
      </c>
      <c r="C911" s="13" t="s">
        <v>26</v>
      </c>
      <c r="D911" s="13" t="s">
        <v>3309</v>
      </c>
      <c r="E911" s="13" t="s">
        <v>427</v>
      </c>
      <c r="F911" s="13" t="s">
        <v>446</v>
      </c>
      <c r="G911" s="13" t="s">
        <v>516</v>
      </c>
      <c r="H911" s="13" t="s">
        <v>406</v>
      </c>
      <c r="I911" s="27" t="s">
        <v>3310</v>
      </c>
      <c r="J911" s="27" t="s">
        <v>33</v>
      </c>
      <c r="K911" s="27" t="s">
        <v>34</v>
      </c>
      <c r="L911" s="27" t="s">
        <v>35</v>
      </c>
      <c r="M911" s="27" t="s">
        <v>36</v>
      </c>
      <c r="N911" s="17">
        <f>DATE(2024,1,2)</f>
        <v>45293</v>
      </c>
      <c r="O911" s="13" t="s">
        <v>107</v>
      </c>
      <c r="P911" s="13" t="s">
        <v>449</v>
      </c>
      <c r="Q911" s="13" t="s">
        <v>431</v>
      </c>
      <c r="R911" s="13" t="s">
        <v>3311</v>
      </c>
      <c r="S911" s="13" t="s">
        <v>403</v>
      </c>
      <c r="T911" s="28">
        <v>33.450000000000003</v>
      </c>
      <c r="U911" s="13" t="s">
        <v>427</v>
      </c>
      <c r="V911" s="13" t="s">
        <v>413</v>
      </c>
      <c r="W911" s="13" t="s">
        <v>516</v>
      </c>
      <c r="X911" s="17">
        <f>DATE(2024,4,2)</f>
        <v>45384</v>
      </c>
      <c r="Y911" s="3"/>
    </row>
    <row r="912" spans="1:25" ht="45" customHeight="1">
      <c r="A912" s="3">
        <v>910</v>
      </c>
      <c r="B912" s="13" t="s">
        <v>3312</v>
      </c>
      <c r="C912" s="13" t="s">
        <v>103</v>
      </c>
      <c r="D912" s="13" t="s">
        <v>3313</v>
      </c>
      <c r="E912" s="13" t="s">
        <v>461</v>
      </c>
      <c r="F912" s="13" t="s">
        <v>2719</v>
      </c>
      <c r="G912" s="13" t="s">
        <v>2720</v>
      </c>
      <c r="H912" s="13" t="s">
        <v>406</v>
      </c>
      <c r="I912" s="27" t="s">
        <v>3314</v>
      </c>
      <c r="J912" s="27" t="s">
        <v>33</v>
      </c>
      <c r="K912" s="27" t="s">
        <v>106</v>
      </c>
      <c r="L912" s="27" t="s">
        <v>408</v>
      </c>
      <c r="M912" s="27" t="s">
        <v>1681</v>
      </c>
      <c r="N912" s="17">
        <f>DATE(2024,1,8)</f>
        <v>45299</v>
      </c>
      <c r="O912" s="13" t="s">
        <v>107</v>
      </c>
      <c r="P912" s="13" t="s">
        <v>2722</v>
      </c>
      <c r="Q912" s="13" t="s">
        <v>465</v>
      </c>
      <c r="R912" s="13" t="s">
        <v>3315</v>
      </c>
      <c r="S912" s="13" t="s">
        <v>2722</v>
      </c>
      <c r="T912" s="28">
        <v>30.42</v>
      </c>
      <c r="U912" s="13" t="s">
        <v>461</v>
      </c>
      <c r="V912" s="13" t="s">
        <v>413</v>
      </c>
      <c r="W912" s="13" t="s">
        <v>2724</v>
      </c>
      <c r="X912" s="17">
        <f>DATE(2024,4,8)</f>
        <v>45390</v>
      </c>
      <c r="Y912" s="3"/>
    </row>
    <row r="913" spans="1:25" ht="45" customHeight="1">
      <c r="A913" s="3">
        <v>911</v>
      </c>
      <c r="B913" s="13" t="s">
        <v>3316</v>
      </c>
      <c r="C913" s="13" t="s">
        <v>26</v>
      </c>
      <c r="D913" s="13" t="s">
        <v>87</v>
      </c>
      <c r="E913" s="13" t="s">
        <v>1041</v>
      </c>
      <c r="F913" s="13" t="s">
        <v>29</v>
      </c>
      <c r="G913" s="13" t="s">
        <v>85</v>
      </c>
      <c r="H913" s="13" t="s">
        <v>406</v>
      </c>
      <c r="I913" s="27" t="s">
        <v>3317</v>
      </c>
      <c r="J913" s="27" t="s">
        <v>33</v>
      </c>
      <c r="K913" s="27" t="s">
        <v>34</v>
      </c>
      <c r="L913" s="27" t="s">
        <v>35</v>
      </c>
      <c r="M913" s="27" t="s">
        <v>36</v>
      </c>
      <c r="N913" s="17">
        <f>DATE(2024,1,8)</f>
        <v>45299</v>
      </c>
      <c r="O913" s="13" t="s">
        <v>107</v>
      </c>
      <c r="P913" s="13" t="s">
        <v>503</v>
      </c>
      <c r="Q913" s="13" t="s">
        <v>501</v>
      </c>
      <c r="R913" s="13" t="s">
        <v>3318</v>
      </c>
      <c r="S913" s="13" t="s">
        <v>503</v>
      </c>
      <c r="T913" s="28">
        <v>37.86</v>
      </c>
      <c r="U913" s="13" t="s">
        <v>1041</v>
      </c>
      <c r="V913" s="13" t="s">
        <v>413</v>
      </c>
      <c r="W913" s="13" t="s">
        <v>85</v>
      </c>
      <c r="X913" s="17">
        <f>DATE(2024,3,25)</f>
        <v>45376</v>
      </c>
      <c r="Y913" s="3"/>
    </row>
    <row r="914" spans="1:25" ht="45" customHeight="1">
      <c r="A914" s="3">
        <v>912</v>
      </c>
      <c r="B914" s="13" t="s">
        <v>3319</v>
      </c>
      <c r="C914" s="13" t="s">
        <v>103</v>
      </c>
      <c r="D914" s="13" t="s">
        <v>3320</v>
      </c>
      <c r="E914" s="13" t="s">
        <v>1755</v>
      </c>
      <c r="F914" s="13" t="s">
        <v>687</v>
      </c>
      <c r="G914" s="13" t="s">
        <v>687</v>
      </c>
      <c r="H914" s="13" t="s">
        <v>406</v>
      </c>
      <c r="I914" s="27" t="s">
        <v>3321</v>
      </c>
      <c r="J914" s="27" t="s">
        <v>33</v>
      </c>
      <c r="K914" s="27" t="s">
        <v>106</v>
      </c>
      <c r="L914" s="27" t="s">
        <v>35</v>
      </c>
      <c r="M914" s="27" t="s">
        <v>36</v>
      </c>
      <c r="N914" s="17">
        <f>DATE(2024,1,8)</f>
        <v>45299</v>
      </c>
      <c r="O914" s="13" t="s">
        <v>107</v>
      </c>
      <c r="P914" s="13" t="s">
        <v>689</v>
      </c>
      <c r="Q914" s="13" t="s">
        <v>465</v>
      </c>
      <c r="R914" s="13" t="s">
        <v>3322</v>
      </c>
      <c r="S914" s="13" t="s">
        <v>403</v>
      </c>
      <c r="T914" s="28">
        <v>27.35</v>
      </c>
      <c r="U914" s="13" t="s">
        <v>694</v>
      </c>
      <c r="V914" s="13" t="s">
        <v>413</v>
      </c>
      <c r="W914" s="13" t="s">
        <v>691</v>
      </c>
      <c r="X914" s="17">
        <f>DATE(2024,4,8)</f>
        <v>45390</v>
      </c>
      <c r="Y914" s="3"/>
    </row>
    <row r="915" spans="1:25" ht="45" customHeight="1">
      <c r="A915" s="3">
        <v>913</v>
      </c>
      <c r="B915" s="13" t="s">
        <v>3323</v>
      </c>
      <c r="C915" s="13" t="s">
        <v>26</v>
      </c>
      <c r="D915" s="13" t="s">
        <v>3324</v>
      </c>
      <c r="E915" s="13" t="s">
        <v>445</v>
      </c>
      <c r="F915" s="13" t="s">
        <v>491</v>
      </c>
      <c r="G915" s="13" t="s">
        <v>1022</v>
      </c>
      <c r="H915" s="13" t="s">
        <v>406</v>
      </c>
      <c r="I915" s="27" t="s">
        <v>3325</v>
      </c>
      <c r="J915" s="27" t="s">
        <v>33</v>
      </c>
      <c r="K915" s="27" t="s">
        <v>34</v>
      </c>
      <c r="L915" s="27" t="s">
        <v>408</v>
      </c>
      <c r="M915" s="27" t="s">
        <v>409</v>
      </c>
      <c r="N915" s="17">
        <f>DATE(2024,1,8)</f>
        <v>45299</v>
      </c>
      <c r="O915" s="13" t="s">
        <v>107</v>
      </c>
      <c r="P915" s="13" t="s">
        <v>1021</v>
      </c>
      <c r="Q915" s="13" t="s">
        <v>431</v>
      </c>
      <c r="R915" s="13" t="s">
        <v>3326</v>
      </c>
      <c r="S915" s="13" t="s">
        <v>496</v>
      </c>
      <c r="T915" s="28">
        <v>36.53</v>
      </c>
      <c r="U915" s="13" t="s">
        <v>445</v>
      </c>
      <c r="V915" s="13" t="s">
        <v>413</v>
      </c>
      <c r="W915" s="13" t="s">
        <v>1022</v>
      </c>
      <c r="X915" s="17">
        <f>DATE(2024,3,11)</f>
        <v>45362</v>
      </c>
      <c r="Y915" s="3"/>
    </row>
    <row r="916" spans="1:25" ht="45" customHeight="1">
      <c r="A916" s="3">
        <v>914</v>
      </c>
      <c r="B916" s="13" t="s">
        <v>3327</v>
      </c>
      <c r="C916" s="13" t="s">
        <v>103</v>
      </c>
      <c r="D916" s="13" t="s">
        <v>1154</v>
      </c>
      <c r="E916" s="13" t="s">
        <v>499</v>
      </c>
      <c r="F916" s="13" t="s">
        <v>29</v>
      </c>
      <c r="G916" s="13" t="s">
        <v>30</v>
      </c>
      <c r="H916" s="13" t="s">
        <v>406</v>
      </c>
      <c r="I916" s="27" t="s">
        <v>3328</v>
      </c>
      <c r="J916" s="27" t="s">
        <v>33</v>
      </c>
      <c r="K916" s="27" t="s">
        <v>106</v>
      </c>
      <c r="L916" s="27" t="s">
        <v>35</v>
      </c>
      <c r="M916" s="27" t="s">
        <v>36</v>
      </c>
      <c r="N916" s="17">
        <f>DATE(2024,1,22)</f>
        <v>45313</v>
      </c>
      <c r="O916" s="13" t="s">
        <v>107</v>
      </c>
      <c r="P916" s="13" t="s">
        <v>37</v>
      </c>
      <c r="Q916" s="13" t="s">
        <v>501</v>
      </c>
      <c r="R916" s="13" t="s">
        <v>3329</v>
      </c>
      <c r="S916" s="13" t="s">
        <v>441</v>
      </c>
      <c r="T916" s="28">
        <v>40.17</v>
      </c>
      <c r="U916" s="13" t="s">
        <v>499</v>
      </c>
      <c r="V916" s="13" t="s">
        <v>146</v>
      </c>
      <c r="W916" s="13" t="s">
        <v>30</v>
      </c>
      <c r="X916" s="17">
        <f>DATE(2024,7,22)</f>
        <v>45495</v>
      </c>
      <c r="Y916" s="3"/>
    </row>
    <row r="917" spans="1:25" ht="45" customHeight="1">
      <c r="A917" s="3">
        <v>915</v>
      </c>
      <c r="B917" s="13" t="s">
        <v>3330</v>
      </c>
      <c r="C917" s="13" t="s">
        <v>26</v>
      </c>
      <c r="D917" s="13" t="s">
        <v>3331</v>
      </c>
      <c r="E917" s="13" t="s">
        <v>694</v>
      </c>
      <c r="F917" s="13" t="s">
        <v>29</v>
      </c>
      <c r="G917" s="13" t="s">
        <v>1058</v>
      </c>
      <c r="H917" s="13" t="s">
        <v>406</v>
      </c>
      <c r="I917" s="27" t="s">
        <v>3332</v>
      </c>
      <c r="J917" s="27" t="s">
        <v>33</v>
      </c>
      <c r="K917" s="27" t="s">
        <v>34</v>
      </c>
      <c r="L917" s="27" t="s">
        <v>408</v>
      </c>
      <c r="M917" s="27" t="s">
        <v>1681</v>
      </c>
      <c r="N917" s="17">
        <f>DATE(2024,1,22)</f>
        <v>45313</v>
      </c>
      <c r="O917" s="13" t="s">
        <v>107</v>
      </c>
      <c r="P917" s="13" t="s">
        <v>403</v>
      </c>
      <c r="Q917" s="13" t="s">
        <v>465</v>
      </c>
      <c r="R917" s="13" t="s">
        <v>3333</v>
      </c>
      <c r="S917" s="13" t="s">
        <v>403</v>
      </c>
      <c r="T917" s="28">
        <v>29.71</v>
      </c>
      <c r="U917" s="13" t="s">
        <v>694</v>
      </c>
      <c r="V917" s="13" t="s">
        <v>413</v>
      </c>
      <c r="W917" s="13" t="s">
        <v>1058</v>
      </c>
      <c r="X917" s="17">
        <f>DATE(2024,1,22)</f>
        <v>45313</v>
      </c>
      <c r="Y917" s="3"/>
    </row>
    <row r="918" spans="1:25" ht="45" customHeight="1">
      <c r="A918" s="3">
        <v>916</v>
      </c>
      <c r="B918" s="13" t="s">
        <v>3334</v>
      </c>
      <c r="C918" s="13" t="s">
        <v>26</v>
      </c>
      <c r="D918" s="13" t="s">
        <v>3335</v>
      </c>
      <c r="E918" s="13" t="s">
        <v>445</v>
      </c>
      <c r="F918" s="13" t="s">
        <v>608</v>
      </c>
      <c r="G918" s="13" t="s">
        <v>609</v>
      </c>
      <c r="H918" s="13" t="s">
        <v>406</v>
      </c>
      <c r="I918" s="27" t="s">
        <v>3336</v>
      </c>
      <c r="J918" s="27" t="s">
        <v>33</v>
      </c>
      <c r="K918" s="27" t="s">
        <v>34</v>
      </c>
      <c r="L918" s="27" t="s">
        <v>35</v>
      </c>
      <c r="M918" s="27" t="s">
        <v>36</v>
      </c>
      <c r="N918" s="17">
        <f>DATE(2024,1,22)</f>
        <v>45313</v>
      </c>
      <c r="O918" s="13" t="s">
        <v>107</v>
      </c>
      <c r="P918" s="13" t="s">
        <v>607</v>
      </c>
      <c r="Q918" s="13" t="s">
        <v>431</v>
      </c>
      <c r="R918" s="13" t="s">
        <v>3337</v>
      </c>
      <c r="S918" s="13" t="s">
        <v>611</v>
      </c>
      <c r="T918" s="28">
        <v>25.89</v>
      </c>
      <c r="U918" s="13" t="s">
        <v>445</v>
      </c>
      <c r="V918" s="13" t="s">
        <v>413</v>
      </c>
      <c r="W918" s="13" t="s">
        <v>609</v>
      </c>
      <c r="X918" s="17">
        <f>DATE(2024,4,4)</f>
        <v>45386</v>
      </c>
      <c r="Y918" s="3"/>
    </row>
    <row r="919" spans="1:25" ht="45" customHeight="1">
      <c r="A919" s="3">
        <v>917</v>
      </c>
      <c r="B919" s="13" t="s">
        <v>3338</v>
      </c>
      <c r="C919" s="13" t="s">
        <v>26</v>
      </c>
      <c r="D919" s="13" t="s">
        <v>3339</v>
      </c>
      <c r="E919" s="13" t="s">
        <v>28</v>
      </c>
      <c r="F919" s="13" t="s">
        <v>491</v>
      </c>
      <c r="G919" s="13" t="s">
        <v>950</v>
      </c>
      <c r="H919" s="13" t="s">
        <v>406</v>
      </c>
      <c r="I919" s="27" t="s">
        <v>365</v>
      </c>
      <c r="J919" s="27" t="s">
        <v>1774</v>
      </c>
      <c r="K919" s="27" t="s">
        <v>34</v>
      </c>
      <c r="L919" s="27" t="s">
        <v>1291</v>
      </c>
      <c r="M919" s="27" t="s">
        <v>409</v>
      </c>
      <c r="N919" s="17">
        <f t="shared" ref="N919:N948" si="72">DATE(2024,1,30)</f>
        <v>45321</v>
      </c>
      <c r="O919" s="13" t="s">
        <v>1776</v>
      </c>
      <c r="P919" s="13" t="s">
        <v>952</v>
      </c>
      <c r="Q919" s="13" t="s">
        <v>38</v>
      </c>
      <c r="R919" s="13" t="s">
        <v>365</v>
      </c>
      <c r="S919" s="13" t="s">
        <v>496</v>
      </c>
      <c r="T919" s="28">
        <v>24.33</v>
      </c>
      <c r="U919" s="13" t="s">
        <v>28</v>
      </c>
      <c r="V919" s="13" t="s">
        <v>89</v>
      </c>
      <c r="W919" s="13" t="s">
        <v>954</v>
      </c>
      <c r="X919" s="17">
        <f t="shared" ref="X919:X935" si="73">DATE(2024,4,30)</f>
        <v>45412</v>
      </c>
      <c r="Y919" s="3"/>
    </row>
    <row r="920" spans="1:25" ht="45" customHeight="1">
      <c r="A920" s="3">
        <v>918</v>
      </c>
      <c r="B920" s="13" t="s">
        <v>3340</v>
      </c>
      <c r="C920" s="13" t="s">
        <v>26</v>
      </c>
      <c r="D920" s="13" t="s">
        <v>3341</v>
      </c>
      <c r="E920" s="13" t="s">
        <v>28</v>
      </c>
      <c r="F920" s="13" t="s">
        <v>29</v>
      </c>
      <c r="G920" s="13" t="s">
        <v>62</v>
      </c>
      <c r="H920" s="13" t="s">
        <v>1031</v>
      </c>
      <c r="I920" s="27" t="s">
        <v>365</v>
      </c>
      <c r="J920" s="27" t="s">
        <v>1774</v>
      </c>
      <c r="K920" s="27" t="s">
        <v>34</v>
      </c>
      <c r="L920" s="27" t="s">
        <v>1291</v>
      </c>
      <c r="M920" s="27" t="s">
        <v>409</v>
      </c>
      <c r="N920" s="17">
        <f t="shared" si="72"/>
        <v>45321</v>
      </c>
      <c r="O920" s="13" t="s">
        <v>1776</v>
      </c>
      <c r="P920" s="13" t="s">
        <v>1816</v>
      </c>
      <c r="Q920" s="13" t="s">
        <v>38</v>
      </c>
      <c r="R920" s="13" t="s">
        <v>365</v>
      </c>
      <c r="S920" s="13" t="s">
        <v>64</v>
      </c>
      <c r="T920" s="28">
        <v>27.06</v>
      </c>
      <c r="U920" s="13" t="s">
        <v>28</v>
      </c>
      <c r="V920" s="13" t="s">
        <v>89</v>
      </c>
      <c r="W920" s="13" t="s">
        <v>62</v>
      </c>
      <c r="X920" s="17">
        <f t="shared" si="73"/>
        <v>45412</v>
      </c>
      <c r="Y920" s="3"/>
    </row>
    <row r="921" spans="1:25" ht="45" customHeight="1">
      <c r="A921" s="3">
        <v>919</v>
      </c>
      <c r="B921" s="13" t="s">
        <v>3342</v>
      </c>
      <c r="C921" s="13" t="s">
        <v>26</v>
      </c>
      <c r="D921" s="13" t="s">
        <v>3343</v>
      </c>
      <c r="E921" s="13" t="s">
        <v>28</v>
      </c>
      <c r="F921" s="13" t="s">
        <v>29</v>
      </c>
      <c r="G921" s="13" t="s">
        <v>62</v>
      </c>
      <c r="H921" s="13" t="s">
        <v>1031</v>
      </c>
      <c r="I921" s="27" t="s">
        <v>365</v>
      </c>
      <c r="J921" s="27" t="s">
        <v>1774</v>
      </c>
      <c r="K921" s="27" t="s">
        <v>34</v>
      </c>
      <c r="L921" s="27" t="s">
        <v>1291</v>
      </c>
      <c r="M921" s="27" t="s">
        <v>409</v>
      </c>
      <c r="N921" s="17">
        <f t="shared" si="72"/>
        <v>45321</v>
      </c>
      <c r="O921" s="13" t="s">
        <v>1776</v>
      </c>
      <c r="P921" s="13" t="s">
        <v>1794</v>
      </c>
      <c r="Q921" s="13" t="s">
        <v>38</v>
      </c>
      <c r="R921" s="13" t="s">
        <v>365</v>
      </c>
      <c r="S921" s="13" t="s">
        <v>64</v>
      </c>
      <c r="T921" s="28">
        <v>22.06</v>
      </c>
      <c r="U921" s="13" t="s">
        <v>28</v>
      </c>
      <c r="V921" s="13" t="s">
        <v>53</v>
      </c>
      <c r="W921" s="13" t="s">
        <v>62</v>
      </c>
      <c r="X921" s="17">
        <f t="shared" si="73"/>
        <v>45412</v>
      </c>
      <c r="Y921" s="3"/>
    </row>
    <row r="922" spans="1:25" ht="45" customHeight="1">
      <c r="A922" s="3">
        <v>920</v>
      </c>
      <c r="B922" s="13" t="s">
        <v>3344</v>
      </c>
      <c r="C922" s="13" t="s">
        <v>26</v>
      </c>
      <c r="D922" s="13" t="s">
        <v>3345</v>
      </c>
      <c r="E922" s="13" t="s">
        <v>28</v>
      </c>
      <c r="F922" s="13" t="s">
        <v>491</v>
      </c>
      <c r="G922" s="13" t="s">
        <v>1042</v>
      </c>
      <c r="H922" s="13" t="s">
        <v>406</v>
      </c>
      <c r="I922" s="27" t="s">
        <v>365</v>
      </c>
      <c r="J922" s="27" t="s">
        <v>1774</v>
      </c>
      <c r="K922" s="27" t="s">
        <v>34</v>
      </c>
      <c r="L922" s="27" t="s">
        <v>1291</v>
      </c>
      <c r="M922" s="27" t="s">
        <v>409</v>
      </c>
      <c r="N922" s="17">
        <f t="shared" si="72"/>
        <v>45321</v>
      </c>
      <c r="O922" s="13" t="s">
        <v>1776</v>
      </c>
      <c r="P922" s="13" t="s">
        <v>717</v>
      </c>
      <c r="Q922" s="13" t="s">
        <v>38</v>
      </c>
      <c r="R922" s="13" t="s">
        <v>365</v>
      </c>
      <c r="S922" s="13" t="s">
        <v>496</v>
      </c>
      <c r="T922" s="28">
        <v>22.25</v>
      </c>
      <c r="U922" s="13" t="s">
        <v>28</v>
      </c>
      <c r="V922" s="13" t="s">
        <v>53</v>
      </c>
      <c r="W922" s="13" t="s">
        <v>1042</v>
      </c>
      <c r="X922" s="17">
        <f t="shared" si="73"/>
        <v>45412</v>
      </c>
      <c r="Y922" s="3"/>
    </row>
    <row r="923" spans="1:25" ht="45" customHeight="1">
      <c r="A923" s="3">
        <v>921</v>
      </c>
      <c r="B923" s="13" t="s">
        <v>3346</v>
      </c>
      <c r="C923" s="13" t="s">
        <v>26</v>
      </c>
      <c r="D923" s="13" t="s">
        <v>3347</v>
      </c>
      <c r="E923" s="13" t="s">
        <v>28</v>
      </c>
      <c r="F923" s="13" t="s">
        <v>491</v>
      </c>
      <c r="G923" s="13" t="s">
        <v>830</v>
      </c>
      <c r="H923" s="13" t="s">
        <v>406</v>
      </c>
      <c r="I923" s="27" t="s">
        <v>365</v>
      </c>
      <c r="J923" s="27" t="s">
        <v>1774</v>
      </c>
      <c r="K923" s="27" t="s">
        <v>34</v>
      </c>
      <c r="L923" s="27" t="s">
        <v>1291</v>
      </c>
      <c r="M923" s="27" t="s">
        <v>409</v>
      </c>
      <c r="N923" s="17">
        <f t="shared" si="72"/>
        <v>45321</v>
      </c>
      <c r="O923" s="13" t="s">
        <v>1776</v>
      </c>
      <c r="P923" s="13" t="s">
        <v>505</v>
      </c>
      <c r="Q923" s="13" t="s">
        <v>38</v>
      </c>
      <c r="R923" s="13" t="s">
        <v>365</v>
      </c>
      <c r="S923" s="13" t="s">
        <v>496</v>
      </c>
      <c r="T923" s="28">
        <v>27.41</v>
      </c>
      <c r="U923" s="13" t="s">
        <v>28</v>
      </c>
      <c r="V923" s="13" t="s">
        <v>146</v>
      </c>
      <c r="W923" s="13" t="s">
        <v>833</v>
      </c>
      <c r="X923" s="17">
        <f t="shared" si="73"/>
        <v>45412</v>
      </c>
      <c r="Y923" s="3"/>
    </row>
    <row r="924" spans="1:25" ht="45" customHeight="1">
      <c r="A924" s="3">
        <v>922</v>
      </c>
      <c r="B924" s="13" t="s">
        <v>3348</v>
      </c>
      <c r="C924" s="13" t="s">
        <v>26</v>
      </c>
      <c r="D924" s="13" t="s">
        <v>3349</v>
      </c>
      <c r="E924" s="13" t="s">
        <v>28</v>
      </c>
      <c r="F924" s="13" t="s">
        <v>491</v>
      </c>
      <c r="G924" s="13" t="s">
        <v>1042</v>
      </c>
      <c r="H924" s="13" t="s">
        <v>406</v>
      </c>
      <c r="I924" s="27" t="s">
        <v>365</v>
      </c>
      <c r="J924" s="27" t="s">
        <v>1774</v>
      </c>
      <c r="K924" s="27" t="s">
        <v>34</v>
      </c>
      <c r="L924" s="27" t="s">
        <v>1291</v>
      </c>
      <c r="M924" s="27" t="s">
        <v>409</v>
      </c>
      <c r="N924" s="17">
        <f t="shared" si="72"/>
        <v>45321</v>
      </c>
      <c r="O924" s="13" t="s">
        <v>1776</v>
      </c>
      <c r="P924" s="13" t="s">
        <v>717</v>
      </c>
      <c r="Q924" s="13" t="s">
        <v>38</v>
      </c>
      <c r="R924" s="13" t="s">
        <v>365</v>
      </c>
      <c r="S924" s="13" t="s">
        <v>496</v>
      </c>
      <c r="T924" s="28">
        <v>21.76</v>
      </c>
      <c r="U924" s="13" t="s">
        <v>28</v>
      </c>
      <c r="V924" s="13" t="s">
        <v>146</v>
      </c>
      <c r="W924" s="13" t="s">
        <v>1042</v>
      </c>
      <c r="X924" s="17">
        <f t="shared" si="73"/>
        <v>45412</v>
      </c>
      <c r="Y924" s="3"/>
    </row>
    <row r="925" spans="1:25" ht="45" customHeight="1">
      <c r="A925" s="3">
        <v>923</v>
      </c>
      <c r="B925" s="13" t="s">
        <v>3350</v>
      </c>
      <c r="C925" s="13" t="s">
        <v>26</v>
      </c>
      <c r="D925" s="13" t="s">
        <v>3351</v>
      </c>
      <c r="E925" s="13" t="s">
        <v>28</v>
      </c>
      <c r="F925" s="13" t="s">
        <v>491</v>
      </c>
      <c r="G925" s="13" t="s">
        <v>1042</v>
      </c>
      <c r="H925" s="13" t="s">
        <v>406</v>
      </c>
      <c r="I925" s="27" t="s">
        <v>365</v>
      </c>
      <c r="J925" s="27" t="s">
        <v>1774</v>
      </c>
      <c r="K925" s="27" t="s">
        <v>34</v>
      </c>
      <c r="L925" s="27" t="s">
        <v>1291</v>
      </c>
      <c r="M925" s="27" t="s">
        <v>409</v>
      </c>
      <c r="N925" s="17">
        <f t="shared" si="72"/>
        <v>45321</v>
      </c>
      <c r="O925" s="13" t="s">
        <v>1776</v>
      </c>
      <c r="P925" s="13" t="s">
        <v>717</v>
      </c>
      <c r="Q925" s="13" t="s">
        <v>38</v>
      </c>
      <c r="R925" s="13" t="s">
        <v>365</v>
      </c>
      <c r="S925" s="13" t="s">
        <v>496</v>
      </c>
      <c r="T925" s="28">
        <v>29.47</v>
      </c>
      <c r="U925" s="13" t="s">
        <v>28</v>
      </c>
      <c r="V925" s="13" t="s">
        <v>89</v>
      </c>
      <c r="W925" s="13" t="s">
        <v>1042</v>
      </c>
      <c r="X925" s="17">
        <f t="shared" si="73"/>
        <v>45412</v>
      </c>
      <c r="Y925" s="3"/>
    </row>
    <row r="926" spans="1:25" ht="45" customHeight="1">
      <c r="A926" s="3">
        <v>924</v>
      </c>
      <c r="B926" s="13" t="s">
        <v>3352</v>
      </c>
      <c r="C926" s="13" t="s">
        <v>26</v>
      </c>
      <c r="D926" s="13" t="s">
        <v>3353</v>
      </c>
      <c r="E926" s="13" t="s">
        <v>28</v>
      </c>
      <c r="F926" s="13" t="s">
        <v>29</v>
      </c>
      <c r="G926" s="13" t="s">
        <v>56</v>
      </c>
      <c r="H926" s="13" t="s">
        <v>1031</v>
      </c>
      <c r="I926" s="27" t="s">
        <v>365</v>
      </c>
      <c r="J926" s="27" t="s">
        <v>1774</v>
      </c>
      <c r="K926" s="27" t="s">
        <v>34</v>
      </c>
      <c r="L926" s="27" t="s">
        <v>1291</v>
      </c>
      <c r="M926" s="27" t="s">
        <v>409</v>
      </c>
      <c r="N926" s="17">
        <f t="shared" si="72"/>
        <v>45321</v>
      </c>
      <c r="O926" s="13" t="s">
        <v>1776</v>
      </c>
      <c r="P926" s="13" t="s">
        <v>203</v>
      </c>
      <c r="Q926" s="13" t="s">
        <v>38</v>
      </c>
      <c r="R926" s="13" t="s">
        <v>365</v>
      </c>
      <c r="S926" s="13" t="s">
        <v>58</v>
      </c>
      <c r="T926" s="28">
        <v>31.74</v>
      </c>
      <c r="U926" s="13" t="s">
        <v>28</v>
      </c>
      <c r="V926" s="13" t="s">
        <v>89</v>
      </c>
      <c r="W926" s="13" t="s">
        <v>56</v>
      </c>
      <c r="X926" s="17">
        <f t="shared" si="73"/>
        <v>45412</v>
      </c>
      <c r="Y926" s="3"/>
    </row>
    <row r="927" spans="1:25" ht="45" customHeight="1">
      <c r="A927" s="3">
        <v>925</v>
      </c>
      <c r="B927" s="13" t="s">
        <v>3354</v>
      </c>
      <c r="C927" s="13" t="s">
        <v>26</v>
      </c>
      <c r="D927" s="13" t="s">
        <v>3355</v>
      </c>
      <c r="E927" s="13" t="s">
        <v>28</v>
      </c>
      <c r="F927" s="13" t="s">
        <v>29</v>
      </c>
      <c r="G927" s="13" t="s">
        <v>1216</v>
      </c>
      <c r="H927" s="13" t="s">
        <v>1031</v>
      </c>
      <c r="I927" s="27" t="s">
        <v>365</v>
      </c>
      <c r="J927" s="27" t="s">
        <v>1774</v>
      </c>
      <c r="K927" s="27" t="s">
        <v>34</v>
      </c>
      <c r="L927" s="27" t="s">
        <v>1291</v>
      </c>
      <c r="M927" s="27" t="s">
        <v>409</v>
      </c>
      <c r="N927" s="17">
        <f t="shared" si="72"/>
        <v>45321</v>
      </c>
      <c r="O927" s="13" t="s">
        <v>1776</v>
      </c>
      <c r="P927" s="13" t="s">
        <v>1221</v>
      </c>
      <c r="Q927" s="13" t="s">
        <v>38</v>
      </c>
      <c r="R927" s="13" t="s">
        <v>365</v>
      </c>
      <c r="S927" s="13" t="s">
        <v>1215</v>
      </c>
      <c r="T927" s="28">
        <v>26.84</v>
      </c>
      <c r="U927" s="13" t="s">
        <v>28</v>
      </c>
      <c r="V927" s="13" t="s">
        <v>53</v>
      </c>
      <c r="W927" s="13" t="s">
        <v>1219</v>
      </c>
      <c r="X927" s="17">
        <f t="shared" si="73"/>
        <v>45412</v>
      </c>
      <c r="Y927" s="3"/>
    </row>
    <row r="928" spans="1:25" ht="45" customHeight="1">
      <c r="A928" s="3">
        <v>926</v>
      </c>
      <c r="B928" s="13" t="s">
        <v>3356</v>
      </c>
      <c r="C928" s="13" t="s">
        <v>26</v>
      </c>
      <c r="D928" s="13" t="s">
        <v>3357</v>
      </c>
      <c r="E928" s="13" t="s">
        <v>28</v>
      </c>
      <c r="F928" s="13" t="s">
        <v>491</v>
      </c>
      <c r="G928" s="13" t="s">
        <v>1042</v>
      </c>
      <c r="H928" s="13" t="s">
        <v>406</v>
      </c>
      <c r="I928" s="27" t="s">
        <v>365</v>
      </c>
      <c r="J928" s="27" t="s">
        <v>1774</v>
      </c>
      <c r="K928" s="27" t="s">
        <v>34</v>
      </c>
      <c r="L928" s="27" t="s">
        <v>1291</v>
      </c>
      <c r="M928" s="27" t="s">
        <v>409</v>
      </c>
      <c r="N928" s="17">
        <f t="shared" si="72"/>
        <v>45321</v>
      </c>
      <c r="O928" s="13" t="s">
        <v>1776</v>
      </c>
      <c r="P928" s="13" t="s">
        <v>717</v>
      </c>
      <c r="Q928" s="13" t="s">
        <v>38</v>
      </c>
      <c r="R928" s="13" t="s">
        <v>365</v>
      </c>
      <c r="S928" s="13" t="s">
        <v>496</v>
      </c>
      <c r="T928" s="28">
        <v>27.86</v>
      </c>
      <c r="U928" s="13" t="s">
        <v>28</v>
      </c>
      <c r="V928" s="13" t="s">
        <v>146</v>
      </c>
      <c r="W928" s="13" t="s">
        <v>1042</v>
      </c>
      <c r="X928" s="17">
        <f t="shared" si="73"/>
        <v>45412</v>
      </c>
      <c r="Y928" s="3"/>
    </row>
    <row r="929" spans="1:25" ht="45" customHeight="1">
      <c r="A929" s="3">
        <v>927</v>
      </c>
      <c r="B929" s="13" t="s">
        <v>3358</v>
      </c>
      <c r="C929" s="13" t="s">
        <v>26</v>
      </c>
      <c r="D929" s="13" t="s">
        <v>3359</v>
      </c>
      <c r="E929" s="13" t="s">
        <v>28</v>
      </c>
      <c r="F929" s="13" t="s">
        <v>29</v>
      </c>
      <c r="G929" s="13" t="s">
        <v>62</v>
      </c>
      <c r="H929" s="13" t="s">
        <v>1031</v>
      </c>
      <c r="I929" s="27" t="s">
        <v>365</v>
      </c>
      <c r="J929" s="27" t="s">
        <v>1774</v>
      </c>
      <c r="K929" s="27" t="s">
        <v>34</v>
      </c>
      <c r="L929" s="27" t="s">
        <v>1291</v>
      </c>
      <c r="M929" s="27" t="s">
        <v>409</v>
      </c>
      <c r="N929" s="17">
        <f t="shared" si="72"/>
        <v>45321</v>
      </c>
      <c r="O929" s="13" t="s">
        <v>1776</v>
      </c>
      <c r="P929" s="13" t="s">
        <v>1794</v>
      </c>
      <c r="Q929" s="13" t="s">
        <v>38</v>
      </c>
      <c r="R929" s="13" t="s">
        <v>365</v>
      </c>
      <c r="S929" s="13" t="s">
        <v>64</v>
      </c>
      <c r="T929" s="28">
        <v>32.14</v>
      </c>
      <c r="U929" s="13" t="s">
        <v>28</v>
      </c>
      <c r="V929" s="13" t="s">
        <v>53</v>
      </c>
      <c r="W929" s="13" t="s">
        <v>62</v>
      </c>
      <c r="X929" s="17">
        <f t="shared" si="73"/>
        <v>45412</v>
      </c>
      <c r="Y929" s="3"/>
    </row>
    <row r="930" spans="1:25" ht="45" customHeight="1">
      <c r="A930" s="3">
        <v>928</v>
      </c>
      <c r="B930" s="13" t="s">
        <v>3360</v>
      </c>
      <c r="C930" s="13" t="s">
        <v>26</v>
      </c>
      <c r="D930" s="13" t="s">
        <v>3361</v>
      </c>
      <c r="E930" s="13" t="s">
        <v>28</v>
      </c>
      <c r="F930" s="13" t="s">
        <v>29</v>
      </c>
      <c r="G930" s="13" t="s">
        <v>85</v>
      </c>
      <c r="H930" s="13" t="s">
        <v>1031</v>
      </c>
      <c r="I930" s="27" t="s">
        <v>365</v>
      </c>
      <c r="J930" s="27" t="s">
        <v>1774</v>
      </c>
      <c r="K930" s="27" t="s">
        <v>34</v>
      </c>
      <c r="L930" s="27" t="s">
        <v>1291</v>
      </c>
      <c r="M930" s="27" t="s">
        <v>409</v>
      </c>
      <c r="N930" s="17">
        <f t="shared" si="72"/>
        <v>45321</v>
      </c>
      <c r="O930" s="13" t="s">
        <v>1776</v>
      </c>
      <c r="P930" s="13" t="s">
        <v>230</v>
      </c>
      <c r="Q930" s="13" t="s">
        <v>38</v>
      </c>
      <c r="R930" s="13" t="s">
        <v>365</v>
      </c>
      <c r="S930" s="13" t="s">
        <v>87</v>
      </c>
      <c r="T930" s="28">
        <v>27.84</v>
      </c>
      <c r="U930" s="13" t="s">
        <v>28</v>
      </c>
      <c r="V930" s="13" t="s">
        <v>146</v>
      </c>
      <c r="W930" s="13" t="s">
        <v>85</v>
      </c>
      <c r="X930" s="17">
        <f t="shared" si="73"/>
        <v>45412</v>
      </c>
      <c r="Y930" s="3"/>
    </row>
    <row r="931" spans="1:25" ht="45" customHeight="1">
      <c r="A931" s="3">
        <v>929</v>
      </c>
      <c r="B931" s="13" t="s">
        <v>3362</v>
      </c>
      <c r="C931" s="13" t="s">
        <v>26</v>
      </c>
      <c r="D931" s="13" t="s">
        <v>3363</v>
      </c>
      <c r="E931" s="13" t="s">
        <v>28</v>
      </c>
      <c r="F931" s="13" t="s">
        <v>491</v>
      </c>
      <c r="G931" s="13" t="s">
        <v>978</v>
      </c>
      <c r="H931" s="13" t="s">
        <v>406</v>
      </c>
      <c r="I931" s="27" t="s">
        <v>365</v>
      </c>
      <c r="J931" s="27" t="s">
        <v>1774</v>
      </c>
      <c r="K931" s="27" t="s">
        <v>34</v>
      </c>
      <c r="L931" s="27" t="s">
        <v>1291</v>
      </c>
      <c r="M931" s="27" t="s">
        <v>409</v>
      </c>
      <c r="N931" s="17">
        <f t="shared" si="72"/>
        <v>45321</v>
      </c>
      <c r="O931" s="13" t="s">
        <v>1776</v>
      </c>
      <c r="P931" s="13" t="s">
        <v>596</v>
      </c>
      <c r="Q931" s="13" t="s">
        <v>38</v>
      </c>
      <c r="R931" s="13" t="s">
        <v>365</v>
      </c>
      <c r="S931" s="13" t="s">
        <v>496</v>
      </c>
      <c r="T931" s="28">
        <v>21.45</v>
      </c>
      <c r="U931" s="13" t="s">
        <v>28</v>
      </c>
      <c r="V931" s="13" t="s">
        <v>53</v>
      </c>
      <c r="W931" s="13" t="s">
        <v>981</v>
      </c>
      <c r="X931" s="17">
        <f t="shared" si="73"/>
        <v>45412</v>
      </c>
      <c r="Y931" s="3"/>
    </row>
    <row r="932" spans="1:25" ht="45" customHeight="1">
      <c r="A932" s="3">
        <v>930</v>
      </c>
      <c r="B932" s="13" t="s">
        <v>3364</v>
      </c>
      <c r="C932" s="13" t="s">
        <v>26</v>
      </c>
      <c r="D932" s="13" t="s">
        <v>3365</v>
      </c>
      <c r="E932" s="13" t="s">
        <v>28</v>
      </c>
      <c r="F932" s="13" t="s">
        <v>29</v>
      </c>
      <c r="G932" s="13" t="s">
        <v>62</v>
      </c>
      <c r="H932" s="13" t="s">
        <v>1031</v>
      </c>
      <c r="I932" s="27" t="s">
        <v>365</v>
      </c>
      <c r="J932" s="27" t="s">
        <v>1774</v>
      </c>
      <c r="K932" s="27" t="s">
        <v>34</v>
      </c>
      <c r="L932" s="27" t="s">
        <v>1291</v>
      </c>
      <c r="M932" s="27" t="s">
        <v>409</v>
      </c>
      <c r="N932" s="17">
        <f t="shared" si="72"/>
        <v>45321</v>
      </c>
      <c r="O932" s="13" t="s">
        <v>1776</v>
      </c>
      <c r="P932" s="13" t="s">
        <v>1794</v>
      </c>
      <c r="Q932" s="13" t="s">
        <v>38</v>
      </c>
      <c r="R932" s="13" t="s">
        <v>365</v>
      </c>
      <c r="S932" s="13" t="s">
        <v>64</v>
      </c>
      <c r="T932" s="28">
        <v>34.450000000000003</v>
      </c>
      <c r="U932" s="13" t="s">
        <v>28</v>
      </c>
      <c r="V932" s="13" t="s">
        <v>53</v>
      </c>
      <c r="W932" s="13" t="s">
        <v>62</v>
      </c>
      <c r="X932" s="17">
        <f t="shared" si="73"/>
        <v>45412</v>
      </c>
      <c r="Y932" s="3"/>
    </row>
    <row r="933" spans="1:25" ht="45" customHeight="1">
      <c r="A933" s="3">
        <v>931</v>
      </c>
      <c r="B933" s="13" t="s">
        <v>3366</v>
      </c>
      <c r="C933" s="13" t="s">
        <v>26</v>
      </c>
      <c r="D933" s="13" t="s">
        <v>3367</v>
      </c>
      <c r="E933" s="13" t="s">
        <v>28</v>
      </c>
      <c r="F933" s="13" t="s">
        <v>491</v>
      </c>
      <c r="G933" s="13" t="s">
        <v>978</v>
      </c>
      <c r="H933" s="13" t="s">
        <v>406</v>
      </c>
      <c r="I933" s="27" t="s">
        <v>365</v>
      </c>
      <c r="J933" s="27" t="s">
        <v>1774</v>
      </c>
      <c r="K933" s="27" t="s">
        <v>34</v>
      </c>
      <c r="L933" s="27" t="s">
        <v>1291</v>
      </c>
      <c r="M933" s="27" t="s">
        <v>409</v>
      </c>
      <c r="N933" s="17">
        <f t="shared" si="72"/>
        <v>45321</v>
      </c>
      <c r="O933" s="13" t="s">
        <v>1776</v>
      </c>
      <c r="P933" s="13" t="s">
        <v>596</v>
      </c>
      <c r="Q933" s="13" t="s">
        <v>38</v>
      </c>
      <c r="R933" s="13" t="s">
        <v>365</v>
      </c>
      <c r="S933" s="13" t="s">
        <v>496</v>
      </c>
      <c r="T933" s="28">
        <v>30.59</v>
      </c>
      <c r="U933" s="13" t="s">
        <v>28</v>
      </c>
      <c r="V933" s="13" t="s">
        <v>146</v>
      </c>
      <c r="W933" s="13" t="s">
        <v>981</v>
      </c>
      <c r="X933" s="17">
        <f t="shared" si="73"/>
        <v>45412</v>
      </c>
      <c r="Y933" s="3"/>
    </row>
    <row r="934" spans="1:25" ht="45" customHeight="1">
      <c r="A934" s="3">
        <v>932</v>
      </c>
      <c r="B934" s="13" t="s">
        <v>3368</v>
      </c>
      <c r="C934" s="13" t="s">
        <v>26</v>
      </c>
      <c r="D934" s="13" t="s">
        <v>3369</v>
      </c>
      <c r="E934" s="13" t="s">
        <v>28</v>
      </c>
      <c r="F934" s="13" t="s">
        <v>491</v>
      </c>
      <c r="G934" s="13" t="s">
        <v>830</v>
      </c>
      <c r="H934" s="13" t="s">
        <v>406</v>
      </c>
      <c r="I934" s="27" t="s">
        <v>365</v>
      </c>
      <c r="J934" s="27" t="s">
        <v>1774</v>
      </c>
      <c r="K934" s="27" t="s">
        <v>34</v>
      </c>
      <c r="L934" s="27" t="s">
        <v>1291</v>
      </c>
      <c r="M934" s="27" t="s">
        <v>409</v>
      </c>
      <c r="N934" s="17">
        <f t="shared" si="72"/>
        <v>45321</v>
      </c>
      <c r="O934" s="13" t="s">
        <v>1776</v>
      </c>
      <c r="P934" s="13" t="s">
        <v>505</v>
      </c>
      <c r="Q934" s="13" t="s">
        <v>38</v>
      </c>
      <c r="R934" s="13" t="s">
        <v>365</v>
      </c>
      <c r="S934" s="13" t="s">
        <v>496</v>
      </c>
      <c r="T934" s="28">
        <v>28.21</v>
      </c>
      <c r="U934" s="13" t="s">
        <v>28</v>
      </c>
      <c r="V934" s="13" t="s">
        <v>89</v>
      </c>
      <c r="W934" s="13" t="s">
        <v>833</v>
      </c>
      <c r="X934" s="17">
        <f t="shared" si="73"/>
        <v>45412</v>
      </c>
      <c r="Y934" s="3"/>
    </row>
    <row r="935" spans="1:25" ht="45" customHeight="1">
      <c r="A935" s="3">
        <v>933</v>
      </c>
      <c r="B935" s="13" t="s">
        <v>3370</v>
      </c>
      <c r="C935" s="13" t="s">
        <v>26</v>
      </c>
      <c r="D935" s="13" t="s">
        <v>3371</v>
      </c>
      <c r="E935" s="13" t="s">
        <v>28</v>
      </c>
      <c r="F935" s="13" t="s">
        <v>29</v>
      </c>
      <c r="G935" s="13" t="s">
        <v>30</v>
      </c>
      <c r="H935" s="13" t="s">
        <v>1031</v>
      </c>
      <c r="I935" s="27" t="s">
        <v>365</v>
      </c>
      <c r="J935" s="27" t="s">
        <v>1774</v>
      </c>
      <c r="K935" s="27" t="s">
        <v>34</v>
      </c>
      <c r="L935" s="27" t="s">
        <v>1291</v>
      </c>
      <c r="M935" s="27" t="s">
        <v>409</v>
      </c>
      <c r="N935" s="17">
        <f t="shared" si="72"/>
        <v>45321</v>
      </c>
      <c r="O935" s="13" t="s">
        <v>1776</v>
      </c>
      <c r="P935" s="13" t="s">
        <v>1154</v>
      </c>
      <c r="Q935" s="13" t="s">
        <v>38</v>
      </c>
      <c r="R935" s="13" t="s">
        <v>365</v>
      </c>
      <c r="S935" s="13" t="s">
        <v>37</v>
      </c>
      <c r="T935" s="28">
        <v>26.72</v>
      </c>
      <c r="U935" s="13" t="s">
        <v>28</v>
      </c>
      <c r="V935" s="13" t="s">
        <v>146</v>
      </c>
      <c r="W935" s="13" t="s">
        <v>30</v>
      </c>
      <c r="X935" s="17">
        <f t="shared" si="73"/>
        <v>45412</v>
      </c>
      <c r="Y935" s="3"/>
    </row>
    <row r="936" spans="1:25" ht="45" customHeight="1">
      <c r="A936" s="3">
        <v>934</v>
      </c>
      <c r="B936" s="13" t="s">
        <v>3372</v>
      </c>
      <c r="C936" s="13" t="s">
        <v>26</v>
      </c>
      <c r="D936" s="13" t="s">
        <v>3373</v>
      </c>
      <c r="E936" s="13" t="s">
        <v>28</v>
      </c>
      <c r="F936" s="13" t="s">
        <v>491</v>
      </c>
      <c r="G936" s="13" t="s">
        <v>1042</v>
      </c>
      <c r="H936" s="13" t="s">
        <v>406</v>
      </c>
      <c r="I936" s="27" t="s">
        <v>365</v>
      </c>
      <c r="J936" s="27" t="s">
        <v>1774</v>
      </c>
      <c r="K936" s="27" t="s">
        <v>34</v>
      </c>
      <c r="L936" s="27" t="s">
        <v>1291</v>
      </c>
      <c r="M936" s="27" t="s">
        <v>409</v>
      </c>
      <c r="N936" s="17">
        <f t="shared" si="72"/>
        <v>45321</v>
      </c>
      <c r="O936" s="13" t="s">
        <v>1776</v>
      </c>
      <c r="P936" s="13" t="s">
        <v>717</v>
      </c>
      <c r="Q936" s="13" t="s">
        <v>38</v>
      </c>
      <c r="R936" s="13" t="s">
        <v>365</v>
      </c>
      <c r="S936" s="13" t="s">
        <v>496</v>
      </c>
      <c r="T936" s="28">
        <v>22.95</v>
      </c>
      <c r="U936" s="13" t="s">
        <v>28</v>
      </c>
      <c r="V936" s="13" t="s">
        <v>89</v>
      </c>
      <c r="W936" s="13" t="s">
        <v>1042</v>
      </c>
      <c r="X936" s="17">
        <f>DATE(2024,7,29)</f>
        <v>45502</v>
      </c>
      <c r="Y936" s="3"/>
    </row>
    <row r="937" spans="1:25" ht="45" customHeight="1">
      <c r="A937" s="3">
        <v>935</v>
      </c>
      <c r="B937" s="13" t="s">
        <v>3374</v>
      </c>
      <c r="C937" s="13" t="s">
        <v>26</v>
      </c>
      <c r="D937" s="13" t="s">
        <v>3375</v>
      </c>
      <c r="E937" s="13" t="s">
        <v>28</v>
      </c>
      <c r="F937" s="13" t="s">
        <v>29</v>
      </c>
      <c r="G937" s="13" t="s">
        <v>79</v>
      </c>
      <c r="H937" s="13" t="s">
        <v>1031</v>
      </c>
      <c r="I937" s="27" t="s">
        <v>365</v>
      </c>
      <c r="J937" s="27" t="s">
        <v>1774</v>
      </c>
      <c r="K937" s="27" t="s">
        <v>34</v>
      </c>
      <c r="L937" s="27" t="s">
        <v>1291</v>
      </c>
      <c r="M937" s="27" t="s">
        <v>409</v>
      </c>
      <c r="N937" s="17">
        <f t="shared" si="72"/>
        <v>45321</v>
      </c>
      <c r="O937" s="13" t="s">
        <v>1776</v>
      </c>
      <c r="P937" s="13" t="s">
        <v>1387</v>
      </c>
      <c r="Q937" s="13" t="s">
        <v>38</v>
      </c>
      <c r="R937" s="13" t="s">
        <v>365</v>
      </c>
      <c r="S937" s="13" t="s">
        <v>81</v>
      </c>
      <c r="T937" s="28">
        <v>33.24</v>
      </c>
      <c r="U937" s="13" t="s">
        <v>28</v>
      </c>
      <c r="V937" s="13" t="s">
        <v>89</v>
      </c>
      <c r="W937" s="13" t="s">
        <v>79</v>
      </c>
      <c r="X937" s="17">
        <f t="shared" ref="X937:X948" si="74">DATE(2024,4,30)</f>
        <v>45412</v>
      </c>
      <c r="Y937" s="3"/>
    </row>
    <row r="938" spans="1:25" ht="45" customHeight="1">
      <c r="A938" s="3">
        <v>936</v>
      </c>
      <c r="B938" s="13" t="s">
        <v>3376</v>
      </c>
      <c r="C938" s="13" t="s">
        <v>26</v>
      </c>
      <c r="D938" s="13" t="s">
        <v>3377</v>
      </c>
      <c r="E938" s="13" t="s">
        <v>28</v>
      </c>
      <c r="F938" s="13" t="s">
        <v>29</v>
      </c>
      <c r="G938" s="13" t="s">
        <v>62</v>
      </c>
      <c r="H938" s="13" t="s">
        <v>1031</v>
      </c>
      <c r="I938" s="27" t="s">
        <v>365</v>
      </c>
      <c r="J938" s="27" t="s">
        <v>1774</v>
      </c>
      <c r="K938" s="27" t="s">
        <v>34</v>
      </c>
      <c r="L938" s="27" t="s">
        <v>1291</v>
      </c>
      <c r="M938" s="27" t="s">
        <v>409</v>
      </c>
      <c r="N938" s="17">
        <f t="shared" si="72"/>
        <v>45321</v>
      </c>
      <c r="O938" s="13" t="s">
        <v>1776</v>
      </c>
      <c r="P938" s="13" t="s">
        <v>1809</v>
      </c>
      <c r="Q938" s="13" t="s">
        <v>38</v>
      </c>
      <c r="R938" s="13" t="s">
        <v>365</v>
      </c>
      <c r="S938" s="13" t="s">
        <v>64</v>
      </c>
      <c r="T938" s="28">
        <v>26.85</v>
      </c>
      <c r="U938" s="13" t="s">
        <v>28</v>
      </c>
      <c r="V938" s="13" t="s">
        <v>146</v>
      </c>
      <c r="W938" s="13" t="s">
        <v>62</v>
      </c>
      <c r="X938" s="17">
        <f t="shared" si="74"/>
        <v>45412</v>
      </c>
      <c r="Y938" s="3"/>
    </row>
    <row r="939" spans="1:25" ht="45" customHeight="1">
      <c r="A939" s="3">
        <v>937</v>
      </c>
      <c r="B939" s="13" t="s">
        <v>3378</v>
      </c>
      <c r="C939" s="13" t="s">
        <v>26</v>
      </c>
      <c r="D939" s="13" t="s">
        <v>3379</v>
      </c>
      <c r="E939" s="13" t="s">
        <v>28</v>
      </c>
      <c r="F939" s="13" t="s">
        <v>29</v>
      </c>
      <c r="G939" s="13" t="s">
        <v>72</v>
      </c>
      <c r="H939" s="13" t="s">
        <v>1031</v>
      </c>
      <c r="I939" s="27" t="s">
        <v>365</v>
      </c>
      <c r="J939" s="27" t="s">
        <v>1774</v>
      </c>
      <c r="K939" s="27" t="s">
        <v>34</v>
      </c>
      <c r="L939" s="27" t="s">
        <v>1291</v>
      </c>
      <c r="M939" s="27" t="s">
        <v>409</v>
      </c>
      <c r="N939" s="17">
        <f t="shared" si="72"/>
        <v>45321</v>
      </c>
      <c r="O939" s="13" t="s">
        <v>1776</v>
      </c>
      <c r="P939" s="13" t="s">
        <v>1144</v>
      </c>
      <c r="Q939" s="13" t="s">
        <v>38</v>
      </c>
      <c r="R939" s="13" t="s">
        <v>365</v>
      </c>
      <c r="S939" s="13" t="s">
        <v>74</v>
      </c>
      <c r="T939" s="28">
        <v>34.049999999999997</v>
      </c>
      <c r="U939" s="13" t="s">
        <v>28</v>
      </c>
      <c r="V939" s="13" t="s">
        <v>53</v>
      </c>
      <c r="W939" s="13" t="s">
        <v>72</v>
      </c>
      <c r="X939" s="17">
        <f t="shared" si="74"/>
        <v>45412</v>
      </c>
      <c r="Y939" s="3"/>
    </row>
    <row r="940" spans="1:25" ht="45" customHeight="1">
      <c r="A940" s="3">
        <v>938</v>
      </c>
      <c r="B940" s="13" t="s">
        <v>3380</v>
      </c>
      <c r="C940" s="13" t="s">
        <v>26</v>
      </c>
      <c r="D940" s="13" t="s">
        <v>3381</v>
      </c>
      <c r="E940" s="13" t="s">
        <v>28</v>
      </c>
      <c r="F940" s="13" t="s">
        <v>491</v>
      </c>
      <c r="G940" s="13" t="s">
        <v>830</v>
      </c>
      <c r="H940" s="13" t="s">
        <v>406</v>
      </c>
      <c r="I940" s="27" t="s">
        <v>365</v>
      </c>
      <c r="J940" s="27" t="s">
        <v>1774</v>
      </c>
      <c r="K940" s="27" t="s">
        <v>34</v>
      </c>
      <c r="L940" s="27" t="s">
        <v>1291</v>
      </c>
      <c r="M940" s="27" t="s">
        <v>409</v>
      </c>
      <c r="N940" s="17">
        <f t="shared" si="72"/>
        <v>45321</v>
      </c>
      <c r="O940" s="13" t="s">
        <v>1776</v>
      </c>
      <c r="P940" s="13" t="s">
        <v>505</v>
      </c>
      <c r="Q940" s="13" t="s">
        <v>38</v>
      </c>
      <c r="R940" s="13" t="s">
        <v>365</v>
      </c>
      <c r="S940" s="13" t="s">
        <v>496</v>
      </c>
      <c r="T940" s="28">
        <v>28.53</v>
      </c>
      <c r="U940" s="13" t="s">
        <v>28</v>
      </c>
      <c r="V940" s="13" t="s">
        <v>53</v>
      </c>
      <c r="W940" s="13" t="s">
        <v>833</v>
      </c>
      <c r="X940" s="17">
        <f t="shared" si="74"/>
        <v>45412</v>
      </c>
      <c r="Y940" s="3"/>
    </row>
    <row r="941" spans="1:25" ht="45" customHeight="1">
      <c r="A941" s="3">
        <v>939</v>
      </c>
      <c r="B941" s="13" t="s">
        <v>3382</v>
      </c>
      <c r="C941" s="13" t="s">
        <v>26</v>
      </c>
      <c r="D941" s="13" t="s">
        <v>3383</v>
      </c>
      <c r="E941" s="13" t="s">
        <v>28</v>
      </c>
      <c r="F941" s="13" t="s">
        <v>29</v>
      </c>
      <c r="G941" s="13" t="s">
        <v>62</v>
      </c>
      <c r="H941" s="13" t="s">
        <v>1031</v>
      </c>
      <c r="I941" s="27" t="s">
        <v>365</v>
      </c>
      <c r="J941" s="27" t="s">
        <v>1774</v>
      </c>
      <c r="K941" s="27" t="s">
        <v>34</v>
      </c>
      <c r="L941" s="27" t="s">
        <v>1291</v>
      </c>
      <c r="M941" s="27" t="s">
        <v>409</v>
      </c>
      <c r="N941" s="17">
        <f t="shared" si="72"/>
        <v>45321</v>
      </c>
      <c r="O941" s="13" t="s">
        <v>1776</v>
      </c>
      <c r="P941" s="13" t="s">
        <v>1809</v>
      </c>
      <c r="Q941" s="13" t="s">
        <v>38</v>
      </c>
      <c r="R941" s="13" t="s">
        <v>365</v>
      </c>
      <c r="S941" s="13" t="s">
        <v>64</v>
      </c>
      <c r="T941" s="28">
        <v>29.32</v>
      </c>
      <c r="U941" s="13" t="s">
        <v>28</v>
      </c>
      <c r="V941" s="13" t="s">
        <v>146</v>
      </c>
      <c r="W941" s="13" t="s">
        <v>62</v>
      </c>
      <c r="X941" s="17">
        <f t="shared" si="74"/>
        <v>45412</v>
      </c>
      <c r="Y941" s="3"/>
    </row>
    <row r="942" spans="1:25" ht="45" customHeight="1">
      <c r="A942" s="3">
        <v>940</v>
      </c>
      <c r="B942" s="13" t="s">
        <v>3384</v>
      </c>
      <c r="C942" s="13" t="s">
        <v>26</v>
      </c>
      <c r="D942" s="13" t="s">
        <v>3385</v>
      </c>
      <c r="E942" s="13" t="s">
        <v>28</v>
      </c>
      <c r="F942" s="13" t="s">
        <v>29</v>
      </c>
      <c r="G942" s="13" t="s">
        <v>30</v>
      </c>
      <c r="H942" s="13" t="s">
        <v>1031</v>
      </c>
      <c r="I942" s="27" t="s">
        <v>365</v>
      </c>
      <c r="J942" s="27" t="s">
        <v>1774</v>
      </c>
      <c r="K942" s="27" t="s">
        <v>34</v>
      </c>
      <c r="L942" s="27" t="s">
        <v>1291</v>
      </c>
      <c r="M942" s="27" t="s">
        <v>409</v>
      </c>
      <c r="N942" s="17">
        <f t="shared" si="72"/>
        <v>45321</v>
      </c>
      <c r="O942" s="13" t="s">
        <v>1776</v>
      </c>
      <c r="P942" s="13" t="s">
        <v>1606</v>
      </c>
      <c r="Q942" s="13" t="s">
        <v>38</v>
      </c>
      <c r="R942" s="13" t="s">
        <v>365</v>
      </c>
      <c r="S942" s="13" t="s">
        <v>37</v>
      </c>
      <c r="T942" s="28">
        <v>25.36</v>
      </c>
      <c r="U942" s="13" t="s">
        <v>28</v>
      </c>
      <c r="V942" s="13" t="s">
        <v>89</v>
      </c>
      <c r="W942" s="13" t="s">
        <v>30</v>
      </c>
      <c r="X942" s="17">
        <f t="shared" si="74"/>
        <v>45412</v>
      </c>
      <c r="Y942" s="3"/>
    </row>
    <row r="943" spans="1:25" ht="45" customHeight="1">
      <c r="A943" s="3">
        <v>941</v>
      </c>
      <c r="B943" s="13" t="s">
        <v>3386</v>
      </c>
      <c r="C943" s="13" t="s">
        <v>26</v>
      </c>
      <c r="D943" s="13" t="s">
        <v>3387</v>
      </c>
      <c r="E943" s="13" t="s">
        <v>28</v>
      </c>
      <c r="F943" s="13" t="s">
        <v>29</v>
      </c>
      <c r="G943" s="13" t="s">
        <v>537</v>
      </c>
      <c r="H943" s="13" t="s">
        <v>1031</v>
      </c>
      <c r="I943" s="27" t="s">
        <v>365</v>
      </c>
      <c r="J943" s="27" t="s">
        <v>1774</v>
      </c>
      <c r="K943" s="27" t="s">
        <v>34</v>
      </c>
      <c r="L943" s="27" t="s">
        <v>1291</v>
      </c>
      <c r="M943" s="27" t="s">
        <v>409</v>
      </c>
      <c r="N943" s="17">
        <f t="shared" si="72"/>
        <v>45321</v>
      </c>
      <c r="O943" s="13" t="s">
        <v>1776</v>
      </c>
      <c r="P943" s="13" t="s">
        <v>64</v>
      </c>
      <c r="Q943" s="13" t="s">
        <v>38</v>
      </c>
      <c r="R943" s="13" t="s">
        <v>365</v>
      </c>
      <c r="S943" s="13" t="s">
        <v>64</v>
      </c>
      <c r="T943" s="28">
        <v>23.38</v>
      </c>
      <c r="U943" s="13" t="s">
        <v>28</v>
      </c>
      <c r="V943" s="13" t="s">
        <v>146</v>
      </c>
      <c r="W943" s="13" t="s">
        <v>537</v>
      </c>
      <c r="X943" s="17">
        <f t="shared" si="74"/>
        <v>45412</v>
      </c>
      <c r="Y943" s="3"/>
    </row>
    <row r="944" spans="1:25" ht="45" customHeight="1">
      <c r="A944" s="3">
        <v>942</v>
      </c>
      <c r="B944" s="13" t="s">
        <v>3388</v>
      </c>
      <c r="C944" s="13" t="s">
        <v>26</v>
      </c>
      <c r="D944" s="13" t="s">
        <v>3389</v>
      </c>
      <c r="E944" s="13" t="s">
        <v>28</v>
      </c>
      <c r="F944" s="13" t="s">
        <v>29</v>
      </c>
      <c r="G944" s="13" t="s">
        <v>30</v>
      </c>
      <c r="H944" s="13" t="s">
        <v>1031</v>
      </c>
      <c r="I944" s="27" t="s">
        <v>365</v>
      </c>
      <c r="J944" s="27" t="s">
        <v>1774</v>
      </c>
      <c r="K944" s="27" t="s">
        <v>34</v>
      </c>
      <c r="L944" s="27" t="s">
        <v>1291</v>
      </c>
      <c r="M944" s="27" t="s">
        <v>409</v>
      </c>
      <c r="N944" s="17">
        <f t="shared" si="72"/>
        <v>45321</v>
      </c>
      <c r="O944" s="13" t="s">
        <v>1776</v>
      </c>
      <c r="P944" s="13" t="s">
        <v>1781</v>
      </c>
      <c r="Q944" s="13" t="s">
        <v>38</v>
      </c>
      <c r="R944" s="13" t="s">
        <v>365</v>
      </c>
      <c r="S944" s="13" t="s">
        <v>37</v>
      </c>
      <c r="T944" s="28">
        <v>28.79</v>
      </c>
      <c r="U944" s="13" t="s">
        <v>28</v>
      </c>
      <c r="V944" s="13" t="s">
        <v>53</v>
      </c>
      <c r="W944" s="13" t="s">
        <v>30</v>
      </c>
      <c r="X944" s="17">
        <f t="shared" si="74"/>
        <v>45412</v>
      </c>
      <c r="Y944" s="3"/>
    </row>
    <row r="945" spans="1:25" ht="45" customHeight="1">
      <c r="A945" s="3">
        <v>943</v>
      </c>
      <c r="B945" s="13" t="s">
        <v>3390</v>
      </c>
      <c r="C945" s="13" t="s">
        <v>26</v>
      </c>
      <c r="D945" s="13" t="s">
        <v>3391</v>
      </c>
      <c r="E945" s="13" t="s">
        <v>28</v>
      </c>
      <c r="F945" s="13" t="s">
        <v>29</v>
      </c>
      <c r="G945" s="13" t="s">
        <v>30</v>
      </c>
      <c r="H945" s="13" t="s">
        <v>1031</v>
      </c>
      <c r="I945" s="27" t="s">
        <v>365</v>
      </c>
      <c r="J945" s="27" t="s">
        <v>1774</v>
      </c>
      <c r="K945" s="27" t="s">
        <v>34</v>
      </c>
      <c r="L945" s="27" t="s">
        <v>1291</v>
      </c>
      <c r="M945" s="27" t="s">
        <v>409</v>
      </c>
      <c r="N945" s="17">
        <f t="shared" si="72"/>
        <v>45321</v>
      </c>
      <c r="O945" s="13" t="s">
        <v>1776</v>
      </c>
      <c r="P945" s="13" t="s">
        <v>1606</v>
      </c>
      <c r="Q945" s="13" t="s">
        <v>38</v>
      </c>
      <c r="R945" s="13" t="s">
        <v>365</v>
      </c>
      <c r="S945" s="13" t="s">
        <v>37</v>
      </c>
      <c r="T945" s="28">
        <v>32.76</v>
      </c>
      <c r="U945" s="13" t="s">
        <v>28</v>
      </c>
      <c r="V945" s="13" t="s">
        <v>89</v>
      </c>
      <c r="W945" s="13" t="s">
        <v>30</v>
      </c>
      <c r="X945" s="17">
        <f t="shared" si="74"/>
        <v>45412</v>
      </c>
      <c r="Y945" s="3"/>
    </row>
    <row r="946" spans="1:25" ht="45" customHeight="1">
      <c r="A946" s="3">
        <v>944</v>
      </c>
      <c r="B946" s="13" t="s">
        <v>3392</v>
      </c>
      <c r="C946" s="13" t="s">
        <v>26</v>
      </c>
      <c r="D946" s="13" t="s">
        <v>3393</v>
      </c>
      <c r="E946" s="13" t="s">
        <v>28</v>
      </c>
      <c r="F946" s="13" t="s">
        <v>491</v>
      </c>
      <c r="G946" s="13" t="s">
        <v>978</v>
      </c>
      <c r="H946" s="13" t="s">
        <v>406</v>
      </c>
      <c r="I946" s="27" t="s">
        <v>365</v>
      </c>
      <c r="J946" s="27" t="s">
        <v>1774</v>
      </c>
      <c r="K946" s="27" t="s">
        <v>34</v>
      </c>
      <c r="L946" s="27" t="s">
        <v>1291</v>
      </c>
      <c r="M946" s="27" t="s">
        <v>409</v>
      </c>
      <c r="N946" s="17">
        <f t="shared" si="72"/>
        <v>45321</v>
      </c>
      <c r="O946" s="13" t="s">
        <v>1776</v>
      </c>
      <c r="P946" s="13" t="s">
        <v>596</v>
      </c>
      <c r="Q946" s="13" t="s">
        <v>38</v>
      </c>
      <c r="R946" s="13" t="s">
        <v>365</v>
      </c>
      <c r="S946" s="13" t="s">
        <v>496</v>
      </c>
      <c r="T946" s="28">
        <v>33.299999999999997</v>
      </c>
      <c r="U946" s="13" t="s">
        <v>28</v>
      </c>
      <c r="V946" s="13" t="s">
        <v>89</v>
      </c>
      <c r="W946" s="13" t="s">
        <v>981</v>
      </c>
      <c r="X946" s="17">
        <f t="shared" si="74"/>
        <v>45412</v>
      </c>
      <c r="Y946" s="3"/>
    </row>
    <row r="947" spans="1:25" ht="45" customHeight="1">
      <c r="A947" s="3">
        <v>945</v>
      </c>
      <c r="B947" s="13" t="s">
        <v>3394</v>
      </c>
      <c r="C947" s="13" t="s">
        <v>26</v>
      </c>
      <c r="D947" s="13" t="s">
        <v>3395</v>
      </c>
      <c r="E947" s="13" t="s">
        <v>28</v>
      </c>
      <c r="F947" s="13" t="s">
        <v>491</v>
      </c>
      <c r="G947" s="13" t="s">
        <v>950</v>
      </c>
      <c r="H947" s="13" t="s">
        <v>406</v>
      </c>
      <c r="I947" s="27" t="s">
        <v>365</v>
      </c>
      <c r="J947" s="27" t="s">
        <v>1774</v>
      </c>
      <c r="K947" s="27" t="s">
        <v>34</v>
      </c>
      <c r="L947" s="27" t="s">
        <v>1291</v>
      </c>
      <c r="M947" s="27" t="s">
        <v>409</v>
      </c>
      <c r="N947" s="17">
        <f t="shared" si="72"/>
        <v>45321</v>
      </c>
      <c r="O947" s="13" t="s">
        <v>1776</v>
      </c>
      <c r="P947" s="13" t="s">
        <v>952</v>
      </c>
      <c r="Q947" s="13" t="s">
        <v>38</v>
      </c>
      <c r="R947" s="13" t="s">
        <v>365</v>
      </c>
      <c r="S947" s="13" t="s">
        <v>496</v>
      </c>
      <c r="T947" s="28">
        <v>28.36</v>
      </c>
      <c r="U947" s="13" t="s">
        <v>28</v>
      </c>
      <c r="V947" s="13" t="s">
        <v>53</v>
      </c>
      <c r="W947" s="13" t="s">
        <v>954</v>
      </c>
      <c r="X947" s="17">
        <f t="shared" si="74"/>
        <v>45412</v>
      </c>
      <c r="Y947" s="3"/>
    </row>
    <row r="948" spans="1:25" ht="45" customHeight="1">
      <c r="A948" s="3">
        <v>946</v>
      </c>
      <c r="B948" s="13" t="s">
        <v>3396</v>
      </c>
      <c r="C948" s="13" t="s">
        <v>26</v>
      </c>
      <c r="D948" s="13" t="s">
        <v>3397</v>
      </c>
      <c r="E948" s="13" t="s">
        <v>28</v>
      </c>
      <c r="F948" s="13" t="s">
        <v>491</v>
      </c>
      <c r="G948" s="13" t="s">
        <v>950</v>
      </c>
      <c r="H948" s="13" t="s">
        <v>406</v>
      </c>
      <c r="I948" s="27" t="s">
        <v>365</v>
      </c>
      <c r="J948" s="27" t="s">
        <v>1774</v>
      </c>
      <c r="K948" s="27" t="s">
        <v>34</v>
      </c>
      <c r="L948" s="27" t="s">
        <v>1291</v>
      </c>
      <c r="M948" s="27" t="s">
        <v>409</v>
      </c>
      <c r="N948" s="17">
        <f t="shared" si="72"/>
        <v>45321</v>
      </c>
      <c r="O948" s="13" t="s">
        <v>1776</v>
      </c>
      <c r="P948" s="13" t="s">
        <v>952</v>
      </c>
      <c r="Q948" s="13" t="s">
        <v>38</v>
      </c>
      <c r="R948" s="13" t="s">
        <v>365</v>
      </c>
      <c r="S948" s="13" t="s">
        <v>496</v>
      </c>
      <c r="T948" s="28">
        <v>29.82</v>
      </c>
      <c r="U948" s="13" t="s">
        <v>28</v>
      </c>
      <c r="V948" s="13" t="s">
        <v>146</v>
      </c>
      <c r="W948" s="13" t="s">
        <v>954</v>
      </c>
      <c r="X948" s="17">
        <f t="shared" si="74"/>
        <v>45412</v>
      </c>
      <c r="Y948" s="3"/>
    </row>
    <row r="949" spans="1:25" ht="45" customHeight="1">
      <c r="A949" s="3">
        <v>947</v>
      </c>
      <c r="B949" s="13" t="s">
        <v>3398</v>
      </c>
      <c r="C949" s="13" t="s">
        <v>26</v>
      </c>
      <c r="D949" s="13" t="s">
        <v>441</v>
      </c>
      <c r="E949" s="13" t="s">
        <v>620</v>
      </c>
      <c r="F949" s="13" t="s">
        <v>29</v>
      </c>
      <c r="G949" s="13" t="s">
        <v>30</v>
      </c>
      <c r="H949" s="13" t="s">
        <v>406</v>
      </c>
      <c r="I949" s="27" t="s">
        <v>3399</v>
      </c>
      <c r="J949" s="27" t="s">
        <v>33</v>
      </c>
      <c r="K949" s="27" t="s">
        <v>34</v>
      </c>
      <c r="L949" s="27" t="s">
        <v>408</v>
      </c>
      <c r="M949" s="27" t="s">
        <v>409</v>
      </c>
      <c r="N949" s="17">
        <f>DATE(2025,3,17)</f>
        <v>45733</v>
      </c>
      <c r="O949" s="13" t="s">
        <v>107</v>
      </c>
      <c r="P949" s="13" t="s">
        <v>403</v>
      </c>
      <c r="Q949" s="13" t="s">
        <v>465</v>
      </c>
      <c r="R949" s="13" t="s">
        <v>3400</v>
      </c>
      <c r="S949" s="13" t="s">
        <v>403</v>
      </c>
      <c r="T949" s="28">
        <v>29.08</v>
      </c>
      <c r="U949" s="13" t="s">
        <v>620</v>
      </c>
      <c r="V949" s="13" t="s">
        <v>413</v>
      </c>
      <c r="W949" s="13" t="s">
        <v>30</v>
      </c>
      <c r="X949" s="13"/>
      <c r="Y949" s="3"/>
    </row>
    <row r="950" spans="1:25" ht="45" customHeight="1">
      <c r="A950" s="3">
        <v>948</v>
      </c>
      <c r="B950" s="13" t="s">
        <v>3401</v>
      </c>
      <c r="C950" s="13" t="s">
        <v>26</v>
      </c>
      <c r="D950" s="13" t="s">
        <v>3402</v>
      </c>
      <c r="E950" s="13" t="s">
        <v>762</v>
      </c>
      <c r="F950" s="13" t="s">
        <v>446</v>
      </c>
      <c r="G950" s="13" t="s">
        <v>860</v>
      </c>
      <c r="H950" s="13" t="s">
        <v>406</v>
      </c>
      <c r="I950" s="27" t="s">
        <v>3403</v>
      </c>
      <c r="J950" s="27" t="s">
        <v>33</v>
      </c>
      <c r="K950" s="27" t="s">
        <v>34</v>
      </c>
      <c r="L950" s="27" t="s">
        <v>35</v>
      </c>
      <c r="M950" s="27" t="s">
        <v>36</v>
      </c>
      <c r="N950" s="17">
        <f>DATE(2024,2,5)</f>
        <v>45327</v>
      </c>
      <c r="O950" s="13" t="s">
        <v>107</v>
      </c>
      <c r="P950" s="13" t="s">
        <v>966</v>
      </c>
      <c r="Q950" s="13" t="s">
        <v>670</v>
      </c>
      <c r="R950" s="13" t="s">
        <v>3404</v>
      </c>
      <c r="S950" s="13" t="s">
        <v>449</v>
      </c>
      <c r="T950" s="28">
        <v>33.33</v>
      </c>
      <c r="U950" s="13" t="s">
        <v>765</v>
      </c>
      <c r="V950" s="13" t="s">
        <v>53</v>
      </c>
      <c r="W950" s="13" t="s">
        <v>860</v>
      </c>
      <c r="X950" s="17">
        <f>DATE(2024,5,5)</f>
        <v>45417</v>
      </c>
      <c r="Y950" s="3"/>
    </row>
    <row r="951" spans="1:25" ht="45" customHeight="1">
      <c r="A951" s="3">
        <v>949</v>
      </c>
      <c r="B951" s="13" t="s">
        <v>3405</v>
      </c>
      <c r="C951" s="13" t="s">
        <v>26</v>
      </c>
      <c r="D951" s="13" t="s">
        <v>3406</v>
      </c>
      <c r="E951" s="13" t="s">
        <v>733</v>
      </c>
      <c r="F951" s="13" t="s">
        <v>744</v>
      </c>
      <c r="G951" s="13" t="s">
        <v>38</v>
      </c>
      <c r="H951" s="13" t="s">
        <v>744</v>
      </c>
      <c r="I951" s="27" t="s">
        <v>3407</v>
      </c>
      <c r="J951" s="27" t="s">
        <v>33</v>
      </c>
      <c r="K951" s="27" t="s">
        <v>34</v>
      </c>
      <c r="L951" s="27" t="s">
        <v>35</v>
      </c>
      <c r="M951" s="27" t="s">
        <v>36</v>
      </c>
      <c r="N951" s="17">
        <f>DATE(2024,2,5)</f>
        <v>45327</v>
      </c>
      <c r="O951" s="13" t="s">
        <v>107</v>
      </c>
      <c r="P951" s="13" t="s">
        <v>456</v>
      </c>
      <c r="Q951" s="13" t="s">
        <v>670</v>
      </c>
      <c r="R951" s="13" t="s">
        <v>3408</v>
      </c>
      <c r="S951" s="13" t="s">
        <v>458</v>
      </c>
      <c r="T951" s="28">
        <v>28.97</v>
      </c>
      <c r="U951" s="13" t="s">
        <v>733</v>
      </c>
      <c r="V951" s="13" t="s">
        <v>89</v>
      </c>
      <c r="W951" s="13" t="s">
        <v>778</v>
      </c>
      <c r="X951" s="17">
        <f>DATE(2024,4,15)</f>
        <v>45397</v>
      </c>
      <c r="Y951" s="3"/>
    </row>
    <row r="952" spans="1:25" ht="45" customHeight="1">
      <c r="A952" s="3">
        <v>950</v>
      </c>
      <c r="B952" s="13" t="s">
        <v>3409</v>
      </c>
      <c r="C952" s="13" t="s">
        <v>26</v>
      </c>
      <c r="D952" s="13" t="s">
        <v>3410</v>
      </c>
      <c r="E952" s="13" t="s">
        <v>762</v>
      </c>
      <c r="F952" s="13" t="s">
        <v>706</v>
      </c>
      <c r="G952" s="13" t="s">
        <v>707</v>
      </c>
      <c r="H952" s="13" t="s">
        <v>706</v>
      </c>
      <c r="I952" s="27" t="s">
        <v>3411</v>
      </c>
      <c r="J952" s="27" t="s">
        <v>33</v>
      </c>
      <c r="K952" s="27" t="s">
        <v>34</v>
      </c>
      <c r="L952" s="27" t="s">
        <v>35</v>
      </c>
      <c r="M952" s="27" t="s">
        <v>36</v>
      </c>
      <c r="N952" s="17">
        <f>DATE(2024,2,5)</f>
        <v>45327</v>
      </c>
      <c r="O952" s="13" t="s">
        <v>107</v>
      </c>
      <c r="P952" s="13" t="s">
        <v>709</v>
      </c>
      <c r="Q952" s="13" t="s">
        <v>670</v>
      </c>
      <c r="R952" s="13" t="s">
        <v>3412</v>
      </c>
      <c r="S952" s="13" t="s">
        <v>458</v>
      </c>
      <c r="T952" s="28">
        <v>42.32</v>
      </c>
      <c r="U952" s="13" t="s">
        <v>765</v>
      </c>
      <c r="V952" s="13" t="s">
        <v>146</v>
      </c>
      <c r="W952" s="13" t="s">
        <v>711</v>
      </c>
      <c r="X952" s="17">
        <f>DATE(2024,5,5)</f>
        <v>45417</v>
      </c>
      <c r="Y952" s="3"/>
    </row>
    <row r="953" spans="1:25" ht="45" customHeight="1">
      <c r="A953" s="3">
        <v>951</v>
      </c>
      <c r="B953" s="13" t="s">
        <v>3413</v>
      </c>
      <c r="C953" s="13" t="s">
        <v>103</v>
      </c>
      <c r="D953" s="13" t="s">
        <v>3414</v>
      </c>
      <c r="E953" s="13" t="s">
        <v>445</v>
      </c>
      <c r="F953" s="13" t="s">
        <v>521</v>
      </c>
      <c r="G953" s="13" t="s">
        <v>43</v>
      </c>
      <c r="H953" s="13" t="s">
        <v>406</v>
      </c>
      <c r="I953" s="27" t="s">
        <v>3415</v>
      </c>
      <c r="J953" s="27" t="s">
        <v>33</v>
      </c>
      <c r="K953" s="27" t="s">
        <v>106</v>
      </c>
      <c r="L953" s="27" t="s">
        <v>35</v>
      </c>
      <c r="M953" s="27" t="s">
        <v>36</v>
      </c>
      <c r="N953" s="17">
        <f>DATE(2024,2,5)</f>
        <v>45327</v>
      </c>
      <c r="O953" s="13" t="s">
        <v>107</v>
      </c>
      <c r="P953" s="13" t="s">
        <v>523</v>
      </c>
      <c r="Q953" s="13" t="s">
        <v>431</v>
      </c>
      <c r="R953" s="13" t="s">
        <v>3416</v>
      </c>
      <c r="S953" s="13" t="s">
        <v>525</v>
      </c>
      <c r="T953" s="28">
        <v>25.46</v>
      </c>
      <c r="U953" s="13" t="s">
        <v>445</v>
      </c>
      <c r="V953" s="13" t="s">
        <v>413</v>
      </c>
      <c r="W953" s="13" t="s">
        <v>43</v>
      </c>
      <c r="X953" s="17">
        <f>DATE(2024,5,3)</f>
        <v>45415</v>
      </c>
      <c r="Y953" s="3"/>
    </row>
    <row r="954" spans="1:25" ht="45" customHeight="1">
      <c r="A954" s="3">
        <v>952</v>
      </c>
      <c r="B954" s="13" t="s">
        <v>3417</v>
      </c>
      <c r="C954" s="13" t="s">
        <v>26</v>
      </c>
      <c r="D954" s="13" t="s">
        <v>3418</v>
      </c>
      <c r="E954" s="13" t="s">
        <v>28</v>
      </c>
      <c r="F954" s="13" t="s">
        <v>29</v>
      </c>
      <c r="G954" s="13" t="s">
        <v>72</v>
      </c>
      <c r="H954" s="13" t="s">
        <v>1031</v>
      </c>
      <c r="I954" s="27" t="s">
        <v>3419</v>
      </c>
      <c r="J954" s="27" t="s">
        <v>33</v>
      </c>
      <c r="K954" s="27" t="s">
        <v>34</v>
      </c>
      <c r="L954" s="27" t="s">
        <v>35</v>
      </c>
      <c r="M954" s="27" t="s">
        <v>36</v>
      </c>
      <c r="N954" s="17">
        <f t="shared" ref="N954:N987" si="75">DATE(2024,2,16)</f>
        <v>45338</v>
      </c>
      <c r="O954" s="13" t="s">
        <v>34</v>
      </c>
      <c r="P954" s="13" t="s">
        <v>1149</v>
      </c>
      <c r="Q954" s="13" t="s">
        <v>38</v>
      </c>
      <c r="R954" s="13" t="s">
        <v>365</v>
      </c>
      <c r="S954" s="13" t="s">
        <v>74</v>
      </c>
      <c r="T954" s="28">
        <v>22.95</v>
      </c>
      <c r="U954" s="13" t="s">
        <v>28</v>
      </c>
      <c r="V954" s="13" t="s">
        <v>146</v>
      </c>
      <c r="W954" s="13" t="s">
        <v>72</v>
      </c>
      <c r="X954" s="17">
        <f>DATE(2024,3,5)</f>
        <v>45356</v>
      </c>
      <c r="Y954" s="3"/>
    </row>
    <row r="955" spans="1:25" ht="45" customHeight="1">
      <c r="A955" s="3">
        <v>953</v>
      </c>
      <c r="B955" s="13" t="s">
        <v>3420</v>
      </c>
      <c r="C955" s="13" t="s">
        <v>26</v>
      </c>
      <c r="D955" s="13" t="s">
        <v>3421</v>
      </c>
      <c r="E955" s="13" t="s">
        <v>28</v>
      </c>
      <c r="F955" s="13" t="s">
        <v>687</v>
      </c>
      <c r="G955" s="13" t="s">
        <v>687</v>
      </c>
      <c r="H955" s="13" t="s">
        <v>406</v>
      </c>
      <c r="I955" s="27" t="s">
        <v>3422</v>
      </c>
      <c r="J955" s="27" t="s">
        <v>33</v>
      </c>
      <c r="K955" s="27" t="s">
        <v>34</v>
      </c>
      <c r="L955" s="27" t="s">
        <v>35</v>
      </c>
      <c r="M955" s="27" t="s">
        <v>36</v>
      </c>
      <c r="N955" s="17">
        <f t="shared" si="75"/>
        <v>45338</v>
      </c>
      <c r="O955" s="13" t="s">
        <v>34</v>
      </c>
      <c r="P955" s="13" t="s">
        <v>689</v>
      </c>
      <c r="Q955" s="13" t="s">
        <v>38</v>
      </c>
      <c r="R955" s="13" t="s">
        <v>365</v>
      </c>
      <c r="S955" s="13" t="s">
        <v>403</v>
      </c>
      <c r="T955" s="28">
        <v>22.03</v>
      </c>
      <c r="U955" s="13" t="s">
        <v>28</v>
      </c>
      <c r="V955" s="13" t="s">
        <v>53</v>
      </c>
      <c r="W955" s="13" t="s">
        <v>691</v>
      </c>
      <c r="X955" s="17">
        <f>DATE(2024,3,14)</f>
        <v>45365</v>
      </c>
      <c r="Y955" s="3"/>
    </row>
    <row r="956" spans="1:25" ht="45" customHeight="1">
      <c r="A956" s="3">
        <v>954</v>
      </c>
      <c r="B956" s="13" t="s">
        <v>3423</v>
      </c>
      <c r="C956" s="13" t="s">
        <v>26</v>
      </c>
      <c r="D956" s="13" t="s">
        <v>3424</v>
      </c>
      <c r="E956" s="13" t="s">
        <v>28</v>
      </c>
      <c r="F956" s="13" t="s">
        <v>29</v>
      </c>
      <c r="G956" s="13" t="s">
        <v>48</v>
      </c>
      <c r="H956" s="13" t="s">
        <v>1031</v>
      </c>
      <c r="I956" s="27" t="s">
        <v>3425</v>
      </c>
      <c r="J956" s="27" t="s">
        <v>33</v>
      </c>
      <c r="K956" s="27" t="s">
        <v>34</v>
      </c>
      <c r="L956" s="27" t="s">
        <v>35</v>
      </c>
      <c r="M956" s="27" t="s">
        <v>36</v>
      </c>
      <c r="N956" s="17">
        <f t="shared" si="75"/>
        <v>45338</v>
      </c>
      <c r="O956" s="13" t="s">
        <v>34</v>
      </c>
      <c r="P956" s="13" t="s">
        <v>52</v>
      </c>
      <c r="Q956" s="13" t="s">
        <v>38</v>
      </c>
      <c r="R956" s="13" t="s">
        <v>3426</v>
      </c>
      <c r="S956" s="13" t="s">
        <v>52</v>
      </c>
      <c r="T956" s="28">
        <v>25.73</v>
      </c>
      <c r="U956" s="13" t="s">
        <v>28</v>
      </c>
      <c r="V956" s="13" t="s">
        <v>146</v>
      </c>
      <c r="W956" s="13" t="s">
        <v>48</v>
      </c>
      <c r="X956" s="17">
        <f>DATE(2024,3,5)</f>
        <v>45356</v>
      </c>
      <c r="Y956" s="3"/>
    </row>
    <row r="957" spans="1:25" ht="45" customHeight="1">
      <c r="A957" s="3">
        <v>955</v>
      </c>
      <c r="B957" s="13" t="s">
        <v>3427</v>
      </c>
      <c r="C957" s="13" t="s">
        <v>26</v>
      </c>
      <c r="D957" s="13" t="s">
        <v>3428</v>
      </c>
      <c r="E957" s="13" t="s">
        <v>28</v>
      </c>
      <c r="F957" s="13" t="s">
        <v>417</v>
      </c>
      <c r="G957" s="13" t="s">
        <v>674</v>
      </c>
      <c r="H957" s="13" t="s">
        <v>419</v>
      </c>
      <c r="I957" s="27" t="s">
        <v>3429</v>
      </c>
      <c r="J957" s="27" t="s">
        <v>33</v>
      </c>
      <c r="K957" s="27" t="s">
        <v>34</v>
      </c>
      <c r="L957" s="27" t="s">
        <v>35</v>
      </c>
      <c r="M957" s="27" t="s">
        <v>36</v>
      </c>
      <c r="N957" s="17">
        <f t="shared" si="75"/>
        <v>45338</v>
      </c>
      <c r="O957" s="13" t="s">
        <v>34</v>
      </c>
      <c r="P957" s="13" t="s">
        <v>676</v>
      </c>
      <c r="Q957" s="13" t="s">
        <v>38</v>
      </c>
      <c r="R957" s="13" t="s">
        <v>3430</v>
      </c>
      <c r="S957" s="13" t="s">
        <v>423</v>
      </c>
      <c r="T957" s="28">
        <v>27.8</v>
      </c>
      <c r="U957" s="13" t="s">
        <v>28</v>
      </c>
      <c r="V957" s="13" t="s">
        <v>89</v>
      </c>
      <c r="W957" s="13" t="s">
        <v>678</v>
      </c>
      <c r="X957" s="17">
        <f>DATE(2024,3,6)</f>
        <v>45357</v>
      </c>
      <c r="Y957" s="3"/>
    </row>
    <row r="958" spans="1:25" ht="45" customHeight="1">
      <c r="A958" s="3">
        <v>956</v>
      </c>
      <c r="B958" s="13" t="s">
        <v>3431</v>
      </c>
      <c r="C958" s="13" t="s">
        <v>26</v>
      </c>
      <c r="D958" s="13" t="s">
        <v>3432</v>
      </c>
      <c r="E958" s="13" t="s">
        <v>28</v>
      </c>
      <c r="F958" s="13" t="s">
        <v>491</v>
      </c>
      <c r="G958" s="13" t="s">
        <v>950</v>
      </c>
      <c r="H958" s="13" t="s">
        <v>406</v>
      </c>
      <c r="I958" s="27" t="s">
        <v>3433</v>
      </c>
      <c r="J958" s="27" t="s">
        <v>33</v>
      </c>
      <c r="K958" s="27" t="s">
        <v>34</v>
      </c>
      <c r="L958" s="27" t="s">
        <v>35</v>
      </c>
      <c r="M958" s="27" t="s">
        <v>36</v>
      </c>
      <c r="N958" s="17">
        <f t="shared" si="75"/>
        <v>45338</v>
      </c>
      <c r="O958" s="13" t="s">
        <v>34</v>
      </c>
      <c r="P958" s="13" t="s">
        <v>952</v>
      </c>
      <c r="Q958" s="13" t="s">
        <v>38</v>
      </c>
      <c r="R958" s="13" t="s">
        <v>3434</v>
      </c>
      <c r="S958" s="13" t="s">
        <v>496</v>
      </c>
      <c r="T958" s="28">
        <v>25.42</v>
      </c>
      <c r="U958" s="13" t="s">
        <v>28</v>
      </c>
      <c r="V958" s="13" t="s">
        <v>89</v>
      </c>
      <c r="W958" s="13" t="s">
        <v>954</v>
      </c>
      <c r="X958" s="17">
        <f>DATE(2024,3,8)</f>
        <v>45359</v>
      </c>
      <c r="Y958" s="3"/>
    </row>
    <row r="959" spans="1:25" ht="45" customHeight="1">
      <c r="A959" s="3">
        <v>957</v>
      </c>
      <c r="B959" s="13" t="s">
        <v>3435</v>
      </c>
      <c r="C959" s="13" t="s">
        <v>103</v>
      </c>
      <c r="D959" s="13" t="s">
        <v>3436</v>
      </c>
      <c r="E959" s="13" t="s">
        <v>28</v>
      </c>
      <c r="F959" s="13" t="s">
        <v>29</v>
      </c>
      <c r="G959" s="13" t="s">
        <v>1216</v>
      </c>
      <c r="H959" s="13" t="s">
        <v>1031</v>
      </c>
      <c r="I959" s="27" t="s">
        <v>3437</v>
      </c>
      <c r="J959" s="27" t="s">
        <v>33</v>
      </c>
      <c r="K959" s="27" t="s">
        <v>106</v>
      </c>
      <c r="L959" s="27" t="s">
        <v>35</v>
      </c>
      <c r="M959" s="27" t="s">
        <v>36</v>
      </c>
      <c r="N959" s="17">
        <f t="shared" si="75"/>
        <v>45338</v>
      </c>
      <c r="O959" s="13" t="s">
        <v>107</v>
      </c>
      <c r="P959" s="13" t="s">
        <v>1215</v>
      </c>
      <c r="Q959" s="13" t="s">
        <v>38</v>
      </c>
      <c r="R959" s="13" t="s">
        <v>3438</v>
      </c>
      <c r="S959" s="13" t="s">
        <v>1215</v>
      </c>
      <c r="T959" s="28">
        <v>27.49</v>
      </c>
      <c r="U959" s="13" t="s">
        <v>28</v>
      </c>
      <c r="V959" s="13" t="s">
        <v>146</v>
      </c>
      <c r="W959" s="13" t="s">
        <v>1219</v>
      </c>
      <c r="X959" s="17">
        <f>DATE(2024,3,14)</f>
        <v>45365</v>
      </c>
      <c r="Y959" s="3"/>
    </row>
    <row r="960" spans="1:25" ht="45" customHeight="1">
      <c r="A960" s="3">
        <v>958</v>
      </c>
      <c r="B960" s="13" t="s">
        <v>3439</v>
      </c>
      <c r="C960" s="13" t="s">
        <v>26</v>
      </c>
      <c r="D960" s="13" t="s">
        <v>3440</v>
      </c>
      <c r="E960" s="13" t="s">
        <v>28</v>
      </c>
      <c r="F960" s="13" t="s">
        <v>29</v>
      </c>
      <c r="G960" s="13" t="s">
        <v>72</v>
      </c>
      <c r="H960" s="13" t="s">
        <v>1031</v>
      </c>
      <c r="I960" s="27" t="s">
        <v>3441</v>
      </c>
      <c r="J960" s="27" t="s">
        <v>33</v>
      </c>
      <c r="K960" s="27" t="s">
        <v>34</v>
      </c>
      <c r="L960" s="27" t="s">
        <v>1291</v>
      </c>
      <c r="M960" s="27" t="s">
        <v>1681</v>
      </c>
      <c r="N960" s="17">
        <f t="shared" si="75"/>
        <v>45338</v>
      </c>
      <c r="O960" s="13" t="s">
        <v>34</v>
      </c>
      <c r="P960" s="13" t="s">
        <v>1144</v>
      </c>
      <c r="Q960" s="13" t="s">
        <v>38</v>
      </c>
      <c r="R960" s="13" t="s">
        <v>3442</v>
      </c>
      <c r="S960" s="13" t="s">
        <v>74</v>
      </c>
      <c r="T960" s="28">
        <v>26.73</v>
      </c>
      <c r="U960" s="13" t="s">
        <v>28</v>
      </c>
      <c r="V960" s="13" t="s">
        <v>53</v>
      </c>
      <c r="W960" s="13" t="s">
        <v>72</v>
      </c>
      <c r="X960" s="17">
        <f>DATE(2024,3,5)</f>
        <v>45356</v>
      </c>
      <c r="Y960" s="3"/>
    </row>
    <row r="961" spans="1:25" ht="45" customHeight="1">
      <c r="A961" s="3">
        <v>959</v>
      </c>
      <c r="B961" s="13" t="s">
        <v>3443</v>
      </c>
      <c r="C961" s="13" t="s">
        <v>26</v>
      </c>
      <c r="D961" s="13" t="s">
        <v>3444</v>
      </c>
      <c r="E961" s="13" t="s">
        <v>28</v>
      </c>
      <c r="F961" s="13" t="s">
        <v>29</v>
      </c>
      <c r="G961" s="13" t="s">
        <v>123</v>
      </c>
      <c r="H961" s="13" t="s">
        <v>1031</v>
      </c>
      <c r="I961" s="27" t="s">
        <v>3445</v>
      </c>
      <c r="J961" s="27" t="s">
        <v>33</v>
      </c>
      <c r="K961" s="27" t="s">
        <v>34</v>
      </c>
      <c r="L961" s="27" t="s">
        <v>35</v>
      </c>
      <c r="M961" s="27" t="s">
        <v>36</v>
      </c>
      <c r="N961" s="17">
        <f t="shared" si="75"/>
        <v>45338</v>
      </c>
      <c r="O961" s="13" t="s">
        <v>34</v>
      </c>
      <c r="P961" s="13" t="s">
        <v>1199</v>
      </c>
      <c r="Q961" s="13" t="s">
        <v>38</v>
      </c>
      <c r="R961" s="13" t="s">
        <v>3446</v>
      </c>
      <c r="S961" s="13" t="s">
        <v>127</v>
      </c>
      <c r="T961" s="28">
        <v>25.8</v>
      </c>
      <c r="U961" s="13" t="s">
        <v>28</v>
      </c>
      <c r="V961" s="13" t="s">
        <v>53</v>
      </c>
      <c r="W961" s="13" t="s">
        <v>128</v>
      </c>
      <c r="X961" s="17">
        <f>DATE(2024,3,11)</f>
        <v>45362</v>
      </c>
      <c r="Y961" s="3"/>
    </row>
    <row r="962" spans="1:25" ht="45" customHeight="1">
      <c r="A962" s="3">
        <v>960</v>
      </c>
      <c r="B962" s="13" t="s">
        <v>3447</v>
      </c>
      <c r="C962" s="13" t="s">
        <v>26</v>
      </c>
      <c r="D962" s="13" t="s">
        <v>3448</v>
      </c>
      <c r="E962" s="13" t="s">
        <v>1064</v>
      </c>
      <c r="F962" s="13" t="s">
        <v>29</v>
      </c>
      <c r="G962" s="13" t="s">
        <v>30</v>
      </c>
      <c r="H962" s="13" t="s">
        <v>1031</v>
      </c>
      <c r="I962" s="27" t="s">
        <v>3449</v>
      </c>
      <c r="J962" s="27" t="s">
        <v>33</v>
      </c>
      <c r="K962" s="27" t="s">
        <v>34</v>
      </c>
      <c r="L962" s="27" t="s">
        <v>35</v>
      </c>
      <c r="M962" s="27" t="s">
        <v>36</v>
      </c>
      <c r="N962" s="17">
        <f t="shared" si="75"/>
        <v>45338</v>
      </c>
      <c r="O962" s="13" t="s">
        <v>34</v>
      </c>
      <c r="P962" s="13" t="s">
        <v>1781</v>
      </c>
      <c r="Q962" s="13" t="s">
        <v>38</v>
      </c>
      <c r="R962" s="13" t="s">
        <v>3450</v>
      </c>
      <c r="S962" s="13" t="s">
        <v>37</v>
      </c>
      <c r="T962" s="28">
        <v>28.88</v>
      </c>
      <c r="U962" s="13" t="s">
        <v>365</v>
      </c>
      <c r="V962" s="13" t="s">
        <v>53</v>
      </c>
      <c r="W962" s="13" t="s">
        <v>30</v>
      </c>
      <c r="X962" s="17">
        <f>DATE(2024,3,6)</f>
        <v>45357</v>
      </c>
      <c r="Y962" s="3"/>
    </row>
    <row r="963" spans="1:25" ht="45" customHeight="1">
      <c r="A963" s="3">
        <v>961</v>
      </c>
      <c r="B963" s="13" t="s">
        <v>3451</v>
      </c>
      <c r="C963" s="13" t="s">
        <v>103</v>
      </c>
      <c r="D963" s="13" t="s">
        <v>3452</v>
      </c>
      <c r="E963" s="13" t="s">
        <v>28</v>
      </c>
      <c r="F963" s="13" t="s">
        <v>29</v>
      </c>
      <c r="G963" s="13" t="s">
        <v>1216</v>
      </c>
      <c r="H963" s="13" t="s">
        <v>1031</v>
      </c>
      <c r="I963" s="27" t="s">
        <v>3453</v>
      </c>
      <c r="J963" s="27" t="s">
        <v>33</v>
      </c>
      <c r="K963" s="27" t="s">
        <v>106</v>
      </c>
      <c r="L963" s="27" t="s">
        <v>35</v>
      </c>
      <c r="M963" s="27" t="s">
        <v>36</v>
      </c>
      <c r="N963" s="17">
        <f t="shared" si="75"/>
        <v>45338</v>
      </c>
      <c r="O963" s="13" t="s">
        <v>34</v>
      </c>
      <c r="P963" s="13" t="s">
        <v>1221</v>
      </c>
      <c r="Q963" s="13" t="s">
        <v>38</v>
      </c>
      <c r="R963" s="13" t="s">
        <v>3454</v>
      </c>
      <c r="S963" s="13" t="s">
        <v>1215</v>
      </c>
      <c r="T963" s="28">
        <v>28.08</v>
      </c>
      <c r="U963" s="13" t="s">
        <v>28</v>
      </c>
      <c r="V963" s="13" t="s">
        <v>53</v>
      </c>
      <c r="W963" s="13" t="s">
        <v>1219</v>
      </c>
      <c r="X963" s="17">
        <f>DATE(2024,3,14)</f>
        <v>45365</v>
      </c>
      <c r="Y963" s="3"/>
    </row>
    <row r="964" spans="1:25" ht="45" customHeight="1">
      <c r="A964" s="3">
        <v>962</v>
      </c>
      <c r="B964" s="13" t="s">
        <v>3455</v>
      </c>
      <c r="C964" s="13" t="s">
        <v>103</v>
      </c>
      <c r="D964" s="13" t="s">
        <v>3456</v>
      </c>
      <c r="E964" s="13" t="s">
        <v>28</v>
      </c>
      <c r="F964" s="13" t="s">
        <v>29</v>
      </c>
      <c r="G964" s="13" t="s">
        <v>56</v>
      </c>
      <c r="H964" s="13" t="s">
        <v>1031</v>
      </c>
      <c r="I964" s="27" t="s">
        <v>3457</v>
      </c>
      <c r="J964" s="27" t="s">
        <v>33</v>
      </c>
      <c r="K964" s="27" t="s">
        <v>106</v>
      </c>
      <c r="L964" s="27" t="s">
        <v>1291</v>
      </c>
      <c r="M964" s="27" t="s">
        <v>1681</v>
      </c>
      <c r="N964" s="17">
        <f t="shared" si="75"/>
        <v>45338</v>
      </c>
      <c r="O964" s="13" t="s">
        <v>1198</v>
      </c>
      <c r="P964" s="13" t="s">
        <v>58</v>
      </c>
      <c r="Q964" s="13" t="s">
        <v>38</v>
      </c>
      <c r="R964" s="13" t="s">
        <v>3458</v>
      </c>
      <c r="S964" s="13" t="s">
        <v>58</v>
      </c>
      <c r="T964" s="28">
        <v>25.98</v>
      </c>
      <c r="U964" s="13" t="s">
        <v>28</v>
      </c>
      <c r="V964" s="13" t="s">
        <v>53</v>
      </c>
      <c r="W964" s="13" t="s">
        <v>56</v>
      </c>
      <c r="X964" s="17">
        <f>DATE(2024,3,10)</f>
        <v>45361</v>
      </c>
      <c r="Y964" s="3"/>
    </row>
    <row r="965" spans="1:25" ht="45" customHeight="1">
      <c r="A965" s="3">
        <v>963</v>
      </c>
      <c r="B965" s="13" t="s">
        <v>3459</v>
      </c>
      <c r="C965" s="13" t="s">
        <v>26</v>
      </c>
      <c r="D965" s="13" t="s">
        <v>3460</v>
      </c>
      <c r="E965" s="13" t="s">
        <v>28</v>
      </c>
      <c r="F965" s="13" t="s">
        <v>29</v>
      </c>
      <c r="G965" s="13" t="s">
        <v>72</v>
      </c>
      <c r="H965" s="13" t="s">
        <v>1031</v>
      </c>
      <c r="I965" s="27" t="s">
        <v>3461</v>
      </c>
      <c r="J965" s="27" t="s">
        <v>33</v>
      </c>
      <c r="K965" s="27" t="s">
        <v>34</v>
      </c>
      <c r="L965" s="27" t="s">
        <v>35</v>
      </c>
      <c r="M965" s="27" t="s">
        <v>36</v>
      </c>
      <c r="N965" s="17">
        <f t="shared" si="75"/>
        <v>45338</v>
      </c>
      <c r="O965" s="13" t="s">
        <v>34</v>
      </c>
      <c r="P965" s="13" t="s">
        <v>1100</v>
      </c>
      <c r="Q965" s="13" t="s">
        <v>38</v>
      </c>
      <c r="R965" s="13" t="s">
        <v>3462</v>
      </c>
      <c r="S965" s="13" t="s">
        <v>74</v>
      </c>
      <c r="T965" s="28">
        <v>26.47</v>
      </c>
      <c r="U965" s="13" t="s">
        <v>28</v>
      </c>
      <c r="V965" s="13" t="s">
        <v>89</v>
      </c>
      <c r="W965" s="13" t="s">
        <v>72</v>
      </c>
      <c r="X965" s="17">
        <f>DATE(2024,3,5)</f>
        <v>45356</v>
      </c>
      <c r="Y965" s="3"/>
    </row>
    <row r="966" spans="1:25" ht="45" customHeight="1">
      <c r="A966" s="3">
        <v>964</v>
      </c>
      <c r="B966" s="13" t="s">
        <v>3463</v>
      </c>
      <c r="C966" s="13" t="s">
        <v>103</v>
      </c>
      <c r="D966" s="13" t="s">
        <v>3464</v>
      </c>
      <c r="E966" s="13" t="s">
        <v>28</v>
      </c>
      <c r="F966" s="13" t="s">
        <v>29</v>
      </c>
      <c r="G966" s="13" t="s">
        <v>1216</v>
      </c>
      <c r="H966" s="13" t="s">
        <v>1031</v>
      </c>
      <c r="I966" s="27" t="s">
        <v>3465</v>
      </c>
      <c r="J966" s="27" t="s">
        <v>33</v>
      </c>
      <c r="K966" s="27" t="s">
        <v>106</v>
      </c>
      <c r="L966" s="27" t="s">
        <v>35</v>
      </c>
      <c r="M966" s="27" t="s">
        <v>36</v>
      </c>
      <c r="N966" s="17">
        <f t="shared" si="75"/>
        <v>45338</v>
      </c>
      <c r="O966" s="13" t="s">
        <v>1198</v>
      </c>
      <c r="P966" s="13" t="s">
        <v>1215</v>
      </c>
      <c r="Q966" s="13" t="s">
        <v>38</v>
      </c>
      <c r="R966" s="13" t="s">
        <v>3466</v>
      </c>
      <c r="S966" s="13" t="s">
        <v>1215</v>
      </c>
      <c r="T966" s="28">
        <v>40.1</v>
      </c>
      <c r="U966" s="13" t="s">
        <v>28</v>
      </c>
      <c r="V966" s="13" t="s">
        <v>146</v>
      </c>
      <c r="W966" s="13" t="s">
        <v>1219</v>
      </c>
      <c r="X966" s="17">
        <f>DATE(2024,3,14)</f>
        <v>45365</v>
      </c>
      <c r="Y966" s="3"/>
    </row>
    <row r="967" spans="1:25" ht="45" customHeight="1">
      <c r="A967" s="3">
        <v>965</v>
      </c>
      <c r="B967" s="13" t="s">
        <v>3467</v>
      </c>
      <c r="C967" s="13" t="s">
        <v>26</v>
      </c>
      <c r="D967" s="13" t="s">
        <v>3468</v>
      </c>
      <c r="E967" s="13" t="s">
        <v>28</v>
      </c>
      <c r="F967" s="13" t="s">
        <v>491</v>
      </c>
      <c r="G967" s="13" t="s">
        <v>950</v>
      </c>
      <c r="H967" s="13" t="s">
        <v>406</v>
      </c>
      <c r="I967" s="27" t="s">
        <v>3469</v>
      </c>
      <c r="J967" s="27" t="s">
        <v>33</v>
      </c>
      <c r="K967" s="27" t="s">
        <v>34</v>
      </c>
      <c r="L967" s="27" t="s">
        <v>35</v>
      </c>
      <c r="M967" s="27" t="s">
        <v>36</v>
      </c>
      <c r="N967" s="17">
        <f t="shared" si="75"/>
        <v>45338</v>
      </c>
      <c r="O967" s="13" t="s">
        <v>34</v>
      </c>
      <c r="P967" s="13" t="s">
        <v>952</v>
      </c>
      <c r="Q967" s="13" t="s">
        <v>38</v>
      </c>
      <c r="R967" s="13" t="s">
        <v>3470</v>
      </c>
      <c r="S967" s="13" t="s">
        <v>496</v>
      </c>
      <c r="T967" s="28">
        <v>27.31</v>
      </c>
      <c r="U967" s="13" t="s">
        <v>28</v>
      </c>
      <c r="V967" s="13" t="s">
        <v>146</v>
      </c>
      <c r="W967" s="13" t="s">
        <v>954</v>
      </c>
      <c r="X967" s="17">
        <f>DATE(2024,3,8)</f>
        <v>45359</v>
      </c>
      <c r="Y967" s="3"/>
    </row>
    <row r="968" spans="1:25" ht="45" customHeight="1">
      <c r="A968" s="3">
        <v>966</v>
      </c>
      <c r="B968" s="13" t="s">
        <v>3471</v>
      </c>
      <c r="C968" s="13" t="s">
        <v>103</v>
      </c>
      <c r="D968" s="13" t="s">
        <v>3472</v>
      </c>
      <c r="E968" s="13" t="s">
        <v>28</v>
      </c>
      <c r="F968" s="13" t="s">
        <v>29</v>
      </c>
      <c r="G968" s="13" t="s">
        <v>85</v>
      </c>
      <c r="H968" s="13" t="s">
        <v>1031</v>
      </c>
      <c r="I968" s="27" t="s">
        <v>3473</v>
      </c>
      <c r="J968" s="27" t="s">
        <v>33</v>
      </c>
      <c r="K968" s="27" t="s">
        <v>106</v>
      </c>
      <c r="L968" s="27" t="s">
        <v>35</v>
      </c>
      <c r="M968" s="27" t="s">
        <v>36</v>
      </c>
      <c r="N968" s="17">
        <f t="shared" si="75"/>
        <v>45338</v>
      </c>
      <c r="O968" s="13" t="s">
        <v>34</v>
      </c>
      <c r="P968" s="13" t="s">
        <v>1060</v>
      </c>
      <c r="Q968" s="13" t="s">
        <v>38</v>
      </c>
      <c r="R968" s="13" t="s">
        <v>3474</v>
      </c>
      <c r="S968" s="13" t="s">
        <v>87</v>
      </c>
      <c r="T968" s="28">
        <v>26.14</v>
      </c>
      <c r="U968" s="13" t="s">
        <v>28</v>
      </c>
      <c r="V968" s="13" t="s">
        <v>53</v>
      </c>
      <c r="W968" s="13" t="s">
        <v>85</v>
      </c>
      <c r="X968" s="17">
        <f>DATE(2024,3,11)</f>
        <v>45362</v>
      </c>
      <c r="Y968" s="3"/>
    </row>
    <row r="969" spans="1:25" ht="45" customHeight="1">
      <c r="A969" s="3">
        <v>967</v>
      </c>
      <c r="B969" s="13" t="s">
        <v>3475</v>
      </c>
      <c r="C969" s="13" t="s">
        <v>103</v>
      </c>
      <c r="D969" s="13" t="s">
        <v>3476</v>
      </c>
      <c r="E969" s="13" t="s">
        <v>28</v>
      </c>
      <c r="F969" s="13" t="s">
        <v>29</v>
      </c>
      <c r="G969" s="13" t="s">
        <v>1216</v>
      </c>
      <c r="H969" s="13" t="s">
        <v>1031</v>
      </c>
      <c r="I969" s="27" t="s">
        <v>3477</v>
      </c>
      <c r="J969" s="27" t="s">
        <v>33</v>
      </c>
      <c r="K969" s="27" t="s">
        <v>106</v>
      </c>
      <c r="L969" s="27" t="s">
        <v>35</v>
      </c>
      <c r="M969" s="27" t="s">
        <v>36</v>
      </c>
      <c r="N969" s="17">
        <f t="shared" si="75"/>
        <v>45338</v>
      </c>
      <c r="O969" s="13" t="s">
        <v>107</v>
      </c>
      <c r="P969" s="13" t="s">
        <v>1231</v>
      </c>
      <c r="Q969" s="13" t="s">
        <v>38</v>
      </c>
      <c r="R969" s="13" t="s">
        <v>3478</v>
      </c>
      <c r="S969" s="13" t="s">
        <v>1215</v>
      </c>
      <c r="T969" s="28">
        <v>31.2</v>
      </c>
      <c r="U969" s="13" t="s">
        <v>28</v>
      </c>
      <c r="V969" s="13" t="s">
        <v>89</v>
      </c>
      <c r="W969" s="13" t="s">
        <v>1219</v>
      </c>
      <c r="X969" s="17">
        <f>DATE(2024,3,14)</f>
        <v>45365</v>
      </c>
      <c r="Y969" s="3"/>
    </row>
    <row r="970" spans="1:25" ht="45" customHeight="1">
      <c r="A970" s="3">
        <v>968</v>
      </c>
      <c r="B970" s="13" t="s">
        <v>3479</v>
      </c>
      <c r="C970" s="13" t="s">
        <v>103</v>
      </c>
      <c r="D970" s="13" t="s">
        <v>3480</v>
      </c>
      <c r="E970" s="13" t="s">
        <v>28</v>
      </c>
      <c r="F970" s="13" t="s">
        <v>29</v>
      </c>
      <c r="G970" s="13" t="s">
        <v>680</v>
      </c>
      <c r="H970" s="13" t="s">
        <v>1031</v>
      </c>
      <c r="I970" s="27" t="s">
        <v>3481</v>
      </c>
      <c r="J970" s="27" t="s">
        <v>33</v>
      </c>
      <c r="K970" s="27" t="s">
        <v>106</v>
      </c>
      <c r="L970" s="27" t="s">
        <v>35</v>
      </c>
      <c r="M970" s="27" t="s">
        <v>36</v>
      </c>
      <c r="N970" s="17">
        <f t="shared" si="75"/>
        <v>45338</v>
      </c>
      <c r="O970" s="13" t="s">
        <v>1198</v>
      </c>
      <c r="P970" s="13" t="s">
        <v>182</v>
      </c>
      <c r="Q970" s="13" t="s">
        <v>38</v>
      </c>
      <c r="R970" s="13" t="s">
        <v>3482</v>
      </c>
      <c r="S970" s="13" t="s">
        <v>52</v>
      </c>
      <c r="T970" s="28">
        <v>23.02</v>
      </c>
      <c r="U970" s="13" t="s">
        <v>28</v>
      </c>
      <c r="V970" s="13" t="s">
        <v>89</v>
      </c>
      <c r="W970" s="13" t="s">
        <v>683</v>
      </c>
      <c r="X970" s="17">
        <f>DATE(2024,3,5)</f>
        <v>45356</v>
      </c>
      <c r="Y970" s="3"/>
    </row>
    <row r="971" spans="1:25" ht="45" customHeight="1">
      <c r="A971" s="3">
        <v>969</v>
      </c>
      <c r="B971" s="13" t="s">
        <v>3483</v>
      </c>
      <c r="C971" s="13" t="s">
        <v>103</v>
      </c>
      <c r="D971" s="13" t="s">
        <v>3484</v>
      </c>
      <c r="E971" s="13" t="s">
        <v>28</v>
      </c>
      <c r="F971" s="13" t="s">
        <v>29</v>
      </c>
      <c r="G971" s="13" t="s">
        <v>537</v>
      </c>
      <c r="H971" s="13" t="s">
        <v>1031</v>
      </c>
      <c r="I971" s="27" t="s">
        <v>3485</v>
      </c>
      <c r="J971" s="27" t="s">
        <v>33</v>
      </c>
      <c r="K971" s="27" t="s">
        <v>106</v>
      </c>
      <c r="L971" s="27" t="s">
        <v>35</v>
      </c>
      <c r="M971" s="27" t="s">
        <v>36</v>
      </c>
      <c r="N971" s="17">
        <f t="shared" si="75"/>
        <v>45338</v>
      </c>
      <c r="O971" s="13" t="s">
        <v>34</v>
      </c>
      <c r="P971" s="13" t="s">
        <v>64</v>
      </c>
      <c r="Q971" s="13" t="s">
        <v>38</v>
      </c>
      <c r="R971" s="13" t="s">
        <v>365</v>
      </c>
      <c r="S971" s="13" t="s">
        <v>64</v>
      </c>
      <c r="T971" s="28">
        <v>28.03</v>
      </c>
      <c r="U971" s="13" t="s">
        <v>28</v>
      </c>
      <c r="V971" s="13" t="s">
        <v>89</v>
      </c>
      <c r="W971" s="13" t="s">
        <v>537</v>
      </c>
      <c r="X971" s="17">
        <f>DATE(2024,3,5)</f>
        <v>45356</v>
      </c>
      <c r="Y971" s="3"/>
    </row>
    <row r="972" spans="1:25" ht="45" customHeight="1">
      <c r="A972" s="3">
        <v>970</v>
      </c>
      <c r="B972" s="13" t="s">
        <v>3486</v>
      </c>
      <c r="C972" s="13" t="s">
        <v>26</v>
      </c>
      <c r="D972" s="13" t="s">
        <v>3487</v>
      </c>
      <c r="E972" s="13" t="s">
        <v>28</v>
      </c>
      <c r="F972" s="13" t="s">
        <v>29</v>
      </c>
      <c r="G972" s="13" t="s">
        <v>72</v>
      </c>
      <c r="H972" s="13" t="s">
        <v>1031</v>
      </c>
      <c r="I972" s="27" t="s">
        <v>3488</v>
      </c>
      <c r="J972" s="27" t="s">
        <v>33</v>
      </c>
      <c r="K972" s="27" t="s">
        <v>34</v>
      </c>
      <c r="L972" s="27" t="s">
        <v>35</v>
      </c>
      <c r="M972" s="27" t="s">
        <v>36</v>
      </c>
      <c r="N972" s="17">
        <f t="shared" si="75"/>
        <v>45338</v>
      </c>
      <c r="O972" s="13" t="s">
        <v>34</v>
      </c>
      <c r="P972" s="13" t="s">
        <v>1149</v>
      </c>
      <c r="Q972" s="13" t="s">
        <v>38</v>
      </c>
      <c r="R972" s="13" t="s">
        <v>365</v>
      </c>
      <c r="S972" s="13" t="s">
        <v>74</v>
      </c>
      <c r="T972" s="28">
        <v>24.39</v>
      </c>
      <c r="U972" s="13" t="s">
        <v>28</v>
      </c>
      <c r="V972" s="13" t="s">
        <v>146</v>
      </c>
      <c r="W972" s="13" t="s">
        <v>72</v>
      </c>
      <c r="X972" s="17">
        <f>DATE(2024,3,5)</f>
        <v>45356</v>
      </c>
      <c r="Y972" s="3"/>
    </row>
    <row r="973" spans="1:25" ht="45" customHeight="1">
      <c r="A973" s="3">
        <v>971</v>
      </c>
      <c r="B973" s="13" t="s">
        <v>3489</v>
      </c>
      <c r="C973" s="13" t="s">
        <v>26</v>
      </c>
      <c r="D973" s="13" t="s">
        <v>3490</v>
      </c>
      <c r="E973" s="13" t="s">
        <v>28</v>
      </c>
      <c r="F973" s="13" t="s">
        <v>29</v>
      </c>
      <c r="G973" s="13" t="s">
        <v>85</v>
      </c>
      <c r="H973" s="13" t="s">
        <v>1031</v>
      </c>
      <c r="I973" s="27" t="s">
        <v>3491</v>
      </c>
      <c r="J973" s="27" t="s">
        <v>33</v>
      </c>
      <c r="K973" s="27" t="s">
        <v>34</v>
      </c>
      <c r="L973" s="27" t="s">
        <v>35</v>
      </c>
      <c r="M973" s="27" t="s">
        <v>36</v>
      </c>
      <c r="N973" s="17">
        <f t="shared" si="75"/>
        <v>45338</v>
      </c>
      <c r="O973" s="13" t="s">
        <v>34</v>
      </c>
      <c r="P973" s="13" t="s">
        <v>87</v>
      </c>
      <c r="Q973" s="13" t="s">
        <v>38</v>
      </c>
      <c r="R973" s="13" t="s">
        <v>365</v>
      </c>
      <c r="S973" s="13" t="s">
        <v>87</v>
      </c>
      <c r="T973" s="28">
        <v>29.87</v>
      </c>
      <c r="U973" s="13" t="s">
        <v>28</v>
      </c>
      <c r="V973" s="13" t="s">
        <v>89</v>
      </c>
      <c r="W973" s="13" t="s">
        <v>85</v>
      </c>
      <c r="X973" s="17">
        <f>DATE(2024,3,11)</f>
        <v>45362</v>
      </c>
      <c r="Y973" s="3"/>
    </row>
    <row r="974" spans="1:25" ht="45" customHeight="1">
      <c r="A974" s="3">
        <v>972</v>
      </c>
      <c r="B974" s="13" t="s">
        <v>3492</v>
      </c>
      <c r="C974" s="13" t="s">
        <v>103</v>
      </c>
      <c r="D974" s="13" t="s">
        <v>3493</v>
      </c>
      <c r="E974" s="13" t="s">
        <v>28</v>
      </c>
      <c r="F974" s="13" t="s">
        <v>475</v>
      </c>
      <c r="G974" s="13" t="s">
        <v>476</v>
      </c>
      <c r="H974" s="13" t="s">
        <v>406</v>
      </c>
      <c r="I974" s="27" t="s">
        <v>3494</v>
      </c>
      <c r="J974" s="27" t="s">
        <v>33</v>
      </c>
      <c r="K974" s="27" t="s">
        <v>106</v>
      </c>
      <c r="L974" s="27" t="s">
        <v>35</v>
      </c>
      <c r="M974" s="27" t="s">
        <v>36</v>
      </c>
      <c r="N974" s="17">
        <f t="shared" si="75"/>
        <v>45338</v>
      </c>
      <c r="O974" s="13" t="s">
        <v>34</v>
      </c>
      <c r="P974" s="13" t="s">
        <v>473</v>
      </c>
      <c r="Q974" s="13" t="s">
        <v>38</v>
      </c>
      <c r="R974" s="13" t="s">
        <v>3495</v>
      </c>
      <c r="S974" s="13" t="s">
        <v>478</v>
      </c>
      <c r="T974" s="28">
        <v>28.89</v>
      </c>
      <c r="U974" s="13" t="s">
        <v>28</v>
      </c>
      <c r="V974" s="13" t="s">
        <v>146</v>
      </c>
      <c r="W974" s="13" t="s">
        <v>476</v>
      </c>
      <c r="X974" s="17">
        <f>DATE(2024,3,16)</f>
        <v>45367</v>
      </c>
      <c r="Y974" s="3"/>
    </row>
    <row r="975" spans="1:25" ht="45" customHeight="1">
      <c r="A975" s="3">
        <v>973</v>
      </c>
      <c r="B975" s="13" t="s">
        <v>3496</v>
      </c>
      <c r="C975" s="13" t="s">
        <v>103</v>
      </c>
      <c r="D975" s="13" t="s">
        <v>3497</v>
      </c>
      <c r="E975" s="13" t="s">
        <v>28</v>
      </c>
      <c r="F975" s="13" t="s">
        <v>29</v>
      </c>
      <c r="G975" s="13" t="s">
        <v>680</v>
      </c>
      <c r="H975" s="13" t="s">
        <v>1031</v>
      </c>
      <c r="I975" s="27" t="s">
        <v>3498</v>
      </c>
      <c r="J975" s="27" t="s">
        <v>33</v>
      </c>
      <c r="K975" s="27" t="s">
        <v>106</v>
      </c>
      <c r="L975" s="27" t="s">
        <v>35</v>
      </c>
      <c r="M975" s="27" t="s">
        <v>36</v>
      </c>
      <c r="N975" s="17">
        <f t="shared" si="75"/>
        <v>45338</v>
      </c>
      <c r="O975" s="13" t="s">
        <v>107</v>
      </c>
      <c r="P975" s="13" t="s">
        <v>50</v>
      </c>
      <c r="Q975" s="13" t="s">
        <v>38</v>
      </c>
      <c r="R975" s="13" t="s">
        <v>365</v>
      </c>
      <c r="S975" s="13" t="s">
        <v>52</v>
      </c>
      <c r="T975" s="28">
        <v>20.95</v>
      </c>
      <c r="U975" s="13" t="s">
        <v>28</v>
      </c>
      <c r="V975" s="13" t="s">
        <v>53</v>
      </c>
      <c r="W975" s="13" t="s">
        <v>683</v>
      </c>
      <c r="X975" s="17">
        <f>DATE(2024,3,5)</f>
        <v>45356</v>
      </c>
      <c r="Y975" s="3"/>
    </row>
    <row r="976" spans="1:25" ht="45" customHeight="1">
      <c r="A976" s="3">
        <v>974</v>
      </c>
      <c r="B976" s="13" t="s">
        <v>3499</v>
      </c>
      <c r="C976" s="13" t="s">
        <v>103</v>
      </c>
      <c r="D976" s="13" t="s">
        <v>3500</v>
      </c>
      <c r="E976" s="13" t="s">
        <v>28</v>
      </c>
      <c r="F976" s="13" t="s">
        <v>29</v>
      </c>
      <c r="G976" s="13" t="s">
        <v>1216</v>
      </c>
      <c r="H976" s="13" t="s">
        <v>1031</v>
      </c>
      <c r="I976" s="27" t="s">
        <v>3501</v>
      </c>
      <c r="J976" s="27" t="s">
        <v>33</v>
      </c>
      <c r="K976" s="27" t="s">
        <v>106</v>
      </c>
      <c r="L976" s="27" t="s">
        <v>35</v>
      </c>
      <c r="M976" s="27" t="s">
        <v>36</v>
      </c>
      <c r="N976" s="17">
        <f t="shared" si="75"/>
        <v>45338</v>
      </c>
      <c r="O976" s="13" t="s">
        <v>34</v>
      </c>
      <c r="P976" s="13" t="s">
        <v>1221</v>
      </c>
      <c r="Q976" s="13" t="s">
        <v>38</v>
      </c>
      <c r="R976" s="13" t="s">
        <v>365</v>
      </c>
      <c r="S976" s="13" t="s">
        <v>1215</v>
      </c>
      <c r="T976" s="28">
        <v>39.64</v>
      </c>
      <c r="U976" s="13" t="s">
        <v>28</v>
      </c>
      <c r="V976" s="13" t="s">
        <v>53</v>
      </c>
      <c r="W976" s="13" t="s">
        <v>1219</v>
      </c>
      <c r="X976" s="17">
        <f>DATE(2024,3,14)</f>
        <v>45365</v>
      </c>
      <c r="Y976" s="3"/>
    </row>
    <row r="977" spans="1:25" ht="45" customHeight="1">
      <c r="A977" s="3">
        <v>975</v>
      </c>
      <c r="B977" s="13" t="s">
        <v>3502</v>
      </c>
      <c r="C977" s="13" t="s">
        <v>26</v>
      </c>
      <c r="D977" s="13" t="s">
        <v>3503</v>
      </c>
      <c r="E977" s="13" t="s">
        <v>1064</v>
      </c>
      <c r="F977" s="13" t="s">
        <v>29</v>
      </c>
      <c r="G977" s="13" t="s">
        <v>30</v>
      </c>
      <c r="H977" s="13" t="s">
        <v>1031</v>
      </c>
      <c r="I977" s="27" t="s">
        <v>3504</v>
      </c>
      <c r="J977" s="27" t="s">
        <v>33</v>
      </c>
      <c r="K977" s="27" t="s">
        <v>34</v>
      </c>
      <c r="L977" s="27" t="s">
        <v>35</v>
      </c>
      <c r="M977" s="27" t="s">
        <v>36</v>
      </c>
      <c r="N977" s="17">
        <f t="shared" si="75"/>
        <v>45338</v>
      </c>
      <c r="O977" s="13" t="s">
        <v>34</v>
      </c>
      <c r="P977" s="13" t="s">
        <v>1781</v>
      </c>
      <c r="Q977" s="13" t="s">
        <v>38</v>
      </c>
      <c r="R977" s="13" t="s">
        <v>365</v>
      </c>
      <c r="S977" s="13" t="s">
        <v>37</v>
      </c>
      <c r="T977" s="28">
        <v>33.29</v>
      </c>
      <c r="U977" s="13" t="s">
        <v>365</v>
      </c>
      <c r="V977" s="13" t="s">
        <v>53</v>
      </c>
      <c r="W977" s="13" t="s">
        <v>30</v>
      </c>
      <c r="X977" s="17">
        <f>DATE(2024,3,6)</f>
        <v>45357</v>
      </c>
      <c r="Y977" s="3"/>
    </row>
    <row r="978" spans="1:25" ht="45" customHeight="1">
      <c r="A978" s="3">
        <v>976</v>
      </c>
      <c r="B978" s="13" t="s">
        <v>3505</v>
      </c>
      <c r="C978" s="13" t="s">
        <v>26</v>
      </c>
      <c r="D978" s="13" t="s">
        <v>3506</v>
      </c>
      <c r="E978" s="13" t="s">
        <v>28</v>
      </c>
      <c r="F978" s="13" t="s">
        <v>29</v>
      </c>
      <c r="G978" s="13" t="s">
        <v>1216</v>
      </c>
      <c r="H978" s="13" t="s">
        <v>31</v>
      </c>
      <c r="I978" s="27" t="s">
        <v>3507</v>
      </c>
      <c r="J978" s="27" t="s">
        <v>33</v>
      </c>
      <c r="K978" s="27" t="s">
        <v>34</v>
      </c>
      <c r="L978" s="27" t="s">
        <v>35</v>
      </c>
      <c r="M978" s="27" t="s">
        <v>36</v>
      </c>
      <c r="N978" s="17">
        <f t="shared" si="75"/>
        <v>45338</v>
      </c>
      <c r="O978" s="13" t="s">
        <v>34</v>
      </c>
      <c r="P978" s="13" t="s">
        <v>1221</v>
      </c>
      <c r="Q978" s="13" t="s">
        <v>38</v>
      </c>
      <c r="R978" s="13" t="s">
        <v>3508</v>
      </c>
      <c r="S978" s="13" t="s">
        <v>1215</v>
      </c>
      <c r="T978" s="28">
        <v>28.92</v>
      </c>
      <c r="U978" s="13" t="s">
        <v>28</v>
      </c>
      <c r="V978" s="13" t="s">
        <v>53</v>
      </c>
      <c r="W978" s="13" t="s">
        <v>1219</v>
      </c>
      <c r="X978" s="17">
        <f>DATE(2024,3,14)</f>
        <v>45365</v>
      </c>
      <c r="Y978" s="3"/>
    </row>
    <row r="979" spans="1:25" ht="45" customHeight="1">
      <c r="A979" s="3">
        <v>977</v>
      </c>
      <c r="B979" s="13" t="s">
        <v>3509</v>
      </c>
      <c r="C979" s="13" t="s">
        <v>103</v>
      </c>
      <c r="D979" s="13" t="s">
        <v>3510</v>
      </c>
      <c r="E979" s="13" t="s">
        <v>28</v>
      </c>
      <c r="F979" s="13" t="s">
        <v>29</v>
      </c>
      <c r="G979" s="13" t="s">
        <v>1216</v>
      </c>
      <c r="H979" s="13" t="s">
        <v>1031</v>
      </c>
      <c r="I979" s="27" t="s">
        <v>3511</v>
      </c>
      <c r="J979" s="27" t="s">
        <v>33</v>
      </c>
      <c r="K979" s="27" t="s">
        <v>106</v>
      </c>
      <c r="L979" s="27" t="s">
        <v>35</v>
      </c>
      <c r="M979" s="27" t="s">
        <v>36</v>
      </c>
      <c r="N979" s="17">
        <f t="shared" si="75"/>
        <v>45338</v>
      </c>
      <c r="O979" s="13" t="s">
        <v>34</v>
      </c>
      <c r="P979" s="13" t="s">
        <v>1221</v>
      </c>
      <c r="Q979" s="13" t="s">
        <v>38</v>
      </c>
      <c r="R979" s="13" t="s">
        <v>365</v>
      </c>
      <c r="S979" s="13" t="s">
        <v>1215</v>
      </c>
      <c r="T979" s="28">
        <v>40.590000000000003</v>
      </c>
      <c r="U979" s="13" t="s">
        <v>28</v>
      </c>
      <c r="V979" s="13" t="s">
        <v>53</v>
      </c>
      <c r="W979" s="13" t="s">
        <v>1219</v>
      </c>
      <c r="X979" s="17">
        <f>DATE(2024,3,14)</f>
        <v>45365</v>
      </c>
      <c r="Y979" s="3"/>
    </row>
    <row r="980" spans="1:25" ht="45" customHeight="1">
      <c r="A980" s="3">
        <v>978</v>
      </c>
      <c r="B980" s="13" t="s">
        <v>3512</v>
      </c>
      <c r="C980" s="13" t="s">
        <v>26</v>
      </c>
      <c r="D980" s="13" t="s">
        <v>3513</v>
      </c>
      <c r="E980" s="13" t="s">
        <v>28</v>
      </c>
      <c r="F980" s="13" t="s">
        <v>491</v>
      </c>
      <c r="G980" s="13" t="s">
        <v>950</v>
      </c>
      <c r="H980" s="13" t="s">
        <v>406</v>
      </c>
      <c r="I980" s="27" t="s">
        <v>3514</v>
      </c>
      <c r="J980" s="27" t="s">
        <v>33</v>
      </c>
      <c r="K980" s="27" t="s">
        <v>34</v>
      </c>
      <c r="L980" s="27" t="s">
        <v>35</v>
      </c>
      <c r="M980" s="27" t="s">
        <v>36</v>
      </c>
      <c r="N980" s="17">
        <f t="shared" si="75"/>
        <v>45338</v>
      </c>
      <c r="O980" s="13" t="s">
        <v>34</v>
      </c>
      <c r="P980" s="13" t="s">
        <v>952</v>
      </c>
      <c r="Q980" s="13" t="s">
        <v>38</v>
      </c>
      <c r="R980" s="13" t="s">
        <v>3515</v>
      </c>
      <c r="S980" s="13" t="s">
        <v>496</v>
      </c>
      <c r="T980" s="28">
        <v>31.3</v>
      </c>
      <c r="U980" s="13" t="s">
        <v>28</v>
      </c>
      <c r="V980" s="13" t="s">
        <v>146</v>
      </c>
      <c r="W980" s="13" t="s">
        <v>954</v>
      </c>
      <c r="X980" s="17">
        <f>DATE(2024,3,8)</f>
        <v>45359</v>
      </c>
      <c r="Y980" s="3"/>
    </row>
    <row r="981" spans="1:25" ht="45" customHeight="1">
      <c r="A981" s="3">
        <v>979</v>
      </c>
      <c r="B981" s="13" t="s">
        <v>3516</v>
      </c>
      <c r="C981" s="13" t="s">
        <v>103</v>
      </c>
      <c r="D981" s="13" t="s">
        <v>3517</v>
      </c>
      <c r="E981" s="13" t="s">
        <v>28</v>
      </c>
      <c r="F981" s="13" t="s">
        <v>475</v>
      </c>
      <c r="G981" s="13" t="s">
        <v>476</v>
      </c>
      <c r="H981" s="13" t="s">
        <v>406</v>
      </c>
      <c r="I981" s="27" t="s">
        <v>3518</v>
      </c>
      <c r="J981" s="27" t="s">
        <v>33</v>
      </c>
      <c r="K981" s="27" t="s">
        <v>106</v>
      </c>
      <c r="L981" s="27" t="s">
        <v>35</v>
      </c>
      <c r="M981" s="27" t="s">
        <v>36</v>
      </c>
      <c r="N981" s="17">
        <f t="shared" si="75"/>
        <v>45338</v>
      </c>
      <c r="O981" s="13" t="s">
        <v>34</v>
      </c>
      <c r="P981" s="13" t="s">
        <v>473</v>
      </c>
      <c r="Q981" s="13" t="s">
        <v>38</v>
      </c>
      <c r="R981" s="13" t="s">
        <v>3519</v>
      </c>
      <c r="S981" s="13" t="s">
        <v>478</v>
      </c>
      <c r="T981" s="28">
        <v>29.78</v>
      </c>
      <c r="U981" s="13" t="s">
        <v>28</v>
      </c>
      <c r="V981" s="13" t="s">
        <v>146</v>
      </c>
      <c r="W981" s="13" t="s">
        <v>476</v>
      </c>
      <c r="X981" s="17">
        <f>DATE(2024,3,16)</f>
        <v>45367</v>
      </c>
      <c r="Y981" s="3"/>
    </row>
    <row r="982" spans="1:25" ht="45" customHeight="1">
      <c r="A982" s="3">
        <v>980</v>
      </c>
      <c r="B982" s="13" t="s">
        <v>3520</v>
      </c>
      <c r="C982" s="13" t="s">
        <v>103</v>
      </c>
      <c r="D982" s="13" t="s">
        <v>3521</v>
      </c>
      <c r="E982" s="13" t="s">
        <v>28</v>
      </c>
      <c r="F982" s="13" t="s">
        <v>491</v>
      </c>
      <c r="G982" s="13" t="s">
        <v>1042</v>
      </c>
      <c r="H982" s="13" t="s">
        <v>406</v>
      </c>
      <c r="I982" s="27" t="s">
        <v>3522</v>
      </c>
      <c r="J982" s="27" t="s">
        <v>33</v>
      </c>
      <c r="K982" s="27" t="s">
        <v>106</v>
      </c>
      <c r="L982" s="27" t="s">
        <v>35</v>
      </c>
      <c r="M982" s="27" t="s">
        <v>36</v>
      </c>
      <c r="N982" s="17">
        <f t="shared" si="75"/>
        <v>45338</v>
      </c>
      <c r="O982" s="13" t="s">
        <v>34</v>
      </c>
      <c r="P982" s="13" t="s">
        <v>717</v>
      </c>
      <c r="Q982" s="13" t="s">
        <v>38</v>
      </c>
      <c r="R982" s="13" t="s">
        <v>365</v>
      </c>
      <c r="S982" s="13" t="s">
        <v>496</v>
      </c>
      <c r="T982" s="28">
        <v>34</v>
      </c>
      <c r="U982" s="13" t="s">
        <v>28</v>
      </c>
      <c r="V982" s="13" t="s">
        <v>146</v>
      </c>
      <c r="W982" s="13" t="s">
        <v>1042</v>
      </c>
      <c r="X982" s="17">
        <f>DATE(2024,3,12)</f>
        <v>45363</v>
      </c>
      <c r="Y982" s="3"/>
    </row>
    <row r="983" spans="1:25" ht="45" customHeight="1">
      <c r="A983" s="3">
        <v>981</v>
      </c>
      <c r="B983" s="13" t="s">
        <v>3523</v>
      </c>
      <c r="C983" s="13" t="s">
        <v>26</v>
      </c>
      <c r="D983" s="13" t="s">
        <v>3524</v>
      </c>
      <c r="E983" s="13" t="s">
        <v>28</v>
      </c>
      <c r="F983" s="13" t="s">
        <v>29</v>
      </c>
      <c r="G983" s="13" t="s">
        <v>123</v>
      </c>
      <c r="H983" s="13" t="s">
        <v>1031</v>
      </c>
      <c r="I983" s="27" t="s">
        <v>3525</v>
      </c>
      <c r="J983" s="27" t="s">
        <v>33</v>
      </c>
      <c r="K983" s="27" t="s">
        <v>34</v>
      </c>
      <c r="L983" s="27" t="s">
        <v>35</v>
      </c>
      <c r="M983" s="27" t="s">
        <v>36</v>
      </c>
      <c r="N983" s="17">
        <f t="shared" si="75"/>
        <v>45338</v>
      </c>
      <c r="O983" s="13" t="s">
        <v>34</v>
      </c>
      <c r="P983" s="13" t="s">
        <v>144</v>
      </c>
      <c r="Q983" s="13" t="s">
        <v>38</v>
      </c>
      <c r="R983" s="13" t="s">
        <v>365</v>
      </c>
      <c r="S983" s="13" t="s">
        <v>127</v>
      </c>
      <c r="T983" s="28">
        <v>23.36</v>
      </c>
      <c r="U983" s="13" t="s">
        <v>28</v>
      </c>
      <c r="V983" s="13" t="s">
        <v>146</v>
      </c>
      <c r="W983" s="13" t="s">
        <v>128</v>
      </c>
      <c r="X983" s="17">
        <f>DATE(2024,3,11)</f>
        <v>45362</v>
      </c>
      <c r="Y983" s="3"/>
    </row>
    <row r="984" spans="1:25" ht="45" customHeight="1">
      <c r="A984" s="3">
        <v>982</v>
      </c>
      <c r="B984" s="13" t="s">
        <v>3526</v>
      </c>
      <c r="C984" s="13" t="s">
        <v>103</v>
      </c>
      <c r="D984" s="13" t="s">
        <v>3527</v>
      </c>
      <c r="E984" s="13" t="s">
        <v>28</v>
      </c>
      <c r="F984" s="13" t="s">
        <v>417</v>
      </c>
      <c r="G984" s="13" t="s">
        <v>674</v>
      </c>
      <c r="H984" s="13" t="s">
        <v>419</v>
      </c>
      <c r="I984" s="27" t="s">
        <v>3528</v>
      </c>
      <c r="J984" s="27" t="s">
        <v>33</v>
      </c>
      <c r="K984" s="27" t="s">
        <v>106</v>
      </c>
      <c r="L984" s="27" t="s">
        <v>35</v>
      </c>
      <c r="M984" s="27" t="s">
        <v>36</v>
      </c>
      <c r="N984" s="17">
        <f t="shared" si="75"/>
        <v>45338</v>
      </c>
      <c r="O984" s="13" t="s">
        <v>34</v>
      </c>
      <c r="P984" s="13" t="s">
        <v>676</v>
      </c>
      <c r="Q984" s="13" t="s">
        <v>38</v>
      </c>
      <c r="R984" s="13" t="s">
        <v>365</v>
      </c>
      <c r="S984" s="13" t="s">
        <v>423</v>
      </c>
      <c r="T984" s="28">
        <v>30.37</v>
      </c>
      <c r="U984" s="13" t="s">
        <v>28</v>
      </c>
      <c r="V984" s="13" t="s">
        <v>89</v>
      </c>
      <c r="W984" s="13" t="s">
        <v>678</v>
      </c>
      <c r="X984" s="17">
        <f>DATE(2024,3,6)</f>
        <v>45357</v>
      </c>
      <c r="Y984" s="3"/>
    </row>
    <row r="985" spans="1:25" ht="45" customHeight="1">
      <c r="A985" s="3">
        <v>983</v>
      </c>
      <c r="B985" s="13" t="s">
        <v>3529</v>
      </c>
      <c r="C985" s="13" t="s">
        <v>103</v>
      </c>
      <c r="D985" s="13" t="s">
        <v>3530</v>
      </c>
      <c r="E985" s="13" t="s">
        <v>28</v>
      </c>
      <c r="F985" s="13" t="s">
        <v>29</v>
      </c>
      <c r="G985" s="13" t="s">
        <v>1216</v>
      </c>
      <c r="H985" s="13" t="s">
        <v>1031</v>
      </c>
      <c r="I985" s="27" t="s">
        <v>3531</v>
      </c>
      <c r="J985" s="27" t="s">
        <v>33</v>
      </c>
      <c r="K985" s="27" t="s">
        <v>106</v>
      </c>
      <c r="L985" s="27" t="s">
        <v>35</v>
      </c>
      <c r="M985" s="27" t="s">
        <v>36</v>
      </c>
      <c r="N985" s="17">
        <f t="shared" si="75"/>
        <v>45338</v>
      </c>
      <c r="O985" s="13" t="s">
        <v>34</v>
      </c>
      <c r="P985" s="13" t="s">
        <v>1215</v>
      </c>
      <c r="Q985" s="13" t="s">
        <v>38</v>
      </c>
      <c r="R985" s="13" t="s">
        <v>365</v>
      </c>
      <c r="S985" s="13" t="s">
        <v>1215</v>
      </c>
      <c r="T985" s="28">
        <v>23.7</v>
      </c>
      <c r="U985" s="13" t="s">
        <v>28</v>
      </c>
      <c r="V985" s="13" t="s">
        <v>146</v>
      </c>
      <c r="W985" s="13" t="s">
        <v>1219</v>
      </c>
      <c r="X985" s="17">
        <f>DATE(2024,3,14)</f>
        <v>45365</v>
      </c>
      <c r="Y985" s="3"/>
    </row>
    <row r="986" spans="1:25" ht="45" customHeight="1">
      <c r="A986" s="3">
        <v>984</v>
      </c>
      <c r="B986" s="13" t="s">
        <v>3532</v>
      </c>
      <c r="C986" s="13" t="s">
        <v>103</v>
      </c>
      <c r="D986" s="13" t="s">
        <v>3533</v>
      </c>
      <c r="E986" s="13" t="s">
        <v>28</v>
      </c>
      <c r="F986" s="13" t="s">
        <v>29</v>
      </c>
      <c r="G986" s="13" t="s">
        <v>1216</v>
      </c>
      <c r="H986" s="13" t="s">
        <v>1031</v>
      </c>
      <c r="I986" s="27" t="s">
        <v>3534</v>
      </c>
      <c r="J986" s="27" t="s">
        <v>33</v>
      </c>
      <c r="K986" s="27" t="s">
        <v>106</v>
      </c>
      <c r="L986" s="27" t="s">
        <v>35</v>
      </c>
      <c r="M986" s="27" t="s">
        <v>36</v>
      </c>
      <c r="N986" s="17">
        <f t="shared" si="75"/>
        <v>45338</v>
      </c>
      <c r="O986" s="13" t="s">
        <v>34</v>
      </c>
      <c r="P986" s="13" t="s">
        <v>1231</v>
      </c>
      <c r="Q986" s="13" t="s">
        <v>38</v>
      </c>
      <c r="R986" s="13" t="s">
        <v>365</v>
      </c>
      <c r="S986" s="13" t="s">
        <v>1215</v>
      </c>
      <c r="T986" s="28">
        <v>31.22</v>
      </c>
      <c r="U986" s="13" t="s">
        <v>28</v>
      </c>
      <c r="V986" s="13" t="s">
        <v>89</v>
      </c>
      <c r="W986" s="13" t="s">
        <v>1219</v>
      </c>
      <c r="X986" s="17">
        <f>DATE(2024,3,14)</f>
        <v>45365</v>
      </c>
      <c r="Y986" s="3"/>
    </row>
    <row r="987" spans="1:25" ht="45" customHeight="1">
      <c r="A987" s="3">
        <v>985</v>
      </c>
      <c r="B987" s="13" t="s">
        <v>3535</v>
      </c>
      <c r="C987" s="13" t="s">
        <v>26</v>
      </c>
      <c r="D987" s="13" t="s">
        <v>3536</v>
      </c>
      <c r="E987" s="13" t="s">
        <v>28</v>
      </c>
      <c r="F987" s="13" t="s">
        <v>29</v>
      </c>
      <c r="G987" s="13" t="s">
        <v>72</v>
      </c>
      <c r="H987" s="13" t="s">
        <v>31</v>
      </c>
      <c r="I987" s="27" t="s">
        <v>3537</v>
      </c>
      <c r="J987" s="27" t="s">
        <v>33</v>
      </c>
      <c r="K987" s="27" t="s">
        <v>34</v>
      </c>
      <c r="L987" s="27" t="s">
        <v>35</v>
      </c>
      <c r="M987" s="27" t="s">
        <v>36</v>
      </c>
      <c r="N987" s="17">
        <f t="shared" si="75"/>
        <v>45338</v>
      </c>
      <c r="O987" s="13" t="s">
        <v>34</v>
      </c>
      <c r="P987" s="13" t="s">
        <v>74</v>
      </c>
      <c r="Q987" s="13" t="s">
        <v>38</v>
      </c>
      <c r="R987" s="13" t="s">
        <v>3538</v>
      </c>
      <c r="S987" s="13" t="s">
        <v>74</v>
      </c>
      <c r="T987" s="28">
        <v>26.77</v>
      </c>
      <c r="U987" s="13" t="s">
        <v>28</v>
      </c>
      <c r="V987" s="13" t="s">
        <v>76</v>
      </c>
      <c r="W987" s="13" t="s">
        <v>72</v>
      </c>
      <c r="X987" s="17">
        <f>DATE(2024,3,5)</f>
        <v>45356</v>
      </c>
      <c r="Y987" s="3"/>
    </row>
    <row r="988" spans="1:25" ht="45" customHeight="1">
      <c r="A988" s="3">
        <v>986</v>
      </c>
      <c r="B988" s="13" t="s">
        <v>3539</v>
      </c>
      <c r="C988" s="13" t="s">
        <v>103</v>
      </c>
      <c r="D988" s="13" t="s">
        <v>3540</v>
      </c>
      <c r="E988" s="13" t="s">
        <v>765</v>
      </c>
      <c r="F988" s="13" t="s">
        <v>744</v>
      </c>
      <c r="G988" s="13" t="s">
        <v>38</v>
      </c>
      <c r="H988" s="13" t="s">
        <v>744</v>
      </c>
      <c r="I988" s="27" t="s">
        <v>3541</v>
      </c>
      <c r="J988" s="27" t="s">
        <v>33</v>
      </c>
      <c r="K988" s="27" t="s">
        <v>106</v>
      </c>
      <c r="L988" s="27" t="s">
        <v>208</v>
      </c>
      <c r="M988" s="27" t="s">
        <v>209</v>
      </c>
      <c r="N988" s="17">
        <f>DATE(2024,2,19)</f>
        <v>45341</v>
      </c>
      <c r="O988" s="13" t="s">
        <v>107</v>
      </c>
      <c r="P988" s="13" t="s">
        <v>456</v>
      </c>
      <c r="Q988" s="13" t="s">
        <v>670</v>
      </c>
      <c r="R988" s="13" t="s">
        <v>3542</v>
      </c>
      <c r="S988" s="13" t="s">
        <v>458</v>
      </c>
      <c r="T988" s="28">
        <v>39.020000000000003</v>
      </c>
      <c r="U988" s="13" t="s">
        <v>765</v>
      </c>
      <c r="V988" s="13" t="s">
        <v>53</v>
      </c>
      <c r="W988" s="13" t="s">
        <v>778</v>
      </c>
      <c r="X988" s="17">
        <f>DATE(2024,5,3)</f>
        <v>45415</v>
      </c>
      <c r="Y988" s="3"/>
    </row>
    <row r="989" spans="1:25" ht="45" customHeight="1">
      <c r="A989" s="3">
        <v>987</v>
      </c>
      <c r="B989" s="13" t="s">
        <v>3543</v>
      </c>
      <c r="C989" s="13" t="s">
        <v>26</v>
      </c>
      <c r="D989" s="13" t="s">
        <v>3544</v>
      </c>
      <c r="E989" s="13" t="s">
        <v>765</v>
      </c>
      <c r="F989" s="13" t="s">
        <v>446</v>
      </c>
      <c r="G989" s="13" t="s">
        <v>860</v>
      </c>
      <c r="H989" s="13" t="s">
        <v>406</v>
      </c>
      <c r="I989" s="27" t="s">
        <v>3545</v>
      </c>
      <c r="J989" s="27" t="s">
        <v>33</v>
      </c>
      <c r="K989" s="27" t="s">
        <v>34</v>
      </c>
      <c r="L989" s="27" t="s">
        <v>35</v>
      </c>
      <c r="M989" s="27" t="s">
        <v>36</v>
      </c>
      <c r="N989" s="17">
        <f>DATE(2024,2,19)</f>
        <v>45341</v>
      </c>
      <c r="O989" s="13" t="s">
        <v>107</v>
      </c>
      <c r="P989" s="13" t="s">
        <v>862</v>
      </c>
      <c r="Q989" s="13" t="s">
        <v>670</v>
      </c>
      <c r="R989" s="13" t="s">
        <v>3546</v>
      </c>
      <c r="S989" s="13" t="s">
        <v>449</v>
      </c>
      <c r="T989" s="28">
        <v>25.7</v>
      </c>
      <c r="U989" s="13" t="s">
        <v>765</v>
      </c>
      <c r="V989" s="13" t="s">
        <v>89</v>
      </c>
      <c r="W989" s="13" t="s">
        <v>860</v>
      </c>
      <c r="X989" s="17">
        <f>DATE(2024,5,2)</f>
        <v>45414</v>
      </c>
      <c r="Y989" s="3"/>
    </row>
    <row r="990" spans="1:25" ht="45" customHeight="1">
      <c r="A990" s="3">
        <v>988</v>
      </c>
      <c r="B990" s="13" t="s">
        <v>3547</v>
      </c>
      <c r="C990" s="13" t="s">
        <v>26</v>
      </c>
      <c r="D990" s="13" t="s">
        <v>1794</v>
      </c>
      <c r="E990" s="13" t="s">
        <v>1041</v>
      </c>
      <c r="F990" s="13" t="s">
        <v>29</v>
      </c>
      <c r="G990" s="13" t="s">
        <v>62</v>
      </c>
      <c r="H990" s="13" t="s">
        <v>406</v>
      </c>
      <c r="I990" s="27" t="s">
        <v>3548</v>
      </c>
      <c r="J990" s="27" t="s">
        <v>33</v>
      </c>
      <c r="K990" s="27" t="s">
        <v>34</v>
      </c>
      <c r="L990" s="27" t="s">
        <v>35</v>
      </c>
      <c r="M990" s="27" t="s">
        <v>36</v>
      </c>
      <c r="N990" s="17">
        <f>DATE(2024,2,19)</f>
        <v>45341</v>
      </c>
      <c r="O990" s="13" t="s">
        <v>107</v>
      </c>
      <c r="P990" s="13" t="s">
        <v>64</v>
      </c>
      <c r="Q990" s="13" t="s">
        <v>501</v>
      </c>
      <c r="R990" s="13" t="s">
        <v>3549</v>
      </c>
      <c r="S990" s="13" t="s">
        <v>441</v>
      </c>
      <c r="T990" s="28">
        <v>36.51</v>
      </c>
      <c r="U990" s="13" t="s">
        <v>1041</v>
      </c>
      <c r="V990" s="13" t="s">
        <v>53</v>
      </c>
      <c r="W990" s="13" t="s">
        <v>62</v>
      </c>
      <c r="X990" s="17">
        <f>DATE(2024,5,19)</f>
        <v>45431</v>
      </c>
      <c r="Y990" s="3"/>
    </row>
    <row r="991" spans="1:25" ht="45" customHeight="1">
      <c r="A991" s="3">
        <v>989</v>
      </c>
      <c r="B991" s="13" t="s">
        <v>3550</v>
      </c>
      <c r="C991" s="13" t="s">
        <v>103</v>
      </c>
      <c r="D991" s="13" t="s">
        <v>3551</v>
      </c>
      <c r="E991" s="13" t="s">
        <v>1560</v>
      </c>
      <c r="F991" s="13" t="s">
        <v>491</v>
      </c>
      <c r="G991" s="13" t="s">
        <v>830</v>
      </c>
      <c r="H991" s="13" t="s">
        <v>406</v>
      </c>
      <c r="I991" s="27" t="s">
        <v>3552</v>
      </c>
      <c r="J991" s="27" t="s">
        <v>33</v>
      </c>
      <c r="K991" s="27" t="s">
        <v>106</v>
      </c>
      <c r="L991" s="27" t="s">
        <v>35</v>
      </c>
      <c r="M991" s="27" t="s">
        <v>36</v>
      </c>
      <c r="N991" s="17">
        <f>DATE(2024,2,26)</f>
        <v>45348</v>
      </c>
      <c r="O991" s="13" t="s">
        <v>1198</v>
      </c>
      <c r="P991" s="13" t="s">
        <v>505</v>
      </c>
      <c r="Q991" s="13" t="s">
        <v>38</v>
      </c>
      <c r="R991" s="13" t="s">
        <v>3553</v>
      </c>
      <c r="S991" s="13" t="s">
        <v>496</v>
      </c>
      <c r="T991" s="28">
        <v>55.8</v>
      </c>
      <c r="U991" s="13" t="s">
        <v>1560</v>
      </c>
      <c r="V991" s="13" t="s">
        <v>752</v>
      </c>
      <c r="W991" s="13" t="s">
        <v>833</v>
      </c>
      <c r="X991" s="17">
        <f>DATE(2024,5,2)</f>
        <v>45414</v>
      </c>
      <c r="Y991" s="3"/>
    </row>
    <row r="992" spans="1:25" ht="45" customHeight="1">
      <c r="A992" s="3">
        <v>990</v>
      </c>
      <c r="B992" s="13" t="s">
        <v>3554</v>
      </c>
      <c r="C992" s="13" t="s">
        <v>103</v>
      </c>
      <c r="D992" s="13" t="s">
        <v>3555</v>
      </c>
      <c r="E992" s="13" t="s">
        <v>1560</v>
      </c>
      <c r="F992" s="13" t="s">
        <v>29</v>
      </c>
      <c r="G992" s="13" t="s">
        <v>3556</v>
      </c>
      <c r="H992" s="13" t="s">
        <v>406</v>
      </c>
      <c r="I992" s="27" t="s">
        <v>3557</v>
      </c>
      <c r="J992" s="27" t="s">
        <v>33</v>
      </c>
      <c r="K992" s="27" t="s">
        <v>106</v>
      </c>
      <c r="L992" s="27" t="s">
        <v>35</v>
      </c>
      <c r="M992" s="27" t="s">
        <v>36</v>
      </c>
      <c r="N992" s="17">
        <f>DATE(2024,2,26)</f>
        <v>45348</v>
      </c>
      <c r="O992" s="13" t="s">
        <v>107</v>
      </c>
      <c r="P992" s="13" t="s">
        <v>81</v>
      </c>
      <c r="Q992" s="13" t="s">
        <v>38</v>
      </c>
      <c r="R992" s="13" t="s">
        <v>3558</v>
      </c>
      <c r="S992" s="13" t="s">
        <v>81</v>
      </c>
      <c r="T992" s="28">
        <v>47.49</v>
      </c>
      <c r="U992" s="13" t="s">
        <v>1560</v>
      </c>
      <c r="V992" s="13" t="s">
        <v>799</v>
      </c>
      <c r="W992" s="13" t="s">
        <v>3559</v>
      </c>
      <c r="X992" s="17">
        <f>DATE(2024,5,26)</f>
        <v>45438</v>
      </c>
      <c r="Y992" s="3"/>
    </row>
    <row r="993" spans="1:25" ht="45" customHeight="1">
      <c r="A993" s="3">
        <v>991</v>
      </c>
      <c r="B993" s="13" t="s">
        <v>3560</v>
      </c>
      <c r="C993" s="13" t="s">
        <v>103</v>
      </c>
      <c r="D993" s="13" t="s">
        <v>3561</v>
      </c>
      <c r="E993" s="13" t="s">
        <v>1560</v>
      </c>
      <c r="F993" s="13" t="s">
        <v>491</v>
      </c>
      <c r="G993" s="13" t="s">
        <v>1042</v>
      </c>
      <c r="H993" s="13" t="s">
        <v>406</v>
      </c>
      <c r="I993" s="27" t="s">
        <v>3562</v>
      </c>
      <c r="J993" s="27" t="s">
        <v>33</v>
      </c>
      <c r="K993" s="27" t="s">
        <v>106</v>
      </c>
      <c r="L993" s="27" t="s">
        <v>35</v>
      </c>
      <c r="M993" s="27" t="s">
        <v>36</v>
      </c>
      <c r="N993" s="17">
        <f>DATE(2024,2,26)</f>
        <v>45348</v>
      </c>
      <c r="O993" s="13" t="s">
        <v>1198</v>
      </c>
      <c r="P993" s="13" t="s">
        <v>717</v>
      </c>
      <c r="Q993" s="13" t="s">
        <v>38</v>
      </c>
      <c r="R993" s="13" t="s">
        <v>3563</v>
      </c>
      <c r="S993" s="13" t="s">
        <v>496</v>
      </c>
      <c r="T993" s="28">
        <v>53.16</v>
      </c>
      <c r="U993" s="13" t="s">
        <v>1560</v>
      </c>
      <c r="V993" s="13" t="s">
        <v>752</v>
      </c>
      <c r="W993" s="13" t="s">
        <v>1042</v>
      </c>
      <c r="X993" s="17">
        <f>DATE(2024,5,26)</f>
        <v>45438</v>
      </c>
      <c r="Y993" s="3"/>
    </row>
    <row r="994" spans="1:25" ht="45" customHeight="1">
      <c r="A994" s="3">
        <v>992</v>
      </c>
      <c r="B994" s="13" t="s">
        <v>3564</v>
      </c>
      <c r="C994" s="13" t="s">
        <v>103</v>
      </c>
      <c r="D994" s="13" t="s">
        <v>3565</v>
      </c>
      <c r="E994" s="13" t="s">
        <v>660</v>
      </c>
      <c r="F994" s="13" t="s">
        <v>428</v>
      </c>
      <c r="G994" s="13" t="s">
        <v>646</v>
      </c>
      <c r="H994" s="13" t="s">
        <v>406</v>
      </c>
      <c r="I994" s="27" t="s">
        <v>3566</v>
      </c>
      <c r="J994" s="27" t="s">
        <v>33</v>
      </c>
      <c r="K994" s="27" t="s">
        <v>106</v>
      </c>
      <c r="L994" s="27" t="s">
        <v>35</v>
      </c>
      <c r="M994" s="27" t="s">
        <v>36</v>
      </c>
      <c r="N994" s="17">
        <f>DATE(2024,3,4)</f>
        <v>45355</v>
      </c>
      <c r="O994" s="13" t="s">
        <v>107</v>
      </c>
      <c r="P994" s="13" t="s">
        <v>430</v>
      </c>
      <c r="Q994" s="13" t="s">
        <v>431</v>
      </c>
      <c r="R994" s="13" t="s">
        <v>3567</v>
      </c>
      <c r="S994" s="13" t="s">
        <v>433</v>
      </c>
      <c r="T994" s="28">
        <v>31.39</v>
      </c>
      <c r="U994" s="13" t="s">
        <v>445</v>
      </c>
      <c r="V994" s="13" t="s">
        <v>413</v>
      </c>
      <c r="W994" s="13" t="s">
        <v>649</v>
      </c>
      <c r="X994" s="17">
        <f>DATE(2024,6,4)</f>
        <v>45447</v>
      </c>
      <c r="Y994" s="3"/>
    </row>
    <row r="995" spans="1:25" ht="45" customHeight="1">
      <c r="A995" s="3">
        <v>993</v>
      </c>
      <c r="B995" s="13" t="s">
        <v>3568</v>
      </c>
      <c r="C995" s="13" t="s">
        <v>26</v>
      </c>
      <c r="D995" s="13" t="s">
        <v>3569</v>
      </c>
      <c r="E995" s="13" t="s">
        <v>445</v>
      </c>
      <c r="F995" s="13" t="s">
        <v>608</v>
      </c>
      <c r="G995" s="13" t="s">
        <v>609</v>
      </c>
      <c r="H995" s="13" t="s">
        <v>406</v>
      </c>
      <c r="I995" s="27" t="s">
        <v>3570</v>
      </c>
      <c r="J995" s="27" t="s">
        <v>33</v>
      </c>
      <c r="K995" s="27" t="s">
        <v>34</v>
      </c>
      <c r="L995" s="27" t="s">
        <v>35</v>
      </c>
      <c r="M995" s="27" t="s">
        <v>36</v>
      </c>
      <c r="N995" s="17">
        <f>DATE(2024,3,4)</f>
        <v>45355</v>
      </c>
      <c r="O995" s="13" t="s">
        <v>107</v>
      </c>
      <c r="P995" s="13" t="s">
        <v>607</v>
      </c>
      <c r="Q995" s="13" t="s">
        <v>431</v>
      </c>
      <c r="R995" s="13" t="s">
        <v>3571</v>
      </c>
      <c r="S995" s="13" t="s">
        <v>611</v>
      </c>
      <c r="T995" s="28">
        <v>31.82</v>
      </c>
      <c r="U995" s="13" t="s">
        <v>445</v>
      </c>
      <c r="V995" s="13" t="s">
        <v>413</v>
      </c>
      <c r="W995" s="13" t="s">
        <v>609</v>
      </c>
      <c r="X995" s="17">
        <f>DATE(2024,5,24)</f>
        <v>45436</v>
      </c>
      <c r="Y995" s="3"/>
    </row>
    <row r="996" spans="1:25" ht="45" customHeight="1">
      <c r="A996" s="3">
        <v>994</v>
      </c>
      <c r="B996" s="13" t="s">
        <v>3572</v>
      </c>
      <c r="C996" s="13" t="s">
        <v>103</v>
      </c>
      <c r="D996" s="13" t="s">
        <v>3573</v>
      </c>
      <c r="E996" s="13" t="s">
        <v>592</v>
      </c>
      <c r="F996" s="13" t="s">
        <v>475</v>
      </c>
      <c r="G996" s="13" t="s">
        <v>559</v>
      </c>
      <c r="H996" s="13" t="s">
        <v>406</v>
      </c>
      <c r="I996" s="27" t="s">
        <v>3574</v>
      </c>
      <c r="J996" s="27" t="s">
        <v>33</v>
      </c>
      <c r="K996" s="27" t="s">
        <v>106</v>
      </c>
      <c r="L996" s="27" t="s">
        <v>35</v>
      </c>
      <c r="M996" s="27" t="s">
        <v>36</v>
      </c>
      <c r="N996" s="17">
        <f>DATE(2024,3,4)</f>
        <v>45355</v>
      </c>
      <c r="O996" s="13" t="s">
        <v>107</v>
      </c>
      <c r="P996" s="13" t="s">
        <v>557</v>
      </c>
      <c r="Q996" s="13" t="s">
        <v>431</v>
      </c>
      <c r="R996" s="13" t="s">
        <v>3575</v>
      </c>
      <c r="S996" s="13" t="s">
        <v>478</v>
      </c>
      <c r="T996" s="28">
        <v>36.11</v>
      </c>
      <c r="U996" s="13" t="s">
        <v>427</v>
      </c>
      <c r="V996" s="13" t="s">
        <v>413</v>
      </c>
      <c r="W996" s="13" t="s">
        <v>559</v>
      </c>
      <c r="X996" s="17">
        <f>DATE(2024,6,4)</f>
        <v>45447</v>
      </c>
      <c r="Y996" s="3"/>
    </row>
    <row r="997" spans="1:25" ht="45" customHeight="1">
      <c r="A997" s="3">
        <v>995</v>
      </c>
      <c r="B997" s="13" t="s">
        <v>3576</v>
      </c>
      <c r="C997" s="13" t="s">
        <v>26</v>
      </c>
      <c r="D997" s="13" t="s">
        <v>3577</v>
      </c>
      <c r="E997" s="13" t="s">
        <v>765</v>
      </c>
      <c r="F997" s="13" t="s">
        <v>446</v>
      </c>
      <c r="G997" s="13" t="s">
        <v>516</v>
      </c>
      <c r="H997" s="13" t="s">
        <v>406</v>
      </c>
      <c r="I997" s="27" t="s">
        <v>3578</v>
      </c>
      <c r="J997" s="27" t="s">
        <v>33</v>
      </c>
      <c r="K997" s="27" t="s">
        <v>34</v>
      </c>
      <c r="L997" s="27" t="s">
        <v>35</v>
      </c>
      <c r="M997" s="27" t="s">
        <v>36</v>
      </c>
      <c r="N997" s="17">
        <f>DATE(2024,3,4)</f>
        <v>45355</v>
      </c>
      <c r="O997" s="13" t="s">
        <v>107</v>
      </c>
      <c r="P997" s="13" t="s">
        <v>966</v>
      </c>
      <c r="Q997" s="13" t="s">
        <v>670</v>
      </c>
      <c r="R997" s="13" t="s">
        <v>3579</v>
      </c>
      <c r="S997" s="13" t="s">
        <v>449</v>
      </c>
      <c r="T997" s="28">
        <v>28.85</v>
      </c>
      <c r="U997" s="13" t="s">
        <v>765</v>
      </c>
      <c r="V997" s="13" t="s">
        <v>53</v>
      </c>
      <c r="W997" s="13" t="s">
        <v>516</v>
      </c>
      <c r="X997" s="17">
        <f>DATE(2024,5,24)</f>
        <v>45436</v>
      </c>
      <c r="Y997" s="3"/>
    </row>
    <row r="998" spans="1:25" ht="45" customHeight="1">
      <c r="A998" s="3">
        <v>996</v>
      </c>
      <c r="B998" s="13" t="s">
        <v>3580</v>
      </c>
      <c r="C998" s="13" t="s">
        <v>26</v>
      </c>
      <c r="D998" s="13" t="s">
        <v>3581</v>
      </c>
      <c r="E998" s="13" t="s">
        <v>733</v>
      </c>
      <c r="F998" s="13" t="s">
        <v>744</v>
      </c>
      <c r="G998" s="13" t="s">
        <v>745</v>
      </c>
      <c r="H998" s="13" t="s">
        <v>744</v>
      </c>
      <c r="I998" s="27" t="s">
        <v>3582</v>
      </c>
      <c r="J998" s="27" t="s">
        <v>33</v>
      </c>
      <c r="K998" s="27" t="s">
        <v>34</v>
      </c>
      <c r="L998" s="27" t="s">
        <v>35</v>
      </c>
      <c r="M998" s="27" t="s">
        <v>36</v>
      </c>
      <c r="N998" s="17">
        <f>DATE(2024,3,4)</f>
        <v>45355</v>
      </c>
      <c r="O998" s="13" t="s">
        <v>107</v>
      </c>
      <c r="P998" s="13" t="s">
        <v>456</v>
      </c>
      <c r="Q998" s="13" t="s">
        <v>670</v>
      </c>
      <c r="R998" s="13" t="s">
        <v>3583</v>
      </c>
      <c r="S998" s="13" t="s">
        <v>458</v>
      </c>
      <c r="T998" s="28">
        <v>30.2</v>
      </c>
      <c r="U998" s="13" t="s">
        <v>733</v>
      </c>
      <c r="V998" s="13" t="s">
        <v>89</v>
      </c>
      <c r="W998" s="13" t="s">
        <v>745</v>
      </c>
      <c r="X998" s="17">
        <f>DATE(2024,5,8)</f>
        <v>45420</v>
      </c>
      <c r="Y998" s="3"/>
    </row>
    <row r="999" spans="1:25" ht="45" customHeight="1">
      <c r="A999" s="3">
        <v>997</v>
      </c>
      <c r="B999" s="13" t="s">
        <v>3584</v>
      </c>
      <c r="C999" s="13" t="s">
        <v>26</v>
      </c>
      <c r="D999" s="13" t="s">
        <v>3585</v>
      </c>
      <c r="E999" s="13" t="s">
        <v>765</v>
      </c>
      <c r="F999" s="13" t="s">
        <v>744</v>
      </c>
      <c r="G999" s="13" t="s">
        <v>38</v>
      </c>
      <c r="H999" s="13" t="s">
        <v>744</v>
      </c>
      <c r="I999" s="27" t="s">
        <v>3586</v>
      </c>
      <c r="J999" s="27" t="s">
        <v>33</v>
      </c>
      <c r="K999" s="27" t="s">
        <v>34</v>
      </c>
      <c r="L999" s="27" t="s">
        <v>35</v>
      </c>
      <c r="M999" s="27" t="s">
        <v>36</v>
      </c>
      <c r="N999" s="17">
        <f>DATE(2024,3,18)</f>
        <v>45369</v>
      </c>
      <c r="O999" s="13" t="s">
        <v>107</v>
      </c>
      <c r="P999" s="13" t="s">
        <v>456</v>
      </c>
      <c r="Q999" s="13" t="s">
        <v>670</v>
      </c>
      <c r="R999" s="13" t="s">
        <v>3587</v>
      </c>
      <c r="S999" s="13" t="s">
        <v>458</v>
      </c>
      <c r="T999" s="28">
        <v>28.27</v>
      </c>
      <c r="U999" s="13" t="s">
        <v>765</v>
      </c>
      <c r="V999" s="13" t="s">
        <v>53</v>
      </c>
      <c r="W999" s="13" t="s">
        <v>778</v>
      </c>
      <c r="X999" s="17">
        <f>DATE(2024,5,24)</f>
        <v>45436</v>
      </c>
      <c r="Y999" s="3"/>
    </row>
    <row r="1000" spans="1:25" ht="45" customHeight="1">
      <c r="A1000" s="3">
        <v>998</v>
      </c>
      <c r="B1000" s="13" t="s">
        <v>3588</v>
      </c>
      <c r="C1000" s="13" t="s">
        <v>103</v>
      </c>
      <c r="D1000" s="13" t="s">
        <v>3589</v>
      </c>
      <c r="E1000" s="13" t="s">
        <v>490</v>
      </c>
      <c r="F1000" s="13" t="s">
        <v>417</v>
      </c>
      <c r="G1000" s="13" t="s">
        <v>418</v>
      </c>
      <c r="H1000" s="13" t="s">
        <v>419</v>
      </c>
      <c r="I1000" s="27" t="s">
        <v>3590</v>
      </c>
      <c r="J1000" s="27" t="s">
        <v>33</v>
      </c>
      <c r="K1000" s="27" t="s">
        <v>106</v>
      </c>
      <c r="L1000" s="27" t="s">
        <v>35</v>
      </c>
      <c r="M1000" s="27" t="s">
        <v>36</v>
      </c>
      <c r="N1000" s="17">
        <f>DATE(2024,3,18)</f>
        <v>45369</v>
      </c>
      <c r="O1000" s="13" t="s">
        <v>107</v>
      </c>
      <c r="P1000" s="13" t="s">
        <v>415</v>
      </c>
      <c r="Q1000" s="13" t="s">
        <v>465</v>
      </c>
      <c r="R1000" s="13" t="s">
        <v>3591</v>
      </c>
      <c r="S1000" s="13" t="s">
        <v>423</v>
      </c>
      <c r="T1000" s="28">
        <v>25.19</v>
      </c>
      <c r="U1000" s="13" t="s">
        <v>490</v>
      </c>
      <c r="V1000" s="13" t="s">
        <v>413</v>
      </c>
      <c r="W1000" s="13" t="s">
        <v>424</v>
      </c>
      <c r="X1000" s="17">
        <f>DATE(2024,9,18)</f>
        <v>45553</v>
      </c>
      <c r="Y1000" s="3"/>
    </row>
    <row r="1001" spans="1:25" ht="45" customHeight="1">
      <c r="A1001" s="3">
        <v>999</v>
      </c>
      <c r="B1001" s="13" t="s">
        <v>3592</v>
      </c>
      <c r="C1001" s="13" t="s">
        <v>26</v>
      </c>
      <c r="D1001" s="13" t="s">
        <v>3593</v>
      </c>
      <c r="E1001" s="13" t="s">
        <v>668</v>
      </c>
      <c r="F1001" s="13" t="s">
        <v>744</v>
      </c>
      <c r="G1001" s="13" t="s">
        <v>745</v>
      </c>
      <c r="H1001" s="13" t="s">
        <v>744</v>
      </c>
      <c r="I1001" s="27" t="s">
        <v>3594</v>
      </c>
      <c r="J1001" s="27" t="s">
        <v>33</v>
      </c>
      <c r="K1001" s="27" t="s">
        <v>34</v>
      </c>
      <c r="L1001" s="27" t="s">
        <v>35</v>
      </c>
      <c r="M1001" s="27" t="s">
        <v>36</v>
      </c>
      <c r="N1001" s="17">
        <f>DATE(2024,3,25)</f>
        <v>45376</v>
      </c>
      <c r="O1001" s="13" t="s">
        <v>107</v>
      </c>
      <c r="P1001" s="13" t="s">
        <v>456</v>
      </c>
      <c r="Q1001" s="13" t="s">
        <v>670</v>
      </c>
      <c r="R1001" s="13" t="s">
        <v>3595</v>
      </c>
      <c r="S1001" s="13" t="s">
        <v>458</v>
      </c>
      <c r="T1001" s="28">
        <v>32.4</v>
      </c>
      <c r="U1001" s="13" t="s">
        <v>668</v>
      </c>
      <c r="V1001" s="13" t="s">
        <v>146</v>
      </c>
      <c r="W1001" s="13" t="s">
        <v>745</v>
      </c>
      <c r="X1001" s="17">
        <f>DATE(2024,5,24)</f>
        <v>45436</v>
      </c>
      <c r="Y1001" s="3"/>
    </row>
    <row r="1002" spans="1:25" ht="45" customHeight="1">
      <c r="A1002" s="3">
        <v>1000</v>
      </c>
      <c r="B1002" s="13" t="s">
        <v>3596</v>
      </c>
      <c r="C1002" s="13" t="s">
        <v>103</v>
      </c>
      <c r="D1002" s="13" t="s">
        <v>3597</v>
      </c>
      <c r="E1002" s="13" t="s">
        <v>445</v>
      </c>
      <c r="F1002" s="13" t="s">
        <v>491</v>
      </c>
      <c r="G1002" s="13" t="s">
        <v>492</v>
      </c>
      <c r="H1002" s="13" t="s">
        <v>406</v>
      </c>
      <c r="I1002" s="27" t="s">
        <v>3598</v>
      </c>
      <c r="J1002" s="27" t="s">
        <v>33</v>
      </c>
      <c r="K1002" s="27" t="s">
        <v>106</v>
      </c>
      <c r="L1002" s="27" t="s">
        <v>208</v>
      </c>
      <c r="M1002" s="27" t="s">
        <v>209</v>
      </c>
      <c r="N1002" s="17">
        <f t="shared" ref="N1002:N1009" si="76">DATE(2024,9,9)</f>
        <v>45544</v>
      </c>
      <c r="O1002" s="13" t="s">
        <v>107</v>
      </c>
      <c r="P1002" s="13" t="s">
        <v>494</v>
      </c>
      <c r="Q1002" s="13" t="s">
        <v>431</v>
      </c>
      <c r="R1002" s="13" t="s">
        <v>3599</v>
      </c>
      <c r="S1002" s="13" t="s">
        <v>496</v>
      </c>
      <c r="T1002" s="28">
        <v>26.15</v>
      </c>
      <c r="U1002" s="13" t="s">
        <v>445</v>
      </c>
      <c r="V1002" s="13" t="s">
        <v>413</v>
      </c>
      <c r="W1002" s="13" t="s">
        <v>492</v>
      </c>
      <c r="X1002" s="17">
        <f>DATE(2024,12,9)</f>
        <v>45635</v>
      </c>
      <c r="Y1002" s="3"/>
    </row>
    <row r="1003" spans="1:25" ht="45" customHeight="1">
      <c r="A1003" s="3">
        <v>1001</v>
      </c>
      <c r="B1003" s="13" t="s">
        <v>3600</v>
      </c>
      <c r="C1003" s="13" t="s">
        <v>103</v>
      </c>
      <c r="D1003" s="13" t="s">
        <v>3601</v>
      </c>
      <c r="E1003" s="13" t="s">
        <v>445</v>
      </c>
      <c r="F1003" s="13" t="s">
        <v>491</v>
      </c>
      <c r="G1003" s="13" t="s">
        <v>1022</v>
      </c>
      <c r="H1003" s="13" t="s">
        <v>406</v>
      </c>
      <c r="I1003" s="27" t="s">
        <v>3602</v>
      </c>
      <c r="J1003" s="27" t="s">
        <v>33</v>
      </c>
      <c r="K1003" s="27" t="s">
        <v>106</v>
      </c>
      <c r="L1003" s="27" t="s">
        <v>35</v>
      </c>
      <c r="M1003" s="27" t="s">
        <v>36</v>
      </c>
      <c r="N1003" s="17">
        <f t="shared" si="76"/>
        <v>45544</v>
      </c>
      <c r="O1003" s="13" t="s">
        <v>107</v>
      </c>
      <c r="P1003" s="13" t="s">
        <v>1021</v>
      </c>
      <c r="Q1003" s="13" t="s">
        <v>431</v>
      </c>
      <c r="R1003" s="13" t="s">
        <v>3603</v>
      </c>
      <c r="S1003" s="13" t="s">
        <v>496</v>
      </c>
      <c r="T1003" s="28">
        <v>26.83</v>
      </c>
      <c r="U1003" s="13" t="s">
        <v>445</v>
      </c>
      <c r="V1003" s="13" t="s">
        <v>413</v>
      </c>
      <c r="W1003" s="13" t="s">
        <v>1022</v>
      </c>
      <c r="X1003" s="17">
        <f>DATE(2024,12,9)</f>
        <v>45635</v>
      </c>
      <c r="Y1003" s="3"/>
    </row>
    <row r="1004" spans="1:25" ht="45" customHeight="1">
      <c r="A1004" s="3">
        <v>1002</v>
      </c>
      <c r="B1004" s="13" t="s">
        <v>3604</v>
      </c>
      <c r="C1004" s="13" t="s">
        <v>26</v>
      </c>
      <c r="D1004" s="13" t="s">
        <v>3605</v>
      </c>
      <c r="E1004" s="13" t="s">
        <v>445</v>
      </c>
      <c r="F1004" s="13" t="s">
        <v>446</v>
      </c>
      <c r="G1004" s="13" t="s">
        <v>836</v>
      </c>
      <c r="H1004" s="13" t="s">
        <v>406</v>
      </c>
      <c r="I1004" s="27" t="s">
        <v>3606</v>
      </c>
      <c r="J1004" s="27" t="s">
        <v>33</v>
      </c>
      <c r="K1004" s="27" t="s">
        <v>34</v>
      </c>
      <c r="L1004" s="27" t="s">
        <v>208</v>
      </c>
      <c r="M1004" s="27" t="s">
        <v>209</v>
      </c>
      <c r="N1004" s="17">
        <f t="shared" si="76"/>
        <v>45544</v>
      </c>
      <c r="O1004" s="13" t="s">
        <v>107</v>
      </c>
      <c r="P1004" s="13" t="s">
        <v>449</v>
      </c>
      <c r="Q1004" s="13" t="s">
        <v>431</v>
      </c>
      <c r="R1004" s="13" t="s">
        <v>3607</v>
      </c>
      <c r="S1004" s="13" t="s">
        <v>403</v>
      </c>
      <c r="T1004" s="28">
        <v>27.21</v>
      </c>
      <c r="U1004" s="13" t="s">
        <v>445</v>
      </c>
      <c r="V1004" s="13" t="s">
        <v>413</v>
      </c>
      <c r="W1004" s="13" t="s">
        <v>836</v>
      </c>
      <c r="X1004" s="17">
        <f>DATE(2024,12,9)</f>
        <v>45635</v>
      </c>
      <c r="Y1004" s="3"/>
    </row>
    <row r="1005" spans="1:25" ht="45" customHeight="1">
      <c r="A1005" s="3">
        <v>1003</v>
      </c>
      <c r="B1005" s="13" t="s">
        <v>3608</v>
      </c>
      <c r="C1005" s="13" t="s">
        <v>26</v>
      </c>
      <c r="D1005" s="13" t="s">
        <v>3609</v>
      </c>
      <c r="E1005" s="13" t="s">
        <v>445</v>
      </c>
      <c r="F1005" s="13" t="s">
        <v>446</v>
      </c>
      <c r="G1005" s="13" t="s">
        <v>516</v>
      </c>
      <c r="H1005" s="13" t="s">
        <v>406</v>
      </c>
      <c r="I1005" s="27" t="s">
        <v>3610</v>
      </c>
      <c r="J1005" s="27" t="s">
        <v>33</v>
      </c>
      <c r="K1005" s="27" t="s">
        <v>34</v>
      </c>
      <c r="L1005" s="27" t="s">
        <v>408</v>
      </c>
      <c r="M1005" s="27" t="s">
        <v>409</v>
      </c>
      <c r="N1005" s="17">
        <f t="shared" si="76"/>
        <v>45544</v>
      </c>
      <c r="O1005" s="13" t="s">
        <v>107</v>
      </c>
      <c r="P1005" s="13" t="s">
        <v>449</v>
      </c>
      <c r="Q1005" s="13" t="s">
        <v>431</v>
      </c>
      <c r="R1005" s="13" t="s">
        <v>3611</v>
      </c>
      <c r="S1005" s="13" t="s">
        <v>403</v>
      </c>
      <c r="T1005" s="28">
        <v>25.41</v>
      </c>
      <c r="U1005" s="13" t="s">
        <v>445</v>
      </c>
      <c r="V1005" s="13" t="s">
        <v>413</v>
      </c>
      <c r="W1005" s="13" t="s">
        <v>516</v>
      </c>
      <c r="X1005" s="17">
        <f>DATE(2025,3,1)</f>
        <v>45717</v>
      </c>
      <c r="Y1005" s="3"/>
    </row>
    <row r="1006" spans="1:25" ht="45" customHeight="1">
      <c r="A1006" s="3">
        <v>1004</v>
      </c>
      <c r="B1006" s="13" t="s">
        <v>3612</v>
      </c>
      <c r="C1006" s="13" t="s">
        <v>26</v>
      </c>
      <c r="D1006" s="13" t="s">
        <v>3613</v>
      </c>
      <c r="E1006" s="13" t="s">
        <v>445</v>
      </c>
      <c r="F1006" s="13" t="s">
        <v>446</v>
      </c>
      <c r="G1006" s="13" t="s">
        <v>615</v>
      </c>
      <c r="H1006" s="13" t="s">
        <v>406</v>
      </c>
      <c r="I1006" s="27" t="s">
        <v>3614</v>
      </c>
      <c r="J1006" s="27" t="s">
        <v>33</v>
      </c>
      <c r="K1006" s="27" t="s">
        <v>34</v>
      </c>
      <c r="L1006" s="27" t="s">
        <v>408</v>
      </c>
      <c r="M1006" s="27" t="s">
        <v>409</v>
      </c>
      <c r="N1006" s="17">
        <f t="shared" si="76"/>
        <v>45544</v>
      </c>
      <c r="O1006" s="13" t="s">
        <v>107</v>
      </c>
      <c r="P1006" s="13" t="s">
        <v>449</v>
      </c>
      <c r="Q1006" s="13" t="s">
        <v>431</v>
      </c>
      <c r="R1006" s="13" t="s">
        <v>3615</v>
      </c>
      <c r="S1006" s="13" t="s">
        <v>403</v>
      </c>
      <c r="T1006" s="28">
        <v>25.23</v>
      </c>
      <c r="U1006" s="13" t="s">
        <v>445</v>
      </c>
      <c r="V1006" s="13" t="s">
        <v>413</v>
      </c>
      <c r="W1006" s="13" t="s">
        <v>615</v>
      </c>
      <c r="X1006" s="17">
        <f>DATE(2024,12,9)</f>
        <v>45635</v>
      </c>
      <c r="Y1006" s="3"/>
    </row>
    <row r="1007" spans="1:25" ht="45" customHeight="1">
      <c r="A1007" s="3">
        <v>1005</v>
      </c>
      <c r="B1007" s="13" t="s">
        <v>3616</v>
      </c>
      <c r="C1007" s="13" t="s">
        <v>26</v>
      </c>
      <c r="D1007" s="13" t="s">
        <v>3617</v>
      </c>
      <c r="E1007" s="13" t="s">
        <v>445</v>
      </c>
      <c r="F1007" s="13" t="s">
        <v>521</v>
      </c>
      <c r="G1007" s="13" t="s">
        <v>43</v>
      </c>
      <c r="H1007" s="13" t="s">
        <v>406</v>
      </c>
      <c r="I1007" s="27" t="s">
        <v>3618</v>
      </c>
      <c r="J1007" s="27" t="s">
        <v>33</v>
      </c>
      <c r="K1007" s="27" t="s">
        <v>34</v>
      </c>
      <c r="L1007" s="27" t="s">
        <v>35</v>
      </c>
      <c r="M1007" s="27" t="s">
        <v>36</v>
      </c>
      <c r="N1007" s="17">
        <f t="shared" si="76"/>
        <v>45544</v>
      </c>
      <c r="O1007" s="13" t="s">
        <v>107</v>
      </c>
      <c r="P1007" s="13" t="s">
        <v>523</v>
      </c>
      <c r="Q1007" s="13" t="s">
        <v>431</v>
      </c>
      <c r="R1007" s="13" t="s">
        <v>3619</v>
      </c>
      <c r="S1007" s="13" t="s">
        <v>525</v>
      </c>
      <c r="T1007" s="28">
        <v>25.82</v>
      </c>
      <c r="U1007" s="13" t="s">
        <v>445</v>
      </c>
      <c r="V1007" s="13" t="s">
        <v>413</v>
      </c>
      <c r="W1007" s="13" t="s">
        <v>43</v>
      </c>
      <c r="X1007" s="17">
        <f>DATE(2024,11,25)</f>
        <v>45621</v>
      </c>
      <c r="Y1007" s="3"/>
    </row>
    <row r="1008" spans="1:25" ht="45" customHeight="1">
      <c r="A1008" s="3">
        <v>1006</v>
      </c>
      <c r="B1008" s="13" t="s">
        <v>3620</v>
      </c>
      <c r="C1008" s="13" t="s">
        <v>26</v>
      </c>
      <c r="D1008" s="13" t="s">
        <v>3621</v>
      </c>
      <c r="E1008" s="13" t="s">
        <v>445</v>
      </c>
      <c r="F1008" s="13" t="s">
        <v>521</v>
      </c>
      <c r="G1008" s="13" t="s">
        <v>405</v>
      </c>
      <c r="H1008" s="13" t="s">
        <v>406</v>
      </c>
      <c r="I1008" s="27" t="s">
        <v>3622</v>
      </c>
      <c r="J1008" s="27" t="s">
        <v>33</v>
      </c>
      <c r="K1008" s="27" t="s">
        <v>34</v>
      </c>
      <c r="L1008" s="27" t="s">
        <v>912</v>
      </c>
      <c r="M1008" s="27" t="s">
        <v>409</v>
      </c>
      <c r="N1008" s="17">
        <f t="shared" si="76"/>
        <v>45544</v>
      </c>
      <c r="O1008" s="13" t="s">
        <v>107</v>
      </c>
      <c r="P1008" s="13" t="s">
        <v>545</v>
      </c>
      <c r="Q1008" s="13" t="s">
        <v>431</v>
      </c>
      <c r="R1008" s="13" t="s">
        <v>3623</v>
      </c>
      <c r="S1008" s="13" t="s">
        <v>525</v>
      </c>
      <c r="T1008" s="28">
        <v>26.77</v>
      </c>
      <c r="U1008" s="13" t="s">
        <v>445</v>
      </c>
      <c r="V1008" s="13" t="s">
        <v>413</v>
      </c>
      <c r="W1008" s="13" t="s">
        <v>405</v>
      </c>
      <c r="X1008" s="17">
        <f>DATE(2024,11,25)</f>
        <v>45621</v>
      </c>
      <c r="Y1008" s="3"/>
    </row>
    <row r="1009" spans="1:25" ht="45" customHeight="1">
      <c r="A1009" s="3">
        <v>1007</v>
      </c>
      <c r="B1009" s="13" t="s">
        <v>3624</v>
      </c>
      <c r="C1009" s="13" t="s">
        <v>103</v>
      </c>
      <c r="D1009" s="13" t="s">
        <v>3625</v>
      </c>
      <c r="E1009" s="13" t="s">
        <v>445</v>
      </c>
      <c r="F1009" s="13" t="s">
        <v>475</v>
      </c>
      <c r="G1009" s="13" t="s">
        <v>559</v>
      </c>
      <c r="H1009" s="13" t="s">
        <v>406</v>
      </c>
      <c r="I1009" s="27" t="s">
        <v>3626</v>
      </c>
      <c r="J1009" s="27" t="s">
        <v>33</v>
      </c>
      <c r="K1009" s="27" t="s">
        <v>106</v>
      </c>
      <c r="L1009" s="27" t="s">
        <v>208</v>
      </c>
      <c r="M1009" s="27" t="s">
        <v>209</v>
      </c>
      <c r="N1009" s="17">
        <f t="shared" si="76"/>
        <v>45544</v>
      </c>
      <c r="O1009" s="13" t="s">
        <v>107</v>
      </c>
      <c r="P1009" s="13" t="s">
        <v>557</v>
      </c>
      <c r="Q1009" s="13" t="s">
        <v>431</v>
      </c>
      <c r="R1009" s="13" t="s">
        <v>3627</v>
      </c>
      <c r="S1009" s="13" t="s">
        <v>478</v>
      </c>
      <c r="T1009" s="28">
        <v>26.57</v>
      </c>
      <c r="U1009" s="13" t="s">
        <v>445</v>
      </c>
      <c r="V1009" s="13" t="s">
        <v>413</v>
      </c>
      <c r="W1009" s="13" t="s">
        <v>559</v>
      </c>
      <c r="X1009" s="17">
        <f>DATE(2024,12,9)</f>
        <v>45635</v>
      </c>
      <c r="Y1009" s="3"/>
    </row>
    <row r="1010" spans="1:25" ht="45" customHeight="1">
      <c r="A1010" s="3">
        <v>1008</v>
      </c>
      <c r="B1010" s="13" t="s">
        <v>3628</v>
      </c>
      <c r="C1010" s="13" t="s">
        <v>103</v>
      </c>
      <c r="D1010" s="13" t="s">
        <v>3629</v>
      </c>
      <c r="E1010" s="13" t="s">
        <v>1211</v>
      </c>
      <c r="F1010" s="13" t="s">
        <v>816</v>
      </c>
      <c r="G1010" s="13" t="s">
        <v>817</v>
      </c>
      <c r="H1010" s="13" t="s">
        <v>817</v>
      </c>
      <c r="I1010" s="27" t="s">
        <v>3630</v>
      </c>
      <c r="J1010" s="27" t="s">
        <v>33</v>
      </c>
      <c r="K1010" s="27" t="s">
        <v>106</v>
      </c>
      <c r="L1010" s="27" t="s">
        <v>35</v>
      </c>
      <c r="M1010" s="27" t="s">
        <v>36</v>
      </c>
      <c r="N1010" s="17">
        <f>DATE(2025,2,3)</f>
        <v>45691</v>
      </c>
      <c r="O1010" s="13" t="s">
        <v>107</v>
      </c>
      <c r="P1010" s="13" t="s">
        <v>819</v>
      </c>
      <c r="Q1010" s="13" t="s">
        <v>465</v>
      </c>
      <c r="R1010" s="13" t="s">
        <v>3631</v>
      </c>
      <c r="S1010" s="13" t="s">
        <v>821</v>
      </c>
      <c r="T1010" s="28">
        <v>24.18</v>
      </c>
      <c r="U1010" s="13" t="s">
        <v>490</v>
      </c>
      <c r="V1010" s="13" t="s">
        <v>413</v>
      </c>
      <c r="W1010" s="13" t="s">
        <v>817</v>
      </c>
      <c r="X1010" s="13"/>
      <c r="Y1010" s="3"/>
    </row>
    <row r="1011" spans="1:25" ht="45" customHeight="1">
      <c r="A1011" s="3">
        <v>1009</v>
      </c>
      <c r="B1011" s="13" t="s">
        <v>3632</v>
      </c>
      <c r="C1011" s="13" t="s">
        <v>26</v>
      </c>
      <c r="D1011" s="13" t="s">
        <v>3633</v>
      </c>
      <c r="E1011" s="13" t="s">
        <v>694</v>
      </c>
      <c r="F1011" s="13" t="s">
        <v>568</v>
      </c>
      <c r="G1011" s="13" t="s">
        <v>568</v>
      </c>
      <c r="H1011" s="13" t="s">
        <v>568</v>
      </c>
      <c r="I1011" s="27" t="s">
        <v>3634</v>
      </c>
      <c r="J1011" s="27" t="s">
        <v>33</v>
      </c>
      <c r="K1011" s="27" t="s">
        <v>34</v>
      </c>
      <c r="L1011" s="27" t="s">
        <v>3635</v>
      </c>
      <c r="M1011" s="27" t="s">
        <v>1775</v>
      </c>
      <c r="N1011" s="17">
        <f>DATE(2024,9,17)</f>
        <v>45552</v>
      </c>
      <c r="O1011" s="13" t="s">
        <v>107</v>
      </c>
      <c r="P1011" s="13" t="s">
        <v>567</v>
      </c>
      <c r="Q1011" s="13" t="s">
        <v>465</v>
      </c>
      <c r="R1011" s="13" t="s">
        <v>3636</v>
      </c>
      <c r="S1011" s="13" t="s">
        <v>570</v>
      </c>
      <c r="T1011" s="28">
        <v>23.74</v>
      </c>
      <c r="U1011" s="13" t="s">
        <v>694</v>
      </c>
      <c r="V1011" s="13" t="s">
        <v>413</v>
      </c>
      <c r="W1011" s="13" t="s">
        <v>572</v>
      </c>
      <c r="X1011" s="17">
        <f>DATE(2024,12,4)</f>
        <v>45630</v>
      </c>
      <c r="Y1011" s="3"/>
    </row>
    <row r="1012" spans="1:25" ht="45" customHeight="1">
      <c r="A1012" s="3">
        <v>1010</v>
      </c>
      <c r="B1012" s="13" t="s">
        <v>3637</v>
      </c>
      <c r="C1012" s="13" t="s">
        <v>26</v>
      </c>
      <c r="D1012" s="13" t="s">
        <v>3638</v>
      </c>
      <c r="E1012" s="13" t="s">
        <v>765</v>
      </c>
      <c r="F1012" s="13" t="s">
        <v>446</v>
      </c>
      <c r="G1012" s="13" t="s">
        <v>836</v>
      </c>
      <c r="H1012" s="13" t="s">
        <v>406</v>
      </c>
      <c r="I1012" s="27" t="s">
        <v>3639</v>
      </c>
      <c r="J1012" s="27" t="s">
        <v>33</v>
      </c>
      <c r="K1012" s="27" t="s">
        <v>34</v>
      </c>
      <c r="L1012" s="27" t="s">
        <v>35</v>
      </c>
      <c r="M1012" s="27" t="s">
        <v>36</v>
      </c>
      <c r="N1012" s="17">
        <f>DATE(2024,4,8)</f>
        <v>45390</v>
      </c>
      <c r="O1012" s="13" t="s">
        <v>107</v>
      </c>
      <c r="P1012" s="13" t="s">
        <v>449</v>
      </c>
      <c r="Q1012" s="13" t="s">
        <v>670</v>
      </c>
      <c r="R1012" s="13" t="s">
        <v>3640</v>
      </c>
      <c r="S1012" s="13" t="s">
        <v>403</v>
      </c>
      <c r="T1012" s="28">
        <v>27.88</v>
      </c>
      <c r="U1012" s="13" t="s">
        <v>765</v>
      </c>
      <c r="V1012" s="13" t="s">
        <v>752</v>
      </c>
      <c r="W1012" s="13" t="s">
        <v>836</v>
      </c>
      <c r="X1012" s="17">
        <f>DATE(2024,7,8)</f>
        <v>45481</v>
      </c>
      <c r="Y1012" s="3"/>
    </row>
    <row r="1013" spans="1:25" ht="45" customHeight="1">
      <c r="A1013" s="3">
        <v>1011</v>
      </c>
      <c r="B1013" s="13" t="s">
        <v>3641</v>
      </c>
      <c r="C1013" s="13" t="s">
        <v>103</v>
      </c>
      <c r="D1013" s="13" t="s">
        <v>3642</v>
      </c>
      <c r="E1013" s="13" t="s">
        <v>427</v>
      </c>
      <c r="F1013" s="13" t="s">
        <v>491</v>
      </c>
      <c r="G1013" s="13" t="s">
        <v>1022</v>
      </c>
      <c r="H1013" s="13" t="s">
        <v>406</v>
      </c>
      <c r="I1013" s="27" t="s">
        <v>3643</v>
      </c>
      <c r="J1013" s="27" t="s">
        <v>33</v>
      </c>
      <c r="K1013" s="27" t="s">
        <v>106</v>
      </c>
      <c r="L1013" s="27" t="s">
        <v>35</v>
      </c>
      <c r="M1013" s="27" t="s">
        <v>36</v>
      </c>
      <c r="N1013" s="17">
        <f t="shared" ref="N1013:N1019" si="77">DATE(2024,4,22)</f>
        <v>45404</v>
      </c>
      <c r="O1013" s="13" t="s">
        <v>107</v>
      </c>
      <c r="P1013" s="13" t="s">
        <v>1021</v>
      </c>
      <c r="Q1013" s="13" t="s">
        <v>431</v>
      </c>
      <c r="R1013" s="13" t="s">
        <v>3644</v>
      </c>
      <c r="S1013" s="13" t="s">
        <v>496</v>
      </c>
      <c r="T1013" s="28">
        <v>30.88</v>
      </c>
      <c r="U1013" s="13" t="s">
        <v>427</v>
      </c>
      <c r="V1013" s="13" t="s">
        <v>413</v>
      </c>
      <c r="W1013" s="13" t="s">
        <v>1022</v>
      </c>
      <c r="X1013" s="17">
        <f>DATE(2024,7,3)</f>
        <v>45476</v>
      </c>
      <c r="Y1013" s="3"/>
    </row>
    <row r="1014" spans="1:25" ht="45" customHeight="1">
      <c r="A1014" s="3">
        <v>1012</v>
      </c>
      <c r="B1014" s="13" t="s">
        <v>3645</v>
      </c>
      <c r="C1014" s="13" t="s">
        <v>103</v>
      </c>
      <c r="D1014" s="13" t="s">
        <v>3646</v>
      </c>
      <c r="E1014" s="13" t="s">
        <v>445</v>
      </c>
      <c r="F1014" s="13" t="s">
        <v>446</v>
      </c>
      <c r="G1014" s="13" t="s">
        <v>516</v>
      </c>
      <c r="H1014" s="13" t="s">
        <v>406</v>
      </c>
      <c r="I1014" s="27" t="s">
        <v>3647</v>
      </c>
      <c r="J1014" s="27" t="s">
        <v>33</v>
      </c>
      <c r="K1014" s="27" t="s">
        <v>106</v>
      </c>
      <c r="L1014" s="27" t="s">
        <v>35</v>
      </c>
      <c r="M1014" s="27" t="s">
        <v>36</v>
      </c>
      <c r="N1014" s="17">
        <f t="shared" si="77"/>
        <v>45404</v>
      </c>
      <c r="O1014" s="13" t="s">
        <v>107</v>
      </c>
      <c r="P1014" s="13" t="s">
        <v>449</v>
      </c>
      <c r="Q1014" s="13" t="s">
        <v>431</v>
      </c>
      <c r="R1014" s="13" t="s">
        <v>3648</v>
      </c>
      <c r="S1014" s="13" t="s">
        <v>403</v>
      </c>
      <c r="T1014" s="28">
        <v>26.95</v>
      </c>
      <c r="U1014" s="13" t="s">
        <v>445</v>
      </c>
      <c r="V1014" s="13" t="s">
        <v>413</v>
      </c>
      <c r="W1014" s="13" t="s">
        <v>516</v>
      </c>
      <c r="X1014" s="17">
        <f>DATE(2024,10,22)</f>
        <v>45587</v>
      </c>
      <c r="Y1014" s="3"/>
    </row>
    <row r="1015" spans="1:25" ht="45" customHeight="1">
      <c r="A1015" s="3">
        <v>1013</v>
      </c>
      <c r="B1015" s="13" t="s">
        <v>3649</v>
      </c>
      <c r="C1015" s="13" t="s">
        <v>26</v>
      </c>
      <c r="D1015" s="13" t="s">
        <v>1781</v>
      </c>
      <c r="E1015" s="13" t="s">
        <v>1041</v>
      </c>
      <c r="F1015" s="13" t="s">
        <v>29</v>
      </c>
      <c r="G1015" s="13" t="s">
        <v>30</v>
      </c>
      <c r="H1015" s="13" t="s">
        <v>406</v>
      </c>
      <c r="I1015" s="27" t="s">
        <v>3650</v>
      </c>
      <c r="J1015" s="27" t="s">
        <v>33</v>
      </c>
      <c r="K1015" s="27" t="s">
        <v>34</v>
      </c>
      <c r="L1015" s="27" t="s">
        <v>35</v>
      </c>
      <c r="M1015" s="27" t="s">
        <v>36</v>
      </c>
      <c r="N1015" s="17">
        <f t="shared" si="77"/>
        <v>45404</v>
      </c>
      <c r="O1015" s="13" t="s">
        <v>107</v>
      </c>
      <c r="P1015" s="13" t="s">
        <v>37</v>
      </c>
      <c r="Q1015" s="13" t="s">
        <v>501</v>
      </c>
      <c r="R1015" s="13" t="s">
        <v>3651</v>
      </c>
      <c r="S1015" s="13" t="s">
        <v>441</v>
      </c>
      <c r="T1015" s="28">
        <v>31.16</v>
      </c>
      <c r="U1015" s="13" t="s">
        <v>1041</v>
      </c>
      <c r="V1015" s="13" t="s">
        <v>53</v>
      </c>
      <c r="W1015" s="13" t="s">
        <v>30</v>
      </c>
      <c r="X1015" s="17">
        <f>DATE(2024,10,22)</f>
        <v>45587</v>
      </c>
      <c r="Y1015" s="3"/>
    </row>
    <row r="1016" spans="1:25" ht="45" customHeight="1">
      <c r="A1016" s="3">
        <v>1014</v>
      </c>
      <c r="B1016" s="13" t="s">
        <v>3652</v>
      </c>
      <c r="C1016" s="13" t="s">
        <v>26</v>
      </c>
      <c r="D1016" s="13" t="s">
        <v>3653</v>
      </c>
      <c r="E1016" s="13" t="s">
        <v>765</v>
      </c>
      <c r="F1016" s="13" t="s">
        <v>446</v>
      </c>
      <c r="G1016" s="13" t="s">
        <v>860</v>
      </c>
      <c r="H1016" s="13" t="s">
        <v>406</v>
      </c>
      <c r="I1016" s="27" t="s">
        <v>3654</v>
      </c>
      <c r="J1016" s="27" t="s">
        <v>33</v>
      </c>
      <c r="K1016" s="27" t="s">
        <v>34</v>
      </c>
      <c r="L1016" s="27" t="s">
        <v>35</v>
      </c>
      <c r="M1016" s="27" t="s">
        <v>36</v>
      </c>
      <c r="N1016" s="17">
        <f t="shared" si="77"/>
        <v>45404</v>
      </c>
      <c r="O1016" s="13" t="s">
        <v>107</v>
      </c>
      <c r="P1016" s="13" t="s">
        <v>449</v>
      </c>
      <c r="Q1016" s="13" t="s">
        <v>670</v>
      </c>
      <c r="R1016" s="13" t="s">
        <v>3655</v>
      </c>
      <c r="S1016" s="13" t="s">
        <v>449</v>
      </c>
      <c r="T1016" s="28">
        <v>25.6</v>
      </c>
      <c r="U1016" s="13" t="s">
        <v>765</v>
      </c>
      <c r="V1016" s="13" t="s">
        <v>146</v>
      </c>
      <c r="W1016" s="13" t="s">
        <v>860</v>
      </c>
      <c r="X1016" s="17">
        <f>DATE(2024,7,22)</f>
        <v>45495</v>
      </c>
      <c r="Y1016" s="3"/>
    </row>
    <row r="1017" spans="1:25" ht="45" customHeight="1">
      <c r="A1017" s="3">
        <v>1015</v>
      </c>
      <c r="B1017" s="13" t="s">
        <v>3656</v>
      </c>
      <c r="C1017" s="13" t="s">
        <v>26</v>
      </c>
      <c r="D1017" s="13" t="s">
        <v>3657</v>
      </c>
      <c r="E1017" s="13" t="s">
        <v>765</v>
      </c>
      <c r="F1017" s="13" t="s">
        <v>446</v>
      </c>
      <c r="G1017" s="13" t="s">
        <v>615</v>
      </c>
      <c r="H1017" s="13" t="s">
        <v>406</v>
      </c>
      <c r="I1017" s="27" t="s">
        <v>3658</v>
      </c>
      <c r="J1017" s="27" t="s">
        <v>33</v>
      </c>
      <c r="K1017" s="27" t="s">
        <v>34</v>
      </c>
      <c r="L1017" s="27" t="s">
        <v>35</v>
      </c>
      <c r="M1017" s="27" t="s">
        <v>36</v>
      </c>
      <c r="N1017" s="17">
        <f t="shared" si="77"/>
        <v>45404</v>
      </c>
      <c r="O1017" s="13" t="s">
        <v>107</v>
      </c>
      <c r="P1017" s="13" t="s">
        <v>862</v>
      </c>
      <c r="Q1017" s="13" t="s">
        <v>670</v>
      </c>
      <c r="R1017" s="13" t="s">
        <v>3659</v>
      </c>
      <c r="S1017" s="13" t="s">
        <v>449</v>
      </c>
      <c r="T1017" s="28">
        <v>26.82</v>
      </c>
      <c r="U1017" s="13" t="s">
        <v>765</v>
      </c>
      <c r="V1017" s="13" t="s">
        <v>89</v>
      </c>
      <c r="W1017" s="13" t="s">
        <v>615</v>
      </c>
      <c r="X1017" s="17">
        <f>DATE(2024,7,22)</f>
        <v>45495</v>
      </c>
      <c r="Y1017" s="3"/>
    </row>
    <row r="1018" spans="1:25" ht="45" customHeight="1">
      <c r="A1018" s="3">
        <v>1016</v>
      </c>
      <c r="B1018" s="13" t="s">
        <v>3660</v>
      </c>
      <c r="C1018" s="13" t="s">
        <v>26</v>
      </c>
      <c r="D1018" s="13" t="s">
        <v>3661</v>
      </c>
      <c r="E1018" s="13" t="s">
        <v>765</v>
      </c>
      <c r="F1018" s="13" t="s">
        <v>446</v>
      </c>
      <c r="G1018" s="13" t="s">
        <v>860</v>
      </c>
      <c r="H1018" s="13" t="s">
        <v>406</v>
      </c>
      <c r="I1018" s="27" t="s">
        <v>3662</v>
      </c>
      <c r="J1018" s="27" t="s">
        <v>33</v>
      </c>
      <c r="K1018" s="27" t="s">
        <v>34</v>
      </c>
      <c r="L1018" s="27" t="s">
        <v>35</v>
      </c>
      <c r="M1018" s="27" t="s">
        <v>36</v>
      </c>
      <c r="N1018" s="17">
        <f t="shared" si="77"/>
        <v>45404</v>
      </c>
      <c r="O1018" s="13" t="s">
        <v>107</v>
      </c>
      <c r="P1018" s="13" t="s">
        <v>862</v>
      </c>
      <c r="Q1018" s="13" t="s">
        <v>670</v>
      </c>
      <c r="R1018" s="13" t="s">
        <v>3663</v>
      </c>
      <c r="S1018" s="13" t="s">
        <v>449</v>
      </c>
      <c r="T1018" s="28">
        <v>23.23</v>
      </c>
      <c r="U1018" s="13" t="s">
        <v>765</v>
      </c>
      <c r="V1018" s="13" t="s">
        <v>89</v>
      </c>
      <c r="W1018" s="13" t="s">
        <v>860</v>
      </c>
      <c r="X1018" s="17">
        <f>DATE(2024,7,22)</f>
        <v>45495</v>
      </c>
      <c r="Y1018" s="3"/>
    </row>
    <row r="1019" spans="1:25" ht="45" customHeight="1">
      <c r="A1019" s="3">
        <v>1017</v>
      </c>
      <c r="B1019" s="13" t="s">
        <v>3664</v>
      </c>
      <c r="C1019" s="13" t="s">
        <v>26</v>
      </c>
      <c r="D1019" s="13" t="s">
        <v>3665</v>
      </c>
      <c r="E1019" s="13" t="s">
        <v>765</v>
      </c>
      <c r="F1019" s="13" t="s">
        <v>453</v>
      </c>
      <c r="G1019" s="13" t="s">
        <v>454</v>
      </c>
      <c r="H1019" s="13" t="s">
        <v>453</v>
      </c>
      <c r="I1019" s="27" t="s">
        <v>3666</v>
      </c>
      <c r="J1019" s="27" t="s">
        <v>33</v>
      </c>
      <c r="K1019" s="27" t="s">
        <v>34</v>
      </c>
      <c r="L1019" s="27" t="s">
        <v>35</v>
      </c>
      <c r="M1019" s="27" t="s">
        <v>36</v>
      </c>
      <c r="N1019" s="17">
        <f t="shared" si="77"/>
        <v>45404</v>
      </c>
      <c r="O1019" s="13" t="s">
        <v>107</v>
      </c>
      <c r="P1019" s="13" t="s">
        <v>456</v>
      </c>
      <c r="Q1019" s="13" t="s">
        <v>670</v>
      </c>
      <c r="R1019" s="13" t="s">
        <v>3667</v>
      </c>
      <c r="S1019" s="13" t="s">
        <v>458</v>
      </c>
      <c r="T1019" s="28">
        <v>22.78</v>
      </c>
      <c r="U1019" s="13" t="s">
        <v>765</v>
      </c>
      <c r="V1019" s="13" t="s">
        <v>146</v>
      </c>
      <c r="W1019" s="13" t="s">
        <v>454</v>
      </c>
      <c r="X1019" s="17">
        <f>DATE(2024,7,22)</f>
        <v>45495</v>
      </c>
      <c r="Y1019" s="3"/>
    </row>
    <row r="1020" spans="1:25" ht="45" customHeight="1">
      <c r="A1020" s="3">
        <v>1018</v>
      </c>
      <c r="B1020" s="13" t="s">
        <v>3668</v>
      </c>
      <c r="C1020" s="13" t="s">
        <v>26</v>
      </c>
      <c r="D1020" s="13" t="s">
        <v>3669</v>
      </c>
      <c r="E1020" s="13" t="s">
        <v>1560</v>
      </c>
      <c r="F1020" s="13" t="s">
        <v>29</v>
      </c>
      <c r="G1020" s="13" t="s">
        <v>537</v>
      </c>
      <c r="H1020" s="13" t="s">
        <v>1031</v>
      </c>
      <c r="I1020" s="27" t="s">
        <v>3670</v>
      </c>
      <c r="J1020" s="27" t="s">
        <v>33</v>
      </c>
      <c r="K1020" s="27" t="s">
        <v>34</v>
      </c>
      <c r="L1020" s="27" t="s">
        <v>35</v>
      </c>
      <c r="M1020" s="27" t="s">
        <v>36</v>
      </c>
      <c r="N1020" s="17">
        <f>DATE(2024,4,23)</f>
        <v>45405</v>
      </c>
      <c r="O1020" s="13" t="s">
        <v>107</v>
      </c>
      <c r="P1020" s="13" t="s">
        <v>64</v>
      </c>
      <c r="Q1020" s="13" t="s">
        <v>38</v>
      </c>
      <c r="R1020" s="13" t="s">
        <v>3671</v>
      </c>
      <c r="S1020" s="13" t="s">
        <v>64</v>
      </c>
      <c r="T1020" s="28">
        <v>50.1</v>
      </c>
      <c r="U1020" s="13" t="s">
        <v>1560</v>
      </c>
      <c r="V1020" s="13" t="s">
        <v>146</v>
      </c>
      <c r="W1020" s="13" t="s">
        <v>537</v>
      </c>
      <c r="X1020" s="17">
        <f>DATE(2024,7,23)</f>
        <v>45496</v>
      </c>
      <c r="Y1020" s="3"/>
    </row>
    <row r="1021" spans="1:25" ht="45" customHeight="1">
      <c r="A1021" s="3">
        <v>1019</v>
      </c>
      <c r="B1021" s="13" t="s">
        <v>3672</v>
      </c>
      <c r="C1021" s="13" t="s">
        <v>103</v>
      </c>
      <c r="D1021" s="13" t="s">
        <v>3673</v>
      </c>
      <c r="E1021" s="13" t="s">
        <v>1560</v>
      </c>
      <c r="F1021" s="13" t="s">
        <v>29</v>
      </c>
      <c r="G1021" s="13" t="s">
        <v>72</v>
      </c>
      <c r="H1021" s="13" t="s">
        <v>1031</v>
      </c>
      <c r="I1021" s="27" t="s">
        <v>3674</v>
      </c>
      <c r="J1021" s="27" t="s">
        <v>33</v>
      </c>
      <c r="K1021" s="27" t="s">
        <v>106</v>
      </c>
      <c r="L1021" s="27" t="s">
        <v>35</v>
      </c>
      <c r="M1021" s="27" t="s">
        <v>36</v>
      </c>
      <c r="N1021" s="17">
        <f>DATE(2024,4,23)</f>
        <v>45405</v>
      </c>
      <c r="O1021" s="13" t="s">
        <v>107</v>
      </c>
      <c r="P1021" s="13" t="s">
        <v>74</v>
      </c>
      <c r="Q1021" s="13" t="s">
        <v>38</v>
      </c>
      <c r="R1021" s="13" t="s">
        <v>3675</v>
      </c>
      <c r="S1021" s="13" t="s">
        <v>74</v>
      </c>
      <c r="T1021" s="28">
        <v>50.45</v>
      </c>
      <c r="U1021" s="13" t="s">
        <v>1560</v>
      </c>
      <c r="V1021" s="13" t="s">
        <v>752</v>
      </c>
      <c r="W1021" s="13" t="s">
        <v>72</v>
      </c>
      <c r="X1021" s="17">
        <f>DATE(2024,7,4)</f>
        <v>45477</v>
      </c>
      <c r="Y1021" s="3"/>
    </row>
    <row r="1022" spans="1:25" ht="45" customHeight="1">
      <c r="A1022" s="3">
        <v>1020</v>
      </c>
      <c r="B1022" s="13" t="s">
        <v>3676</v>
      </c>
      <c r="C1022" s="13" t="s">
        <v>103</v>
      </c>
      <c r="D1022" s="13" t="s">
        <v>3677</v>
      </c>
      <c r="E1022" s="13" t="s">
        <v>1560</v>
      </c>
      <c r="F1022" s="13" t="s">
        <v>29</v>
      </c>
      <c r="G1022" s="13" t="s">
        <v>72</v>
      </c>
      <c r="H1022" s="13" t="s">
        <v>1031</v>
      </c>
      <c r="I1022" s="27" t="s">
        <v>3678</v>
      </c>
      <c r="J1022" s="27" t="s">
        <v>33</v>
      </c>
      <c r="K1022" s="27" t="s">
        <v>106</v>
      </c>
      <c r="L1022" s="27" t="s">
        <v>35</v>
      </c>
      <c r="M1022" s="27" t="s">
        <v>36</v>
      </c>
      <c r="N1022" s="17">
        <f>DATE(2024,4,23)</f>
        <v>45405</v>
      </c>
      <c r="O1022" s="13" t="s">
        <v>1198</v>
      </c>
      <c r="P1022" s="13" t="s">
        <v>74</v>
      </c>
      <c r="Q1022" s="13" t="s">
        <v>38</v>
      </c>
      <c r="R1022" s="13" t="s">
        <v>3679</v>
      </c>
      <c r="S1022" s="13" t="s">
        <v>74</v>
      </c>
      <c r="T1022" s="28">
        <v>51.35</v>
      </c>
      <c r="U1022" s="13" t="s">
        <v>1560</v>
      </c>
      <c r="V1022" s="13" t="s">
        <v>752</v>
      </c>
      <c r="W1022" s="13" t="s">
        <v>72</v>
      </c>
      <c r="X1022" s="17">
        <f>DATE(2024,7,4)</f>
        <v>45477</v>
      </c>
      <c r="Y1022" s="3"/>
    </row>
    <row r="1023" spans="1:25" ht="45" customHeight="1">
      <c r="A1023" s="3">
        <v>1021</v>
      </c>
      <c r="B1023" s="13" t="s">
        <v>3680</v>
      </c>
      <c r="C1023" s="13" t="s">
        <v>103</v>
      </c>
      <c r="D1023" s="13" t="s">
        <v>3681</v>
      </c>
      <c r="E1023" s="13" t="s">
        <v>1560</v>
      </c>
      <c r="F1023" s="13" t="s">
        <v>29</v>
      </c>
      <c r="G1023" s="13" t="s">
        <v>72</v>
      </c>
      <c r="H1023" s="13" t="s">
        <v>1031</v>
      </c>
      <c r="I1023" s="27" t="s">
        <v>3682</v>
      </c>
      <c r="J1023" s="27" t="s">
        <v>33</v>
      </c>
      <c r="K1023" s="27" t="s">
        <v>106</v>
      </c>
      <c r="L1023" s="27" t="s">
        <v>35</v>
      </c>
      <c r="M1023" s="27" t="s">
        <v>36</v>
      </c>
      <c r="N1023" s="17">
        <f>DATE(2024,4,23)</f>
        <v>45405</v>
      </c>
      <c r="O1023" s="13" t="s">
        <v>1198</v>
      </c>
      <c r="P1023" s="13" t="s">
        <v>74</v>
      </c>
      <c r="Q1023" s="13" t="s">
        <v>38</v>
      </c>
      <c r="R1023" s="13" t="s">
        <v>3683</v>
      </c>
      <c r="S1023" s="13" t="s">
        <v>74</v>
      </c>
      <c r="T1023" s="28">
        <v>50.81</v>
      </c>
      <c r="U1023" s="13" t="s">
        <v>1560</v>
      </c>
      <c r="V1023" s="13" t="s">
        <v>752</v>
      </c>
      <c r="W1023" s="13" t="s">
        <v>72</v>
      </c>
      <c r="X1023" s="17">
        <f>DATE(2024,7,4)</f>
        <v>45477</v>
      </c>
      <c r="Y1023" s="3"/>
    </row>
    <row r="1024" spans="1:25" ht="45" customHeight="1">
      <c r="A1024" s="3">
        <v>1022</v>
      </c>
      <c r="B1024" s="13" t="s">
        <v>3684</v>
      </c>
      <c r="C1024" s="13" t="s">
        <v>103</v>
      </c>
      <c r="D1024" s="13" t="s">
        <v>3685</v>
      </c>
      <c r="E1024" s="13" t="s">
        <v>1560</v>
      </c>
      <c r="F1024" s="13" t="s">
        <v>29</v>
      </c>
      <c r="G1024" s="13" t="s">
        <v>72</v>
      </c>
      <c r="H1024" s="13" t="s">
        <v>1031</v>
      </c>
      <c r="I1024" s="27" t="s">
        <v>3686</v>
      </c>
      <c r="J1024" s="27" t="s">
        <v>33</v>
      </c>
      <c r="K1024" s="27" t="s">
        <v>106</v>
      </c>
      <c r="L1024" s="27" t="s">
        <v>35</v>
      </c>
      <c r="M1024" s="27" t="s">
        <v>36</v>
      </c>
      <c r="N1024" s="17">
        <f>DATE(2024,4,23)</f>
        <v>45405</v>
      </c>
      <c r="O1024" s="13" t="s">
        <v>1198</v>
      </c>
      <c r="P1024" s="13" t="s">
        <v>74</v>
      </c>
      <c r="Q1024" s="13" t="s">
        <v>38</v>
      </c>
      <c r="R1024" s="13" t="s">
        <v>3687</v>
      </c>
      <c r="S1024" s="13" t="s">
        <v>74</v>
      </c>
      <c r="T1024" s="28">
        <v>50.94</v>
      </c>
      <c r="U1024" s="13" t="s">
        <v>1560</v>
      </c>
      <c r="V1024" s="13" t="s">
        <v>752</v>
      </c>
      <c r="W1024" s="13" t="s">
        <v>72</v>
      </c>
      <c r="X1024" s="17">
        <f>DATE(2024,7,4)</f>
        <v>45477</v>
      </c>
      <c r="Y1024" s="3"/>
    </row>
    <row r="1025" spans="1:25" ht="45" customHeight="1">
      <c r="A1025" s="3">
        <v>1023</v>
      </c>
      <c r="B1025" s="13" t="s">
        <v>3688</v>
      </c>
      <c r="C1025" s="13" t="s">
        <v>103</v>
      </c>
      <c r="D1025" s="13" t="s">
        <v>3689</v>
      </c>
      <c r="E1025" s="13" t="s">
        <v>694</v>
      </c>
      <c r="F1025" s="13" t="s">
        <v>417</v>
      </c>
      <c r="G1025" s="13" t="s">
        <v>1272</v>
      </c>
      <c r="H1025" s="13" t="s">
        <v>419</v>
      </c>
      <c r="I1025" s="27" t="s">
        <v>3690</v>
      </c>
      <c r="J1025" s="27" t="s">
        <v>33</v>
      </c>
      <c r="K1025" s="27" t="s">
        <v>106</v>
      </c>
      <c r="L1025" s="27" t="s">
        <v>208</v>
      </c>
      <c r="M1025" s="27" t="s">
        <v>1681</v>
      </c>
      <c r="N1025" s="17">
        <f>DATE(2024,5,6)</f>
        <v>45418</v>
      </c>
      <c r="O1025" s="13" t="s">
        <v>107</v>
      </c>
      <c r="P1025" s="13" t="s">
        <v>421</v>
      </c>
      <c r="Q1025" s="13" t="s">
        <v>465</v>
      </c>
      <c r="R1025" s="13" t="s">
        <v>3691</v>
      </c>
      <c r="S1025" s="13" t="s">
        <v>423</v>
      </c>
      <c r="T1025" s="28">
        <v>30.31</v>
      </c>
      <c r="U1025" s="13" t="s">
        <v>694</v>
      </c>
      <c r="V1025" s="13" t="s">
        <v>413</v>
      </c>
      <c r="W1025" s="13" t="s">
        <v>1275</v>
      </c>
      <c r="X1025" s="17">
        <f>DATE(2024,8,6)</f>
        <v>45510</v>
      </c>
      <c r="Y1025" s="3"/>
    </row>
    <row r="1026" spans="1:25" ht="45" customHeight="1">
      <c r="A1026" s="3">
        <v>1024</v>
      </c>
      <c r="B1026" s="13" t="s">
        <v>3692</v>
      </c>
      <c r="C1026" s="13" t="s">
        <v>26</v>
      </c>
      <c r="D1026" s="13" t="s">
        <v>3693</v>
      </c>
      <c r="E1026" s="13" t="s">
        <v>445</v>
      </c>
      <c r="F1026" s="13" t="s">
        <v>521</v>
      </c>
      <c r="G1026" s="13" t="s">
        <v>405</v>
      </c>
      <c r="H1026" s="13" t="s">
        <v>406</v>
      </c>
      <c r="I1026" s="27" t="s">
        <v>3694</v>
      </c>
      <c r="J1026" s="27" t="s">
        <v>33</v>
      </c>
      <c r="K1026" s="27" t="s">
        <v>34</v>
      </c>
      <c r="L1026" s="27" t="s">
        <v>35</v>
      </c>
      <c r="M1026" s="27" t="s">
        <v>36</v>
      </c>
      <c r="N1026" s="17">
        <f>DATE(2024,5,20)</f>
        <v>45432</v>
      </c>
      <c r="O1026" s="13" t="s">
        <v>107</v>
      </c>
      <c r="P1026" s="13" t="s">
        <v>545</v>
      </c>
      <c r="Q1026" s="13" t="s">
        <v>431</v>
      </c>
      <c r="R1026" s="13" t="s">
        <v>3695</v>
      </c>
      <c r="S1026" s="13" t="s">
        <v>525</v>
      </c>
      <c r="T1026" s="28">
        <v>28.02</v>
      </c>
      <c r="U1026" s="13" t="s">
        <v>445</v>
      </c>
      <c r="V1026" s="13" t="s">
        <v>413</v>
      </c>
      <c r="W1026" s="13" t="s">
        <v>405</v>
      </c>
      <c r="X1026" s="17">
        <f>DATE(2024,7,29)</f>
        <v>45502</v>
      </c>
      <c r="Y1026" s="3"/>
    </row>
    <row r="1027" spans="1:25" ht="45" customHeight="1">
      <c r="A1027" s="3">
        <v>1025</v>
      </c>
      <c r="B1027" s="13" t="s">
        <v>3696</v>
      </c>
      <c r="C1027" s="13" t="s">
        <v>26</v>
      </c>
      <c r="D1027" s="13" t="s">
        <v>230</v>
      </c>
      <c r="E1027" s="13" t="s">
        <v>499</v>
      </c>
      <c r="F1027" s="13" t="s">
        <v>29</v>
      </c>
      <c r="G1027" s="13" t="s">
        <v>85</v>
      </c>
      <c r="H1027" s="13" t="s">
        <v>406</v>
      </c>
      <c r="I1027" s="27" t="s">
        <v>3697</v>
      </c>
      <c r="J1027" s="27" t="s">
        <v>33</v>
      </c>
      <c r="K1027" s="27" t="s">
        <v>34</v>
      </c>
      <c r="L1027" s="27" t="s">
        <v>35</v>
      </c>
      <c r="M1027" s="27" t="s">
        <v>36</v>
      </c>
      <c r="N1027" s="17">
        <f>DATE(2024,5,20)</f>
        <v>45432</v>
      </c>
      <c r="O1027" s="13" t="s">
        <v>107</v>
      </c>
      <c r="P1027" s="13" t="s">
        <v>87</v>
      </c>
      <c r="Q1027" s="13" t="s">
        <v>501</v>
      </c>
      <c r="R1027" s="13" t="s">
        <v>3698</v>
      </c>
      <c r="S1027" s="13" t="s">
        <v>503</v>
      </c>
      <c r="T1027" s="28">
        <v>56.55</v>
      </c>
      <c r="U1027" s="13" t="s">
        <v>499</v>
      </c>
      <c r="V1027" s="13" t="s">
        <v>146</v>
      </c>
      <c r="W1027" s="13" t="s">
        <v>85</v>
      </c>
      <c r="X1027" s="17">
        <f>DATE(2024,8,20)</f>
        <v>45524</v>
      </c>
      <c r="Y1027" s="3"/>
    </row>
    <row r="1028" spans="1:25" ht="45" customHeight="1">
      <c r="A1028" s="3">
        <v>1026</v>
      </c>
      <c r="B1028" s="13" t="s">
        <v>3699</v>
      </c>
      <c r="C1028" s="13" t="s">
        <v>26</v>
      </c>
      <c r="D1028" s="13" t="s">
        <v>3700</v>
      </c>
      <c r="E1028" s="13" t="s">
        <v>765</v>
      </c>
      <c r="F1028" s="13" t="s">
        <v>453</v>
      </c>
      <c r="G1028" s="13" t="s">
        <v>454</v>
      </c>
      <c r="H1028" s="13" t="s">
        <v>453</v>
      </c>
      <c r="I1028" s="27" t="s">
        <v>3701</v>
      </c>
      <c r="J1028" s="27" t="s">
        <v>33</v>
      </c>
      <c r="K1028" s="27" t="s">
        <v>34</v>
      </c>
      <c r="L1028" s="27" t="s">
        <v>35</v>
      </c>
      <c r="M1028" s="27" t="s">
        <v>36</v>
      </c>
      <c r="N1028" s="17">
        <f>DATE(2024,5,20)</f>
        <v>45432</v>
      </c>
      <c r="O1028" s="13" t="s">
        <v>107</v>
      </c>
      <c r="P1028" s="13" t="s">
        <v>456</v>
      </c>
      <c r="Q1028" s="13" t="s">
        <v>670</v>
      </c>
      <c r="R1028" s="13" t="s">
        <v>3702</v>
      </c>
      <c r="S1028" s="13" t="s">
        <v>458</v>
      </c>
      <c r="T1028" s="28">
        <v>25.63</v>
      </c>
      <c r="U1028" s="13" t="s">
        <v>765</v>
      </c>
      <c r="V1028" s="13" t="s">
        <v>53</v>
      </c>
      <c r="W1028" s="13" t="s">
        <v>454</v>
      </c>
      <c r="X1028" s="17">
        <f>DATE(2024,7,30)</f>
        <v>45503</v>
      </c>
      <c r="Y1028" s="3"/>
    </row>
    <row r="1029" spans="1:25" ht="45" customHeight="1">
      <c r="A1029" s="3">
        <v>1027</v>
      </c>
      <c r="B1029" s="13" t="s">
        <v>3703</v>
      </c>
      <c r="C1029" s="13" t="s">
        <v>26</v>
      </c>
      <c r="D1029" s="13" t="s">
        <v>3704</v>
      </c>
      <c r="E1029" s="13" t="s">
        <v>765</v>
      </c>
      <c r="F1029" s="13" t="s">
        <v>453</v>
      </c>
      <c r="G1029" s="13" t="s">
        <v>454</v>
      </c>
      <c r="H1029" s="13" t="s">
        <v>453</v>
      </c>
      <c r="I1029" s="27" t="s">
        <v>3705</v>
      </c>
      <c r="J1029" s="27" t="s">
        <v>33</v>
      </c>
      <c r="K1029" s="27" t="s">
        <v>34</v>
      </c>
      <c r="L1029" s="27" t="s">
        <v>35</v>
      </c>
      <c r="M1029" s="27" t="s">
        <v>36</v>
      </c>
      <c r="N1029" s="17">
        <f>DATE(2024,5,20)</f>
        <v>45432</v>
      </c>
      <c r="O1029" s="13" t="s">
        <v>107</v>
      </c>
      <c r="P1029" s="13" t="s">
        <v>456</v>
      </c>
      <c r="Q1029" s="13" t="s">
        <v>670</v>
      </c>
      <c r="R1029" s="13" t="s">
        <v>3706</v>
      </c>
      <c r="S1029" s="13" t="s">
        <v>458</v>
      </c>
      <c r="T1029" s="28">
        <v>29.8</v>
      </c>
      <c r="U1029" s="13" t="s">
        <v>765</v>
      </c>
      <c r="V1029" s="13" t="s">
        <v>89</v>
      </c>
      <c r="W1029" s="13" t="s">
        <v>454</v>
      </c>
      <c r="X1029" s="17">
        <f>DATE(2024,7,30)</f>
        <v>45503</v>
      </c>
      <c r="Y1029" s="3"/>
    </row>
    <row r="1030" spans="1:25" ht="45" customHeight="1">
      <c r="A1030" s="3">
        <v>1028</v>
      </c>
      <c r="B1030" s="13" t="s">
        <v>3707</v>
      </c>
      <c r="C1030" s="13" t="s">
        <v>26</v>
      </c>
      <c r="D1030" s="13" t="s">
        <v>3708</v>
      </c>
      <c r="E1030" s="13" t="s">
        <v>427</v>
      </c>
      <c r="F1030" s="13" t="s">
        <v>1882</v>
      </c>
      <c r="G1030" s="13" t="s">
        <v>1882</v>
      </c>
      <c r="H1030" s="13" t="s">
        <v>1883</v>
      </c>
      <c r="I1030" s="27" t="s">
        <v>3709</v>
      </c>
      <c r="J1030" s="27" t="s">
        <v>33</v>
      </c>
      <c r="K1030" s="27" t="s">
        <v>34</v>
      </c>
      <c r="L1030" s="27" t="s">
        <v>208</v>
      </c>
      <c r="M1030" s="27" t="s">
        <v>209</v>
      </c>
      <c r="N1030" s="17">
        <f>DATE(2024,6,18)</f>
        <v>45461</v>
      </c>
      <c r="O1030" s="13" t="s">
        <v>107</v>
      </c>
      <c r="P1030" s="13" t="s">
        <v>1885</v>
      </c>
      <c r="Q1030" s="13" t="s">
        <v>431</v>
      </c>
      <c r="R1030" s="13" t="s">
        <v>3710</v>
      </c>
      <c r="S1030" s="13" t="s">
        <v>570</v>
      </c>
      <c r="T1030" s="28">
        <v>36.57</v>
      </c>
      <c r="U1030" s="13" t="s">
        <v>427</v>
      </c>
      <c r="V1030" s="13" t="s">
        <v>413</v>
      </c>
      <c r="W1030" s="13" t="s">
        <v>1887</v>
      </c>
      <c r="X1030" s="17">
        <f>DATE(2024,9,18)</f>
        <v>45553</v>
      </c>
      <c r="Y1030" s="3"/>
    </row>
    <row r="1031" spans="1:25" ht="45" customHeight="1">
      <c r="A1031" s="3">
        <v>1029</v>
      </c>
      <c r="B1031" s="13" t="s">
        <v>3711</v>
      </c>
      <c r="C1031" s="13" t="s">
        <v>26</v>
      </c>
      <c r="D1031" s="13" t="s">
        <v>1606</v>
      </c>
      <c r="E1031" s="13" t="s">
        <v>499</v>
      </c>
      <c r="F1031" s="13" t="s">
        <v>29</v>
      </c>
      <c r="G1031" s="13" t="s">
        <v>30</v>
      </c>
      <c r="H1031" s="13" t="s">
        <v>406</v>
      </c>
      <c r="I1031" s="27" t="s">
        <v>3712</v>
      </c>
      <c r="J1031" s="27" t="s">
        <v>33</v>
      </c>
      <c r="K1031" s="27" t="s">
        <v>34</v>
      </c>
      <c r="L1031" s="27" t="s">
        <v>35</v>
      </c>
      <c r="M1031" s="27" t="s">
        <v>36</v>
      </c>
      <c r="N1031" s="17">
        <f>DATE(2024,6,10)</f>
        <v>45453</v>
      </c>
      <c r="O1031" s="13" t="s">
        <v>107</v>
      </c>
      <c r="P1031" s="13" t="s">
        <v>37</v>
      </c>
      <c r="Q1031" s="13" t="s">
        <v>501</v>
      </c>
      <c r="R1031" s="13" t="s">
        <v>3713</v>
      </c>
      <c r="S1031" s="13" t="s">
        <v>441</v>
      </c>
      <c r="T1031" s="28">
        <v>29.46</v>
      </c>
      <c r="U1031" s="13" t="s">
        <v>499</v>
      </c>
      <c r="V1031" s="13" t="s">
        <v>89</v>
      </c>
      <c r="W1031" s="13" t="s">
        <v>30</v>
      </c>
      <c r="X1031" s="17">
        <f>DATE(2025,3,5)</f>
        <v>45721</v>
      </c>
      <c r="Y1031" s="3"/>
    </row>
    <row r="1032" spans="1:25" ht="45" customHeight="1">
      <c r="A1032" s="3">
        <v>1030</v>
      </c>
      <c r="B1032" s="13" t="s">
        <v>3714</v>
      </c>
      <c r="C1032" s="13" t="s">
        <v>26</v>
      </c>
      <c r="D1032" s="13" t="s">
        <v>3715</v>
      </c>
      <c r="E1032" s="13" t="s">
        <v>28</v>
      </c>
      <c r="F1032" s="13" t="s">
        <v>446</v>
      </c>
      <c r="G1032" s="13" t="s">
        <v>447</v>
      </c>
      <c r="H1032" s="13" t="s">
        <v>406</v>
      </c>
      <c r="I1032" s="27" t="s">
        <v>3716</v>
      </c>
      <c r="J1032" s="27" t="s">
        <v>33</v>
      </c>
      <c r="K1032" s="27" t="s">
        <v>34</v>
      </c>
      <c r="L1032" s="27" t="s">
        <v>35</v>
      </c>
      <c r="M1032" s="27" t="s">
        <v>36</v>
      </c>
      <c r="N1032" s="17">
        <f>DATE(2024,7,10)</f>
        <v>45483</v>
      </c>
      <c r="O1032" s="13" t="s">
        <v>1198</v>
      </c>
      <c r="P1032" s="13" t="s">
        <v>449</v>
      </c>
      <c r="Q1032" s="13" t="s">
        <v>38</v>
      </c>
      <c r="R1032" s="13" t="s">
        <v>3717</v>
      </c>
      <c r="S1032" s="13" t="s">
        <v>403</v>
      </c>
      <c r="T1032" s="28">
        <v>29.52</v>
      </c>
      <c r="U1032" s="13" t="s">
        <v>28</v>
      </c>
      <c r="V1032" s="13" t="s">
        <v>752</v>
      </c>
      <c r="W1032" s="13" t="s">
        <v>447</v>
      </c>
      <c r="X1032" s="17">
        <f>DATE(2024,10,10)</f>
        <v>45575</v>
      </c>
      <c r="Y1032" s="3"/>
    </row>
    <row r="1033" spans="1:25" ht="45" customHeight="1">
      <c r="A1033" s="3">
        <v>1031</v>
      </c>
      <c r="B1033" s="13" t="s">
        <v>3718</v>
      </c>
      <c r="C1033" s="13" t="s">
        <v>26</v>
      </c>
      <c r="D1033" s="13" t="s">
        <v>3719</v>
      </c>
      <c r="E1033" s="13" t="s">
        <v>28</v>
      </c>
      <c r="F1033" s="13" t="s">
        <v>446</v>
      </c>
      <c r="G1033" s="13" t="s">
        <v>447</v>
      </c>
      <c r="H1033" s="13" t="s">
        <v>406</v>
      </c>
      <c r="I1033" s="27" t="s">
        <v>3720</v>
      </c>
      <c r="J1033" s="27" t="s">
        <v>33</v>
      </c>
      <c r="K1033" s="27" t="s">
        <v>34</v>
      </c>
      <c r="L1033" s="27" t="s">
        <v>35</v>
      </c>
      <c r="M1033" s="27" t="s">
        <v>36</v>
      </c>
      <c r="N1033" s="17">
        <f>DATE(2024,7,10)</f>
        <v>45483</v>
      </c>
      <c r="O1033" s="13" t="s">
        <v>34</v>
      </c>
      <c r="P1033" s="13" t="s">
        <v>449</v>
      </c>
      <c r="Q1033" s="13" t="s">
        <v>38</v>
      </c>
      <c r="R1033" s="13" t="s">
        <v>3721</v>
      </c>
      <c r="S1033" s="13" t="s">
        <v>403</v>
      </c>
      <c r="T1033" s="28">
        <v>24.84</v>
      </c>
      <c r="U1033" s="13" t="s">
        <v>28</v>
      </c>
      <c r="V1033" s="13" t="s">
        <v>752</v>
      </c>
      <c r="W1033" s="13" t="s">
        <v>447</v>
      </c>
      <c r="X1033" s="17">
        <f>DATE(2024,10,10)</f>
        <v>45575</v>
      </c>
      <c r="Y1033" s="3"/>
    </row>
    <row r="1034" spans="1:25" ht="45" customHeight="1">
      <c r="A1034" s="3">
        <v>1032</v>
      </c>
      <c r="B1034" s="13" t="s">
        <v>3722</v>
      </c>
      <c r="C1034" s="13" t="s">
        <v>26</v>
      </c>
      <c r="D1034" s="13" t="s">
        <v>3723</v>
      </c>
      <c r="E1034" s="13" t="s">
        <v>28</v>
      </c>
      <c r="F1034" s="13" t="s">
        <v>446</v>
      </c>
      <c r="G1034" s="13" t="s">
        <v>447</v>
      </c>
      <c r="H1034" s="13" t="s">
        <v>406</v>
      </c>
      <c r="I1034" s="27" t="s">
        <v>3724</v>
      </c>
      <c r="J1034" s="27" t="s">
        <v>33</v>
      </c>
      <c r="K1034" s="27" t="s">
        <v>34</v>
      </c>
      <c r="L1034" s="27" t="s">
        <v>35</v>
      </c>
      <c r="M1034" s="27" t="s">
        <v>36</v>
      </c>
      <c r="N1034" s="17">
        <f>DATE(2024,7,10)</f>
        <v>45483</v>
      </c>
      <c r="O1034" s="13" t="s">
        <v>34</v>
      </c>
      <c r="P1034" s="13" t="s">
        <v>449</v>
      </c>
      <c r="Q1034" s="13" t="s">
        <v>38</v>
      </c>
      <c r="R1034" s="13" t="s">
        <v>3725</v>
      </c>
      <c r="S1034" s="13" t="s">
        <v>403</v>
      </c>
      <c r="T1034" s="28">
        <v>27.28</v>
      </c>
      <c r="U1034" s="13" t="s">
        <v>28</v>
      </c>
      <c r="V1034" s="13" t="s">
        <v>752</v>
      </c>
      <c r="W1034" s="13" t="s">
        <v>447</v>
      </c>
      <c r="X1034" s="17">
        <f>DATE(2024,10,10)</f>
        <v>45575</v>
      </c>
      <c r="Y1034" s="3"/>
    </row>
    <row r="1035" spans="1:25" ht="45" customHeight="1">
      <c r="A1035" s="3">
        <v>1033</v>
      </c>
      <c r="B1035" s="13" t="s">
        <v>3726</v>
      </c>
      <c r="C1035" s="13" t="s">
        <v>26</v>
      </c>
      <c r="D1035" s="13" t="s">
        <v>3727</v>
      </c>
      <c r="E1035" s="13" t="s">
        <v>28</v>
      </c>
      <c r="F1035" s="13" t="s">
        <v>446</v>
      </c>
      <c r="G1035" s="13" t="s">
        <v>447</v>
      </c>
      <c r="H1035" s="13" t="s">
        <v>406</v>
      </c>
      <c r="I1035" s="27" t="s">
        <v>3728</v>
      </c>
      <c r="J1035" s="27" t="s">
        <v>33</v>
      </c>
      <c r="K1035" s="27" t="s">
        <v>34</v>
      </c>
      <c r="L1035" s="27" t="s">
        <v>35</v>
      </c>
      <c r="M1035" s="27" t="s">
        <v>36</v>
      </c>
      <c r="N1035" s="17">
        <f>DATE(2024,7,10)</f>
        <v>45483</v>
      </c>
      <c r="O1035" s="13" t="s">
        <v>34</v>
      </c>
      <c r="P1035" s="13" t="s">
        <v>449</v>
      </c>
      <c r="Q1035" s="13" t="s">
        <v>38</v>
      </c>
      <c r="R1035" s="13" t="s">
        <v>3729</v>
      </c>
      <c r="S1035" s="13" t="s">
        <v>403</v>
      </c>
      <c r="T1035" s="28">
        <v>22.71</v>
      </c>
      <c r="U1035" s="13" t="s">
        <v>28</v>
      </c>
      <c r="V1035" s="13" t="s">
        <v>752</v>
      </c>
      <c r="W1035" s="13" t="s">
        <v>447</v>
      </c>
      <c r="X1035" s="17">
        <f>DATE(2024,10,10)</f>
        <v>45575</v>
      </c>
      <c r="Y1035" s="3"/>
    </row>
    <row r="1036" spans="1:25" ht="45" customHeight="1">
      <c r="A1036" s="3">
        <v>1034</v>
      </c>
      <c r="B1036" s="13" t="s">
        <v>3730</v>
      </c>
      <c r="C1036" s="13" t="s">
        <v>103</v>
      </c>
      <c r="D1036" s="13" t="s">
        <v>456</v>
      </c>
      <c r="E1036" s="13" t="s">
        <v>416</v>
      </c>
      <c r="F1036" s="13" t="s">
        <v>744</v>
      </c>
      <c r="G1036" s="13" t="s">
        <v>744</v>
      </c>
      <c r="H1036" s="13" t="s">
        <v>744</v>
      </c>
      <c r="I1036" s="27" t="s">
        <v>3731</v>
      </c>
      <c r="J1036" s="27" t="s">
        <v>33</v>
      </c>
      <c r="K1036" s="27" t="s">
        <v>106</v>
      </c>
      <c r="L1036" s="27" t="s">
        <v>408</v>
      </c>
      <c r="M1036" s="27" t="s">
        <v>1681</v>
      </c>
      <c r="N1036" s="17">
        <f>DATE(2024,7,22)</f>
        <v>45495</v>
      </c>
      <c r="O1036" s="13" t="s">
        <v>107</v>
      </c>
      <c r="P1036" s="13" t="s">
        <v>458</v>
      </c>
      <c r="Q1036" s="13" t="s">
        <v>411</v>
      </c>
      <c r="R1036" s="13" t="s">
        <v>3732</v>
      </c>
      <c r="S1036" s="13" t="s">
        <v>458</v>
      </c>
      <c r="T1036" s="28">
        <v>52.91</v>
      </c>
      <c r="U1036" s="13" t="s">
        <v>416</v>
      </c>
      <c r="V1036" s="13" t="s">
        <v>413</v>
      </c>
      <c r="W1036" s="13" t="s">
        <v>744</v>
      </c>
      <c r="X1036" s="17">
        <f>DATE(2024,11,29)</f>
        <v>45625</v>
      </c>
      <c r="Y1036" s="3"/>
    </row>
    <row r="1037" spans="1:25" ht="45" customHeight="1">
      <c r="A1037" s="3">
        <v>1035</v>
      </c>
      <c r="B1037" s="13" t="s">
        <v>3733</v>
      </c>
      <c r="C1037" s="13" t="s">
        <v>103</v>
      </c>
      <c r="D1037" s="13" t="s">
        <v>3734</v>
      </c>
      <c r="E1037" s="13" t="s">
        <v>28</v>
      </c>
      <c r="F1037" s="13" t="s">
        <v>816</v>
      </c>
      <c r="G1037" s="13" t="s">
        <v>817</v>
      </c>
      <c r="H1037" s="13" t="s">
        <v>817</v>
      </c>
      <c r="I1037" s="27" t="s">
        <v>3735</v>
      </c>
      <c r="J1037" s="27" t="s">
        <v>33</v>
      </c>
      <c r="K1037" s="27" t="s">
        <v>106</v>
      </c>
      <c r="L1037" s="27" t="s">
        <v>35</v>
      </c>
      <c r="M1037" s="27" t="s">
        <v>36</v>
      </c>
      <c r="N1037" s="17">
        <f t="shared" ref="N1037:N1100" si="78">DATE(2024,8,16)</f>
        <v>45520</v>
      </c>
      <c r="O1037" s="13" t="s">
        <v>107</v>
      </c>
      <c r="P1037" s="13" t="s">
        <v>819</v>
      </c>
      <c r="Q1037" s="13" t="s">
        <v>38</v>
      </c>
      <c r="R1037" s="13" t="s">
        <v>3736</v>
      </c>
      <c r="S1037" s="13" t="s">
        <v>821</v>
      </c>
      <c r="T1037" s="28">
        <v>27.54</v>
      </c>
      <c r="U1037" s="13" t="s">
        <v>28</v>
      </c>
      <c r="V1037" s="13" t="s">
        <v>799</v>
      </c>
      <c r="W1037" s="13" t="s">
        <v>817</v>
      </c>
      <c r="X1037" s="17">
        <f t="shared" ref="X1037:X1100" si="79">DATE(2024,9,16)</f>
        <v>45551</v>
      </c>
      <c r="Y1037" s="3"/>
    </row>
    <row r="1038" spans="1:25" ht="45" customHeight="1">
      <c r="A1038" s="3">
        <v>1036</v>
      </c>
      <c r="B1038" s="13" t="s">
        <v>3737</v>
      </c>
      <c r="C1038" s="13" t="s">
        <v>103</v>
      </c>
      <c r="D1038" s="13" t="s">
        <v>3738</v>
      </c>
      <c r="E1038" s="13" t="s">
        <v>28</v>
      </c>
      <c r="F1038" s="13" t="s">
        <v>816</v>
      </c>
      <c r="G1038" s="13" t="s">
        <v>817</v>
      </c>
      <c r="H1038" s="13" t="s">
        <v>817</v>
      </c>
      <c r="I1038" s="27" t="s">
        <v>3739</v>
      </c>
      <c r="J1038" s="27" t="s">
        <v>33</v>
      </c>
      <c r="K1038" s="27" t="s">
        <v>106</v>
      </c>
      <c r="L1038" s="27" t="s">
        <v>35</v>
      </c>
      <c r="M1038" s="27" t="s">
        <v>36</v>
      </c>
      <c r="N1038" s="17">
        <f t="shared" si="78"/>
        <v>45520</v>
      </c>
      <c r="O1038" s="13" t="s">
        <v>34</v>
      </c>
      <c r="P1038" s="13" t="s">
        <v>821</v>
      </c>
      <c r="Q1038" s="13" t="s">
        <v>38</v>
      </c>
      <c r="R1038" s="13" t="s">
        <v>3740</v>
      </c>
      <c r="S1038" s="13" t="s">
        <v>821</v>
      </c>
      <c r="T1038" s="28">
        <v>25.37</v>
      </c>
      <c r="U1038" s="13" t="s">
        <v>28</v>
      </c>
      <c r="V1038" s="13" t="s">
        <v>799</v>
      </c>
      <c r="W1038" s="13" t="s">
        <v>817</v>
      </c>
      <c r="X1038" s="17">
        <f t="shared" si="79"/>
        <v>45551</v>
      </c>
      <c r="Y1038" s="3"/>
    </row>
    <row r="1039" spans="1:25" ht="45" customHeight="1">
      <c r="A1039" s="3">
        <v>1037</v>
      </c>
      <c r="B1039" s="13" t="s">
        <v>3741</v>
      </c>
      <c r="C1039" s="13" t="s">
        <v>26</v>
      </c>
      <c r="D1039" s="13" t="s">
        <v>3742</v>
      </c>
      <c r="E1039" s="13" t="s">
        <v>1064</v>
      </c>
      <c r="F1039" s="13" t="s">
        <v>475</v>
      </c>
      <c r="G1039" s="13" t="s">
        <v>476</v>
      </c>
      <c r="H1039" s="13" t="s">
        <v>406</v>
      </c>
      <c r="I1039" s="27" t="s">
        <v>3743</v>
      </c>
      <c r="J1039" s="27" t="s">
        <v>33</v>
      </c>
      <c r="K1039" s="27" t="s">
        <v>34</v>
      </c>
      <c r="L1039" s="27" t="s">
        <v>35</v>
      </c>
      <c r="M1039" s="27" t="s">
        <v>36</v>
      </c>
      <c r="N1039" s="17">
        <f t="shared" si="78"/>
        <v>45520</v>
      </c>
      <c r="O1039" s="13" t="s">
        <v>34</v>
      </c>
      <c r="P1039" s="13" t="s">
        <v>473</v>
      </c>
      <c r="Q1039" s="13" t="s">
        <v>38</v>
      </c>
      <c r="R1039" s="13" t="s">
        <v>3744</v>
      </c>
      <c r="S1039" s="13" t="s">
        <v>478</v>
      </c>
      <c r="T1039" s="28">
        <v>25.73</v>
      </c>
      <c r="U1039" s="13" t="s">
        <v>28</v>
      </c>
      <c r="V1039" s="13" t="s">
        <v>146</v>
      </c>
      <c r="W1039" s="13" t="s">
        <v>476</v>
      </c>
      <c r="X1039" s="17">
        <f t="shared" si="79"/>
        <v>45551</v>
      </c>
      <c r="Y1039" s="3"/>
    </row>
    <row r="1040" spans="1:25" ht="45" customHeight="1">
      <c r="A1040" s="3">
        <v>1038</v>
      </c>
      <c r="B1040" s="13" t="s">
        <v>3745</v>
      </c>
      <c r="C1040" s="13" t="s">
        <v>26</v>
      </c>
      <c r="D1040" s="13" t="s">
        <v>3746</v>
      </c>
      <c r="E1040" s="13" t="s">
        <v>28</v>
      </c>
      <c r="F1040" s="13" t="s">
        <v>491</v>
      </c>
      <c r="G1040" s="13" t="s">
        <v>950</v>
      </c>
      <c r="H1040" s="13" t="s">
        <v>406</v>
      </c>
      <c r="I1040" s="27" t="s">
        <v>3747</v>
      </c>
      <c r="J1040" s="27" t="s">
        <v>33</v>
      </c>
      <c r="K1040" s="27" t="s">
        <v>34</v>
      </c>
      <c r="L1040" s="27" t="s">
        <v>35</v>
      </c>
      <c r="M1040" s="27" t="s">
        <v>36</v>
      </c>
      <c r="N1040" s="17">
        <f t="shared" si="78"/>
        <v>45520</v>
      </c>
      <c r="O1040" s="13" t="s">
        <v>34</v>
      </c>
      <c r="P1040" s="13" t="s">
        <v>952</v>
      </c>
      <c r="Q1040" s="13" t="s">
        <v>38</v>
      </c>
      <c r="R1040" s="13" t="s">
        <v>3748</v>
      </c>
      <c r="S1040" s="13" t="s">
        <v>496</v>
      </c>
      <c r="T1040" s="28">
        <v>26.78</v>
      </c>
      <c r="U1040" s="13" t="s">
        <v>28</v>
      </c>
      <c r="V1040" s="13" t="s">
        <v>53</v>
      </c>
      <c r="W1040" s="13" t="s">
        <v>954</v>
      </c>
      <c r="X1040" s="17">
        <f t="shared" si="79"/>
        <v>45551</v>
      </c>
      <c r="Y1040" s="3"/>
    </row>
    <row r="1041" spans="1:25" ht="45" customHeight="1">
      <c r="A1041" s="3">
        <v>1039</v>
      </c>
      <c r="B1041" s="13" t="s">
        <v>3749</v>
      </c>
      <c r="C1041" s="13" t="s">
        <v>26</v>
      </c>
      <c r="D1041" s="13" t="s">
        <v>3750</v>
      </c>
      <c r="E1041" s="13" t="s">
        <v>28</v>
      </c>
      <c r="F1041" s="13" t="s">
        <v>29</v>
      </c>
      <c r="G1041" s="13" t="s">
        <v>79</v>
      </c>
      <c r="H1041" s="13" t="s">
        <v>1031</v>
      </c>
      <c r="I1041" s="27" t="s">
        <v>3751</v>
      </c>
      <c r="J1041" s="27" t="s">
        <v>33</v>
      </c>
      <c r="K1041" s="27" t="s">
        <v>34</v>
      </c>
      <c r="L1041" s="27" t="s">
        <v>35</v>
      </c>
      <c r="M1041" s="27" t="s">
        <v>36</v>
      </c>
      <c r="N1041" s="17">
        <f t="shared" si="78"/>
        <v>45520</v>
      </c>
      <c r="O1041" s="13" t="s">
        <v>34</v>
      </c>
      <c r="P1041" s="13" t="s">
        <v>81</v>
      </c>
      <c r="Q1041" s="13" t="s">
        <v>38</v>
      </c>
      <c r="R1041" s="13" t="s">
        <v>3752</v>
      </c>
      <c r="S1041" s="13" t="s">
        <v>81</v>
      </c>
      <c r="T1041" s="28">
        <v>23.39</v>
      </c>
      <c r="U1041" s="13" t="s">
        <v>28</v>
      </c>
      <c r="V1041" s="13" t="s">
        <v>752</v>
      </c>
      <c r="W1041" s="13" t="s">
        <v>79</v>
      </c>
      <c r="X1041" s="17">
        <f t="shared" si="79"/>
        <v>45551</v>
      </c>
      <c r="Y1041" s="3"/>
    </row>
    <row r="1042" spans="1:25" ht="45" customHeight="1">
      <c r="A1042" s="3">
        <v>1040</v>
      </c>
      <c r="B1042" s="13" t="s">
        <v>3753</v>
      </c>
      <c r="C1042" s="13" t="s">
        <v>103</v>
      </c>
      <c r="D1042" s="13" t="s">
        <v>3754</v>
      </c>
      <c r="E1042" s="13" t="s">
        <v>28</v>
      </c>
      <c r="F1042" s="13" t="s">
        <v>29</v>
      </c>
      <c r="G1042" s="13" t="s">
        <v>1216</v>
      </c>
      <c r="H1042" s="13" t="s">
        <v>1031</v>
      </c>
      <c r="I1042" s="27" t="s">
        <v>3755</v>
      </c>
      <c r="J1042" s="27" t="s">
        <v>33</v>
      </c>
      <c r="K1042" s="27" t="s">
        <v>106</v>
      </c>
      <c r="L1042" s="27" t="s">
        <v>35</v>
      </c>
      <c r="M1042" s="27" t="s">
        <v>36</v>
      </c>
      <c r="N1042" s="17">
        <f t="shared" si="78"/>
        <v>45520</v>
      </c>
      <c r="O1042" s="13" t="s">
        <v>107</v>
      </c>
      <c r="P1042" s="13" t="s">
        <v>1231</v>
      </c>
      <c r="Q1042" s="13" t="s">
        <v>38</v>
      </c>
      <c r="R1042" s="13" t="s">
        <v>3756</v>
      </c>
      <c r="S1042" s="13" t="s">
        <v>1215</v>
      </c>
      <c r="T1042" s="28">
        <v>21.11</v>
      </c>
      <c r="U1042" s="13" t="s">
        <v>28</v>
      </c>
      <c r="V1042" s="13" t="s">
        <v>89</v>
      </c>
      <c r="W1042" s="13" t="s">
        <v>1219</v>
      </c>
      <c r="X1042" s="17">
        <f t="shared" si="79"/>
        <v>45551</v>
      </c>
      <c r="Y1042" s="3"/>
    </row>
    <row r="1043" spans="1:25" ht="45" customHeight="1">
      <c r="A1043" s="3">
        <v>1041</v>
      </c>
      <c r="B1043" s="13" t="s">
        <v>3757</v>
      </c>
      <c r="C1043" s="13" t="s">
        <v>103</v>
      </c>
      <c r="D1043" s="13" t="s">
        <v>3758</v>
      </c>
      <c r="E1043" s="13" t="s">
        <v>1064</v>
      </c>
      <c r="F1043" s="13" t="s">
        <v>29</v>
      </c>
      <c r="G1043" s="13" t="s">
        <v>1216</v>
      </c>
      <c r="H1043" s="13" t="s">
        <v>1031</v>
      </c>
      <c r="I1043" s="27" t="s">
        <v>3759</v>
      </c>
      <c r="J1043" s="27" t="s">
        <v>33</v>
      </c>
      <c r="K1043" s="27" t="s">
        <v>106</v>
      </c>
      <c r="L1043" s="27" t="s">
        <v>35</v>
      </c>
      <c r="M1043" s="27" t="s">
        <v>36</v>
      </c>
      <c r="N1043" s="17">
        <f t="shared" si="78"/>
        <v>45520</v>
      </c>
      <c r="O1043" s="13" t="s">
        <v>34</v>
      </c>
      <c r="P1043" s="13" t="s">
        <v>1231</v>
      </c>
      <c r="Q1043" s="13" t="s">
        <v>38</v>
      </c>
      <c r="R1043" s="13" t="s">
        <v>3760</v>
      </c>
      <c r="S1043" s="13" t="s">
        <v>1215</v>
      </c>
      <c r="T1043" s="28">
        <v>29.28</v>
      </c>
      <c r="U1043" s="13" t="s">
        <v>28</v>
      </c>
      <c r="V1043" s="13" t="s">
        <v>89</v>
      </c>
      <c r="W1043" s="13" t="s">
        <v>1219</v>
      </c>
      <c r="X1043" s="17">
        <f t="shared" si="79"/>
        <v>45551</v>
      </c>
      <c r="Y1043" s="3"/>
    </row>
    <row r="1044" spans="1:25" ht="45" customHeight="1">
      <c r="A1044" s="3">
        <v>1042</v>
      </c>
      <c r="B1044" s="13" t="s">
        <v>3761</v>
      </c>
      <c r="C1044" s="13" t="s">
        <v>103</v>
      </c>
      <c r="D1044" s="13" t="s">
        <v>3762</v>
      </c>
      <c r="E1044" s="13" t="s">
        <v>28</v>
      </c>
      <c r="F1044" s="13" t="s">
        <v>29</v>
      </c>
      <c r="G1044" s="13" t="s">
        <v>1216</v>
      </c>
      <c r="H1044" s="13" t="s">
        <v>1031</v>
      </c>
      <c r="I1044" s="27" t="s">
        <v>3763</v>
      </c>
      <c r="J1044" s="27" t="s">
        <v>33</v>
      </c>
      <c r="K1044" s="27" t="s">
        <v>106</v>
      </c>
      <c r="L1044" s="27" t="s">
        <v>35</v>
      </c>
      <c r="M1044" s="27" t="s">
        <v>36</v>
      </c>
      <c r="N1044" s="17">
        <f t="shared" si="78"/>
        <v>45520</v>
      </c>
      <c r="O1044" s="13" t="s">
        <v>107</v>
      </c>
      <c r="P1044" s="13" t="s">
        <v>1231</v>
      </c>
      <c r="Q1044" s="13" t="s">
        <v>38</v>
      </c>
      <c r="R1044" s="13" t="s">
        <v>3764</v>
      </c>
      <c r="S1044" s="13" t="s">
        <v>1215</v>
      </c>
      <c r="T1044" s="28">
        <v>25.75</v>
      </c>
      <c r="U1044" s="13" t="s">
        <v>28</v>
      </c>
      <c r="V1044" s="13" t="s">
        <v>89</v>
      </c>
      <c r="W1044" s="13" t="s">
        <v>1219</v>
      </c>
      <c r="X1044" s="17">
        <f t="shared" si="79"/>
        <v>45551</v>
      </c>
      <c r="Y1044" s="3"/>
    </row>
    <row r="1045" spans="1:25" ht="45" customHeight="1">
      <c r="A1045" s="3">
        <v>1043</v>
      </c>
      <c r="B1045" s="13" t="s">
        <v>3765</v>
      </c>
      <c r="C1045" s="13" t="s">
        <v>103</v>
      </c>
      <c r="D1045" s="13" t="s">
        <v>3766</v>
      </c>
      <c r="E1045" s="13" t="s">
        <v>28</v>
      </c>
      <c r="F1045" s="13" t="s">
        <v>29</v>
      </c>
      <c r="G1045" s="13" t="s">
        <v>1216</v>
      </c>
      <c r="H1045" s="13" t="s">
        <v>1031</v>
      </c>
      <c r="I1045" s="27" t="s">
        <v>3767</v>
      </c>
      <c r="J1045" s="27" t="s">
        <v>33</v>
      </c>
      <c r="K1045" s="27" t="s">
        <v>106</v>
      </c>
      <c r="L1045" s="27" t="s">
        <v>35</v>
      </c>
      <c r="M1045" s="27" t="s">
        <v>36</v>
      </c>
      <c r="N1045" s="17">
        <f t="shared" si="78"/>
        <v>45520</v>
      </c>
      <c r="O1045" s="13" t="s">
        <v>107</v>
      </c>
      <c r="P1045" s="13" t="s">
        <v>1215</v>
      </c>
      <c r="Q1045" s="13" t="s">
        <v>38</v>
      </c>
      <c r="R1045" s="13" t="s">
        <v>3768</v>
      </c>
      <c r="S1045" s="13" t="s">
        <v>1215</v>
      </c>
      <c r="T1045" s="28">
        <v>23.95</v>
      </c>
      <c r="U1045" s="13" t="s">
        <v>28</v>
      </c>
      <c r="V1045" s="13" t="s">
        <v>146</v>
      </c>
      <c r="W1045" s="13" t="s">
        <v>1219</v>
      </c>
      <c r="X1045" s="17">
        <f t="shared" si="79"/>
        <v>45551</v>
      </c>
      <c r="Y1045" s="3"/>
    </row>
    <row r="1046" spans="1:25" ht="45" customHeight="1">
      <c r="A1046" s="3">
        <v>1044</v>
      </c>
      <c r="B1046" s="13" t="s">
        <v>3769</v>
      </c>
      <c r="C1046" s="13" t="s">
        <v>26</v>
      </c>
      <c r="D1046" s="13" t="s">
        <v>3770</v>
      </c>
      <c r="E1046" s="13" t="s">
        <v>28</v>
      </c>
      <c r="F1046" s="13" t="s">
        <v>491</v>
      </c>
      <c r="G1046" s="13" t="s">
        <v>978</v>
      </c>
      <c r="H1046" s="13" t="s">
        <v>406</v>
      </c>
      <c r="I1046" s="27" t="s">
        <v>3771</v>
      </c>
      <c r="J1046" s="27" t="s">
        <v>33</v>
      </c>
      <c r="K1046" s="27" t="s">
        <v>34</v>
      </c>
      <c r="L1046" s="27" t="s">
        <v>35</v>
      </c>
      <c r="M1046" s="27" t="s">
        <v>36</v>
      </c>
      <c r="N1046" s="17">
        <f t="shared" si="78"/>
        <v>45520</v>
      </c>
      <c r="O1046" s="13" t="s">
        <v>34</v>
      </c>
      <c r="P1046" s="13" t="s">
        <v>596</v>
      </c>
      <c r="Q1046" s="13" t="s">
        <v>38</v>
      </c>
      <c r="R1046" s="13" t="s">
        <v>3772</v>
      </c>
      <c r="S1046" s="13" t="s">
        <v>496</v>
      </c>
      <c r="T1046" s="28">
        <v>26.96</v>
      </c>
      <c r="U1046" s="13" t="s">
        <v>28</v>
      </c>
      <c r="V1046" s="13" t="s">
        <v>89</v>
      </c>
      <c r="W1046" s="13" t="s">
        <v>981</v>
      </c>
      <c r="X1046" s="17">
        <f t="shared" si="79"/>
        <v>45551</v>
      </c>
      <c r="Y1046" s="3"/>
    </row>
    <row r="1047" spans="1:25" ht="45" customHeight="1">
      <c r="A1047" s="3">
        <v>1045</v>
      </c>
      <c r="B1047" s="13" t="s">
        <v>3773</v>
      </c>
      <c r="C1047" s="13" t="s">
        <v>103</v>
      </c>
      <c r="D1047" s="13" t="s">
        <v>3774</v>
      </c>
      <c r="E1047" s="13" t="s">
        <v>28</v>
      </c>
      <c r="F1047" s="13" t="s">
        <v>29</v>
      </c>
      <c r="G1047" s="13" t="s">
        <v>1216</v>
      </c>
      <c r="H1047" s="13" t="s">
        <v>1031</v>
      </c>
      <c r="I1047" s="27" t="s">
        <v>3775</v>
      </c>
      <c r="J1047" s="27" t="s">
        <v>33</v>
      </c>
      <c r="K1047" s="27" t="s">
        <v>106</v>
      </c>
      <c r="L1047" s="27" t="s">
        <v>35</v>
      </c>
      <c r="M1047" s="27" t="s">
        <v>36</v>
      </c>
      <c r="N1047" s="17">
        <f t="shared" si="78"/>
        <v>45520</v>
      </c>
      <c r="O1047" s="13" t="s">
        <v>1198</v>
      </c>
      <c r="P1047" s="13" t="s">
        <v>1215</v>
      </c>
      <c r="Q1047" s="13" t="s">
        <v>38</v>
      </c>
      <c r="R1047" s="13" t="s">
        <v>3776</v>
      </c>
      <c r="S1047" s="13" t="s">
        <v>1215</v>
      </c>
      <c r="T1047" s="28">
        <v>30.12</v>
      </c>
      <c r="U1047" s="13" t="s">
        <v>28</v>
      </c>
      <c r="V1047" s="13" t="s">
        <v>146</v>
      </c>
      <c r="W1047" s="13" t="s">
        <v>1219</v>
      </c>
      <c r="X1047" s="17">
        <f t="shared" si="79"/>
        <v>45551</v>
      </c>
      <c r="Y1047" s="3"/>
    </row>
    <row r="1048" spans="1:25" ht="45" customHeight="1">
      <c r="A1048" s="3">
        <v>1046</v>
      </c>
      <c r="B1048" s="13" t="s">
        <v>3777</v>
      </c>
      <c r="C1048" s="13" t="s">
        <v>26</v>
      </c>
      <c r="D1048" s="13" t="s">
        <v>3778</v>
      </c>
      <c r="E1048" s="13" t="s">
        <v>28</v>
      </c>
      <c r="F1048" s="13" t="s">
        <v>29</v>
      </c>
      <c r="G1048" s="13" t="s">
        <v>79</v>
      </c>
      <c r="H1048" s="13" t="s">
        <v>1031</v>
      </c>
      <c r="I1048" s="27" t="s">
        <v>3779</v>
      </c>
      <c r="J1048" s="27" t="s">
        <v>33</v>
      </c>
      <c r="K1048" s="27" t="s">
        <v>34</v>
      </c>
      <c r="L1048" s="27" t="s">
        <v>35</v>
      </c>
      <c r="M1048" s="27" t="s">
        <v>36</v>
      </c>
      <c r="N1048" s="17">
        <f t="shared" si="78"/>
        <v>45520</v>
      </c>
      <c r="O1048" s="13" t="s">
        <v>34</v>
      </c>
      <c r="P1048" s="13" t="s">
        <v>263</v>
      </c>
      <c r="Q1048" s="13" t="s">
        <v>38</v>
      </c>
      <c r="R1048" s="13" t="s">
        <v>3780</v>
      </c>
      <c r="S1048" s="13" t="s">
        <v>81</v>
      </c>
      <c r="T1048" s="28">
        <v>23.66</v>
      </c>
      <c r="U1048" s="13" t="s">
        <v>28</v>
      </c>
      <c r="V1048" s="13" t="s">
        <v>53</v>
      </c>
      <c r="W1048" s="13" t="s">
        <v>79</v>
      </c>
      <c r="X1048" s="17">
        <f t="shared" si="79"/>
        <v>45551</v>
      </c>
      <c r="Y1048" s="3"/>
    </row>
    <row r="1049" spans="1:25" ht="45" customHeight="1">
      <c r="A1049" s="3">
        <v>1047</v>
      </c>
      <c r="B1049" s="13" t="s">
        <v>3781</v>
      </c>
      <c r="C1049" s="13" t="s">
        <v>103</v>
      </c>
      <c r="D1049" s="13" t="s">
        <v>3782</v>
      </c>
      <c r="E1049" s="13" t="s">
        <v>28</v>
      </c>
      <c r="F1049" s="13" t="s">
        <v>29</v>
      </c>
      <c r="G1049" s="13" t="s">
        <v>1216</v>
      </c>
      <c r="H1049" s="13" t="s">
        <v>1031</v>
      </c>
      <c r="I1049" s="27" t="s">
        <v>3783</v>
      </c>
      <c r="J1049" s="27" t="s">
        <v>33</v>
      </c>
      <c r="K1049" s="27" t="s">
        <v>106</v>
      </c>
      <c r="L1049" s="27" t="s">
        <v>35</v>
      </c>
      <c r="M1049" s="27" t="s">
        <v>36</v>
      </c>
      <c r="N1049" s="17">
        <f t="shared" si="78"/>
        <v>45520</v>
      </c>
      <c r="O1049" s="13" t="s">
        <v>107</v>
      </c>
      <c r="P1049" s="13" t="s">
        <v>1221</v>
      </c>
      <c r="Q1049" s="13" t="s">
        <v>38</v>
      </c>
      <c r="R1049" s="13" t="s">
        <v>3784</v>
      </c>
      <c r="S1049" s="13" t="s">
        <v>1215</v>
      </c>
      <c r="T1049" s="28">
        <v>31.03</v>
      </c>
      <c r="U1049" s="13" t="s">
        <v>28</v>
      </c>
      <c r="V1049" s="13" t="s">
        <v>53</v>
      </c>
      <c r="W1049" s="13" t="s">
        <v>1219</v>
      </c>
      <c r="X1049" s="17">
        <f t="shared" si="79"/>
        <v>45551</v>
      </c>
      <c r="Y1049" s="3"/>
    </row>
    <row r="1050" spans="1:25" ht="45" customHeight="1">
      <c r="A1050" s="3">
        <v>1048</v>
      </c>
      <c r="B1050" s="13" t="s">
        <v>3785</v>
      </c>
      <c r="C1050" s="13" t="s">
        <v>103</v>
      </c>
      <c r="D1050" s="13" t="s">
        <v>3786</v>
      </c>
      <c r="E1050" s="13" t="s">
        <v>28</v>
      </c>
      <c r="F1050" s="13" t="s">
        <v>29</v>
      </c>
      <c r="G1050" s="13" t="s">
        <v>1216</v>
      </c>
      <c r="H1050" s="13" t="s">
        <v>1031</v>
      </c>
      <c r="I1050" s="27" t="s">
        <v>3787</v>
      </c>
      <c r="J1050" s="27" t="s">
        <v>33</v>
      </c>
      <c r="K1050" s="27" t="s">
        <v>106</v>
      </c>
      <c r="L1050" s="27" t="s">
        <v>35</v>
      </c>
      <c r="M1050" s="27" t="s">
        <v>36</v>
      </c>
      <c r="N1050" s="17">
        <f t="shared" si="78"/>
        <v>45520</v>
      </c>
      <c r="O1050" s="13" t="s">
        <v>1198</v>
      </c>
      <c r="P1050" s="13" t="s">
        <v>1215</v>
      </c>
      <c r="Q1050" s="13" t="s">
        <v>38</v>
      </c>
      <c r="R1050" s="13" t="s">
        <v>3788</v>
      </c>
      <c r="S1050" s="13" t="s">
        <v>1215</v>
      </c>
      <c r="T1050" s="28">
        <v>22.7</v>
      </c>
      <c r="U1050" s="13" t="s">
        <v>28</v>
      </c>
      <c r="V1050" s="13" t="s">
        <v>146</v>
      </c>
      <c r="W1050" s="13" t="s">
        <v>1219</v>
      </c>
      <c r="X1050" s="17">
        <f t="shared" si="79"/>
        <v>45551</v>
      </c>
      <c r="Y1050" s="3"/>
    </row>
    <row r="1051" spans="1:25" ht="45" customHeight="1">
      <c r="A1051" s="3">
        <v>1049</v>
      </c>
      <c r="B1051" s="13" t="s">
        <v>3789</v>
      </c>
      <c r="C1051" s="13" t="s">
        <v>103</v>
      </c>
      <c r="D1051" s="13" t="s">
        <v>3790</v>
      </c>
      <c r="E1051" s="13" t="s">
        <v>28</v>
      </c>
      <c r="F1051" s="13" t="s">
        <v>29</v>
      </c>
      <c r="G1051" s="13" t="s">
        <v>56</v>
      </c>
      <c r="H1051" s="13" t="s">
        <v>31</v>
      </c>
      <c r="I1051" s="27" t="s">
        <v>3791</v>
      </c>
      <c r="J1051" s="27" t="s">
        <v>33</v>
      </c>
      <c r="K1051" s="27" t="s">
        <v>106</v>
      </c>
      <c r="L1051" s="27" t="s">
        <v>208</v>
      </c>
      <c r="M1051" s="27" t="s">
        <v>209</v>
      </c>
      <c r="N1051" s="17">
        <f t="shared" si="78"/>
        <v>45520</v>
      </c>
      <c r="O1051" s="13" t="s">
        <v>1198</v>
      </c>
      <c r="P1051" s="13" t="s">
        <v>58</v>
      </c>
      <c r="Q1051" s="13" t="s">
        <v>38</v>
      </c>
      <c r="R1051" s="13" t="s">
        <v>3792</v>
      </c>
      <c r="S1051" s="13" t="s">
        <v>58</v>
      </c>
      <c r="T1051" s="28">
        <v>32.549999999999997</v>
      </c>
      <c r="U1051" s="13" t="s">
        <v>28</v>
      </c>
      <c r="V1051" s="13" t="s">
        <v>76</v>
      </c>
      <c r="W1051" s="13" t="s">
        <v>56</v>
      </c>
      <c r="X1051" s="17">
        <f t="shared" si="79"/>
        <v>45551</v>
      </c>
      <c r="Y1051" s="3"/>
    </row>
    <row r="1052" spans="1:25" ht="45" customHeight="1">
      <c r="A1052" s="3">
        <v>1050</v>
      </c>
      <c r="B1052" s="13" t="s">
        <v>3793</v>
      </c>
      <c r="C1052" s="13" t="s">
        <v>26</v>
      </c>
      <c r="D1052" s="13" t="s">
        <v>3794</v>
      </c>
      <c r="E1052" s="13" t="s">
        <v>28</v>
      </c>
      <c r="F1052" s="13" t="s">
        <v>29</v>
      </c>
      <c r="G1052" s="13" t="s">
        <v>30</v>
      </c>
      <c r="H1052" s="13" t="s">
        <v>1031</v>
      </c>
      <c r="I1052" s="27" t="s">
        <v>3795</v>
      </c>
      <c r="J1052" s="27" t="s">
        <v>33</v>
      </c>
      <c r="K1052" s="27" t="s">
        <v>34</v>
      </c>
      <c r="L1052" s="27" t="s">
        <v>35</v>
      </c>
      <c r="M1052" s="27" t="s">
        <v>36</v>
      </c>
      <c r="N1052" s="17">
        <f t="shared" si="78"/>
        <v>45520</v>
      </c>
      <c r="O1052" s="13" t="s">
        <v>34</v>
      </c>
      <c r="P1052" s="13" t="s">
        <v>1154</v>
      </c>
      <c r="Q1052" s="13" t="s">
        <v>38</v>
      </c>
      <c r="R1052" s="13" t="s">
        <v>3796</v>
      </c>
      <c r="S1052" s="13" t="s">
        <v>37</v>
      </c>
      <c r="T1052" s="28">
        <v>25.39</v>
      </c>
      <c r="U1052" s="13" t="s">
        <v>28</v>
      </c>
      <c r="V1052" s="13" t="s">
        <v>146</v>
      </c>
      <c r="W1052" s="13" t="s">
        <v>30</v>
      </c>
      <c r="X1052" s="17">
        <f t="shared" si="79"/>
        <v>45551</v>
      </c>
      <c r="Y1052" s="3"/>
    </row>
    <row r="1053" spans="1:25" ht="45" customHeight="1">
      <c r="A1053" s="3">
        <v>1051</v>
      </c>
      <c r="B1053" s="13" t="s">
        <v>3797</v>
      </c>
      <c r="C1053" s="13" t="s">
        <v>26</v>
      </c>
      <c r="D1053" s="13" t="s">
        <v>3798</v>
      </c>
      <c r="E1053" s="13" t="s">
        <v>28</v>
      </c>
      <c r="F1053" s="13" t="s">
        <v>491</v>
      </c>
      <c r="G1053" s="13" t="s">
        <v>1472</v>
      </c>
      <c r="H1053" s="13" t="s">
        <v>406</v>
      </c>
      <c r="I1053" s="27" t="s">
        <v>3799</v>
      </c>
      <c r="J1053" s="27" t="s">
        <v>33</v>
      </c>
      <c r="K1053" s="27" t="s">
        <v>34</v>
      </c>
      <c r="L1053" s="27" t="s">
        <v>35</v>
      </c>
      <c r="M1053" s="27" t="s">
        <v>36</v>
      </c>
      <c r="N1053" s="17">
        <f t="shared" si="78"/>
        <v>45520</v>
      </c>
      <c r="O1053" s="13" t="s">
        <v>34</v>
      </c>
      <c r="P1053" s="13" t="s">
        <v>728</v>
      </c>
      <c r="Q1053" s="13" t="s">
        <v>38</v>
      </c>
      <c r="R1053" s="13" t="s">
        <v>3800</v>
      </c>
      <c r="S1053" s="13" t="s">
        <v>496</v>
      </c>
      <c r="T1053" s="28">
        <v>23.92</v>
      </c>
      <c r="U1053" s="13" t="s">
        <v>28</v>
      </c>
      <c r="V1053" s="13" t="s">
        <v>752</v>
      </c>
      <c r="W1053" s="13" t="s">
        <v>1472</v>
      </c>
      <c r="X1053" s="17">
        <f t="shared" si="79"/>
        <v>45551</v>
      </c>
      <c r="Y1053" s="3"/>
    </row>
    <row r="1054" spans="1:25" ht="45" customHeight="1">
      <c r="A1054" s="3">
        <v>1052</v>
      </c>
      <c r="B1054" s="13" t="s">
        <v>3801</v>
      </c>
      <c r="C1054" s="13" t="s">
        <v>103</v>
      </c>
      <c r="D1054" s="13" t="s">
        <v>3802</v>
      </c>
      <c r="E1054" s="13" t="s">
        <v>28</v>
      </c>
      <c r="F1054" s="13" t="s">
        <v>491</v>
      </c>
      <c r="G1054" s="13" t="s">
        <v>978</v>
      </c>
      <c r="H1054" s="13" t="s">
        <v>406</v>
      </c>
      <c r="I1054" s="27" t="s">
        <v>3803</v>
      </c>
      <c r="J1054" s="27" t="s">
        <v>33</v>
      </c>
      <c r="K1054" s="27" t="s">
        <v>106</v>
      </c>
      <c r="L1054" s="27" t="s">
        <v>35</v>
      </c>
      <c r="M1054" s="27" t="s">
        <v>36</v>
      </c>
      <c r="N1054" s="17">
        <f t="shared" si="78"/>
        <v>45520</v>
      </c>
      <c r="O1054" s="13" t="s">
        <v>1198</v>
      </c>
      <c r="P1054" s="13" t="s">
        <v>596</v>
      </c>
      <c r="Q1054" s="13" t="s">
        <v>38</v>
      </c>
      <c r="R1054" s="13" t="s">
        <v>3804</v>
      </c>
      <c r="S1054" s="13" t="s">
        <v>496</v>
      </c>
      <c r="T1054" s="28">
        <v>31.92</v>
      </c>
      <c r="U1054" s="13" t="s">
        <v>28</v>
      </c>
      <c r="V1054" s="13" t="s">
        <v>53</v>
      </c>
      <c r="W1054" s="13" t="s">
        <v>981</v>
      </c>
      <c r="X1054" s="17">
        <f t="shared" si="79"/>
        <v>45551</v>
      </c>
      <c r="Y1054" s="3"/>
    </row>
    <row r="1055" spans="1:25" ht="45" customHeight="1">
      <c r="A1055" s="3">
        <v>1053</v>
      </c>
      <c r="B1055" s="13" t="s">
        <v>3805</v>
      </c>
      <c r="C1055" s="13" t="s">
        <v>26</v>
      </c>
      <c r="D1055" s="13" t="s">
        <v>3806</v>
      </c>
      <c r="E1055" s="13" t="s">
        <v>28</v>
      </c>
      <c r="F1055" s="13" t="s">
        <v>29</v>
      </c>
      <c r="G1055" s="13" t="s">
        <v>30</v>
      </c>
      <c r="H1055" s="13" t="s">
        <v>1031</v>
      </c>
      <c r="I1055" s="27" t="s">
        <v>3807</v>
      </c>
      <c r="J1055" s="27" t="s">
        <v>33</v>
      </c>
      <c r="K1055" s="27" t="s">
        <v>34</v>
      </c>
      <c r="L1055" s="27" t="s">
        <v>35</v>
      </c>
      <c r="M1055" s="27" t="s">
        <v>36</v>
      </c>
      <c r="N1055" s="17">
        <f t="shared" si="78"/>
        <v>45520</v>
      </c>
      <c r="O1055" s="13" t="s">
        <v>34</v>
      </c>
      <c r="P1055" s="13" t="s">
        <v>1606</v>
      </c>
      <c r="Q1055" s="13" t="s">
        <v>38</v>
      </c>
      <c r="R1055" s="13" t="s">
        <v>3808</v>
      </c>
      <c r="S1055" s="13" t="s">
        <v>37</v>
      </c>
      <c r="T1055" s="28">
        <v>25.88</v>
      </c>
      <c r="U1055" s="13" t="s">
        <v>28</v>
      </c>
      <c r="V1055" s="13" t="s">
        <v>89</v>
      </c>
      <c r="W1055" s="13" t="s">
        <v>30</v>
      </c>
      <c r="X1055" s="17">
        <f t="shared" si="79"/>
        <v>45551</v>
      </c>
      <c r="Y1055" s="3"/>
    </row>
    <row r="1056" spans="1:25" ht="45" customHeight="1">
      <c r="A1056" s="3">
        <v>1054</v>
      </c>
      <c r="B1056" s="13" t="s">
        <v>3809</v>
      </c>
      <c r="C1056" s="13" t="s">
        <v>26</v>
      </c>
      <c r="D1056" s="13" t="s">
        <v>3810</v>
      </c>
      <c r="E1056" s="13" t="s">
        <v>28</v>
      </c>
      <c r="F1056" s="13" t="s">
        <v>29</v>
      </c>
      <c r="G1056" s="13" t="s">
        <v>79</v>
      </c>
      <c r="H1056" s="13" t="s">
        <v>1031</v>
      </c>
      <c r="I1056" s="27" t="s">
        <v>3811</v>
      </c>
      <c r="J1056" s="27" t="s">
        <v>33</v>
      </c>
      <c r="K1056" s="27" t="s">
        <v>34</v>
      </c>
      <c r="L1056" s="27" t="s">
        <v>35</v>
      </c>
      <c r="M1056" s="27" t="s">
        <v>36</v>
      </c>
      <c r="N1056" s="17">
        <f t="shared" si="78"/>
        <v>45520</v>
      </c>
      <c r="O1056" s="13" t="s">
        <v>34</v>
      </c>
      <c r="P1056" s="13" t="s">
        <v>1387</v>
      </c>
      <c r="Q1056" s="13" t="s">
        <v>38</v>
      </c>
      <c r="R1056" s="13" t="s">
        <v>3812</v>
      </c>
      <c r="S1056" s="13" t="s">
        <v>81</v>
      </c>
      <c r="T1056" s="28">
        <v>25.06</v>
      </c>
      <c r="U1056" s="13" t="s">
        <v>28</v>
      </c>
      <c r="V1056" s="13" t="s">
        <v>89</v>
      </c>
      <c r="W1056" s="13" t="s">
        <v>79</v>
      </c>
      <c r="X1056" s="17">
        <f t="shared" si="79"/>
        <v>45551</v>
      </c>
      <c r="Y1056" s="3"/>
    </row>
    <row r="1057" spans="1:25" ht="45" customHeight="1">
      <c r="A1057" s="3">
        <v>1055</v>
      </c>
      <c r="B1057" s="13" t="s">
        <v>3813</v>
      </c>
      <c r="C1057" s="13" t="s">
        <v>26</v>
      </c>
      <c r="D1057" s="13" t="s">
        <v>3814</v>
      </c>
      <c r="E1057" s="13" t="s">
        <v>28</v>
      </c>
      <c r="F1057" s="13" t="s">
        <v>491</v>
      </c>
      <c r="G1057" s="13" t="s">
        <v>978</v>
      </c>
      <c r="H1057" s="13" t="s">
        <v>406</v>
      </c>
      <c r="I1057" s="27" t="s">
        <v>3815</v>
      </c>
      <c r="J1057" s="27" t="s">
        <v>33</v>
      </c>
      <c r="K1057" s="27" t="s">
        <v>34</v>
      </c>
      <c r="L1057" s="27" t="s">
        <v>35</v>
      </c>
      <c r="M1057" s="27" t="s">
        <v>36</v>
      </c>
      <c r="N1057" s="17">
        <f t="shared" si="78"/>
        <v>45520</v>
      </c>
      <c r="O1057" s="13" t="s">
        <v>34</v>
      </c>
      <c r="P1057" s="13" t="s">
        <v>596</v>
      </c>
      <c r="Q1057" s="13" t="s">
        <v>38</v>
      </c>
      <c r="R1057" s="13" t="s">
        <v>3816</v>
      </c>
      <c r="S1057" s="13" t="s">
        <v>496</v>
      </c>
      <c r="T1057" s="28">
        <v>29.75</v>
      </c>
      <c r="U1057" s="13" t="s">
        <v>28</v>
      </c>
      <c r="V1057" s="13" t="s">
        <v>89</v>
      </c>
      <c r="W1057" s="13" t="s">
        <v>981</v>
      </c>
      <c r="X1057" s="17">
        <f t="shared" si="79"/>
        <v>45551</v>
      </c>
      <c r="Y1057" s="3"/>
    </row>
    <row r="1058" spans="1:25" ht="45" customHeight="1">
      <c r="A1058" s="3">
        <v>1056</v>
      </c>
      <c r="B1058" s="13" t="s">
        <v>3817</v>
      </c>
      <c r="C1058" s="13" t="s">
        <v>26</v>
      </c>
      <c r="D1058" s="13" t="s">
        <v>3818</v>
      </c>
      <c r="E1058" s="13" t="s">
        <v>28</v>
      </c>
      <c r="F1058" s="13" t="s">
        <v>491</v>
      </c>
      <c r="G1058" s="13" t="s">
        <v>950</v>
      </c>
      <c r="H1058" s="13" t="s">
        <v>406</v>
      </c>
      <c r="I1058" s="27" t="s">
        <v>3819</v>
      </c>
      <c r="J1058" s="27" t="s">
        <v>33</v>
      </c>
      <c r="K1058" s="27" t="s">
        <v>34</v>
      </c>
      <c r="L1058" s="27" t="s">
        <v>35</v>
      </c>
      <c r="M1058" s="27" t="s">
        <v>36</v>
      </c>
      <c r="N1058" s="17">
        <f t="shared" si="78"/>
        <v>45520</v>
      </c>
      <c r="O1058" s="13" t="s">
        <v>34</v>
      </c>
      <c r="P1058" s="13" t="s">
        <v>952</v>
      </c>
      <c r="Q1058" s="13" t="s">
        <v>38</v>
      </c>
      <c r="R1058" s="13" t="s">
        <v>3820</v>
      </c>
      <c r="S1058" s="13" t="s">
        <v>496</v>
      </c>
      <c r="T1058" s="28">
        <v>25.73</v>
      </c>
      <c r="U1058" s="13" t="s">
        <v>28</v>
      </c>
      <c r="V1058" s="13" t="s">
        <v>89</v>
      </c>
      <c r="W1058" s="13" t="s">
        <v>954</v>
      </c>
      <c r="X1058" s="17">
        <f t="shared" si="79"/>
        <v>45551</v>
      </c>
      <c r="Y1058" s="3"/>
    </row>
    <row r="1059" spans="1:25" ht="45" customHeight="1">
      <c r="A1059" s="3">
        <v>1057</v>
      </c>
      <c r="B1059" s="13" t="s">
        <v>3821</v>
      </c>
      <c r="C1059" s="13" t="s">
        <v>26</v>
      </c>
      <c r="D1059" s="13" t="s">
        <v>3822</v>
      </c>
      <c r="E1059" s="13" t="s">
        <v>28</v>
      </c>
      <c r="F1059" s="13" t="s">
        <v>491</v>
      </c>
      <c r="G1059" s="13" t="s">
        <v>950</v>
      </c>
      <c r="H1059" s="13" t="s">
        <v>406</v>
      </c>
      <c r="I1059" s="27" t="s">
        <v>3823</v>
      </c>
      <c r="J1059" s="27" t="s">
        <v>33</v>
      </c>
      <c r="K1059" s="27" t="s">
        <v>34</v>
      </c>
      <c r="L1059" s="27" t="s">
        <v>35</v>
      </c>
      <c r="M1059" s="27" t="s">
        <v>36</v>
      </c>
      <c r="N1059" s="17">
        <f t="shared" si="78"/>
        <v>45520</v>
      </c>
      <c r="O1059" s="13" t="s">
        <v>34</v>
      </c>
      <c r="P1059" s="13" t="s">
        <v>952</v>
      </c>
      <c r="Q1059" s="13" t="s">
        <v>38</v>
      </c>
      <c r="R1059" s="13" t="s">
        <v>3824</v>
      </c>
      <c r="S1059" s="13" t="s">
        <v>496</v>
      </c>
      <c r="T1059" s="28">
        <v>24.39</v>
      </c>
      <c r="U1059" s="13" t="s">
        <v>28</v>
      </c>
      <c r="V1059" s="13" t="s">
        <v>53</v>
      </c>
      <c r="W1059" s="13" t="s">
        <v>954</v>
      </c>
      <c r="X1059" s="17">
        <f t="shared" si="79"/>
        <v>45551</v>
      </c>
      <c r="Y1059" s="3"/>
    </row>
    <row r="1060" spans="1:25" ht="45" customHeight="1">
      <c r="A1060" s="3">
        <v>1058</v>
      </c>
      <c r="B1060" s="13" t="s">
        <v>3825</v>
      </c>
      <c r="C1060" s="13" t="s">
        <v>26</v>
      </c>
      <c r="D1060" s="13" t="s">
        <v>3826</v>
      </c>
      <c r="E1060" s="13" t="s">
        <v>28</v>
      </c>
      <c r="F1060" s="13" t="s">
        <v>29</v>
      </c>
      <c r="G1060" s="13" t="s">
        <v>56</v>
      </c>
      <c r="H1060" s="13" t="s">
        <v>1031</v>
      </c>
      <c r="I1060" s="27" t="s">
        <v>3827</v>
      </c>
      <c r="J1060" s="27" t="s">
        <v>33</v>
      </c>
      <c r="K1060" s="27" t="s">
        <v>34</v>
      </c>
      <c r="L1060" s="27" t="s">
        <v>35</v>
      </c>
      <c r="M1060" s="27" t="s">
        <v>36</v>
      </c>
      <c r="N1060" s="17">
        <f t="shared" si="78"/>
        <v>45520</v>
      </c>
      <c r="O1060" s="13" t="s">
        <v>34</v>
      </c>
      <c r="P1060" s="13" t="s">
        <v>203</v>
      </c>
      <c r="Q1060" s="13" t="s">
        <v>38</v>
      </c>
      <c r="R1060" s="13" t="s">
        <v>365</v>
      </c>
      <c r="S1060" s="13" t="s">
        <v>58</v>
      </c>
      <c r="T1060" s="28">
        <v>28.08</v>
      </c>
      <c r="U1060" s="13" t="s">
        <v>28</v>
      </c>
      <c r="V1060" s="13" t="s">
        <v>89</v>
      </c>
      <c r="W1060" s="13" t="s">
        <v>56</v>
      </c>
      <c r="X1060" s="17">
        <f t="shared" si="79"/>
        <v>45551</v>
      </c>
      <c r="Y1060" s="3"/>
    </row>
    <row r="1061" spans="1:25" ht="45" customHeight="1">
      <c r="A1061" s="3">
        <v>1059</v>
      </c>
      <c r="B1061" s="13" t="s">
        <v>3828</v>
      </c>
      <c r="C1061" s="13" t="s">
        <v>26</v>
      </c>
      <c r="D1061" s="13" t="s">
        <v>3829</v>
      </c>
      <c r="E1061" s="13" t="s">
        <v>28</v>
      </c>
      <c r="F1061" s="13" t="s">
        <v>29</v>
      </c>
      <c r="G1061" s="13" t="s">
        <v>48</v>
      </c>
      <c r="H1061" s="13" t="s">
        <v>1031</v>
      </c>
      <c r="I1061" s="27" t="s">
        <v>3830</v>
      </c>
      <c r="J1061" s="27" t="s">
        <v>33</v>
      </c>
      <c r="K1061" s="27" t="s">
        <v>34</v>
      </c>
      <c r="L1061" s="27" t="s">
        <v>35</v>
      </c>
      <c r="M1061" s="27" t="s">
        <v>36</v>
      </c>
      <c r="N1061" s="17">
        <f t="shared" si="78"/>
        <v>45520</v>
      </c>
      <c r="O1061" s="13" t="s">
        <v>34</v>
      </c>
      <c r="P1061" s="13" t="s">
        <v>182</v>
      </c>
      <c r="Q1061" s="13" t="s">
        <v>38</v>
      </c>
      <c r="R1061" s="13" t="s">
        <v>3831</v>
      </c>
      <c r="S1061" s="13" t="s">
        <v>52</v>
      </c>
      <c r="T1061" s="28">
        <v>25.79</v>
      </c>
      <c r="U1061" s="13" t="s">
        <v>28</v>
      </c>
      <c r="V1061" s="13" t="s">
        <v>89</v>
      </c>
      <c r="W1061" s="13" t="s">
        <v>48</v>
      </c>
      <c r="X1061" s="17">
        <f t="shared" si="79"/>
        <v>45551</v>
      </c>
      <c r="Y1061" s="3"/>
    </row>
    <row r="1062" spans="1:25" ht="45" customHeight="1">
      <c r="A1062" s="3">
        <v>1060</v>
      </c>
      <c r="B1062" s="13" t="s">
        <v>3832</v>
      </c>
      <c r="C1062" s="13" t="s">
        <v>26</v>
      </c>
      <c r="D1062" s="13" t="s">
        <v>3833</v>
      </c>
      <c r="E1062" s="13" t="s">
        <v>28</v>
      </c>
      <c r="F1062" s="13" t="s">
        <v>29</v>
      </c>
      <c r="G1062" s="13" t="s">
        <v>85</v>
      </c>
      <c r="H1062" s="13" t="s">
        <v>1031</v>
      </c>
      <c r="I1062" s="27" t="s">
        <v>3834</v>
      </c>
      <c r="J1062" s="27" t="s">
        <v>33</v>
      </c>
      <c r="K1062" s="27" t="s">
        <v>34</v>
      </c>
      <c r="L1062" s="27" t="s">
        <v>35</v>
      </c>
      <c r="M1062" s="27" t="s">
        <v>36</v>
      </c>
      <c r="N1062" s="17">
        <f t="shared" si="78"/>
        <v>45520</v>
      </c>
      <c r="O1062" s="13" t="s">
        <v>34</v>
      </c>
      <c r="P1062" s="13" t="s">
        <v>87</v>
      </c>
      <c r="Q1062" s="13" t="s">
        <v>38</v>
      </c>
      <c r="R1062" s="13" t="s">
        <v>3835</v>
      </c>
      <c r="S1062" s="13" t="s">
        <v>87</v>
      </c>
      <c r="T1062" s="28">
        <v>28.67</v>
      </c>
      <c r="U1062" s="13" t="s">
        <v>28</v>
      </c>
      <c r="V1062" s="13" t="s">
        <v>89</v>
      </c>
      <c r="W1062" s="13" t="s">
        <v>85</v>
      </c>
      <c r="X1062" s="17">
        <f t="shared" si="79"/>
        <v>45551</v>
      </c>
      <c r="Y1062" s="3"/>
    </row>
    <row r="1063" spans="1:25" ht="45" customHeight="1">
      <c r="A1063" s="3">
        <v>1061</v>
      </c>
      <c r="B1063" s="13" t="s">
        <v>3836</v>
      </c>
      <c r="C1063" s="13" t="s">
        <v>26</v>
      </c>
      <c r="D1063" s="13" t="s">
        <v>3837</v>
      </c>
      <c r="E1063" s="13" t="s">
        <v>28</v>
      </c>
      <c r="F1063" s="13" t="s">
        <v>491</v>
      </c>
      <c r="G1063" s="13" t="s">
        <v>950</v>
      </c>
      <c r="H1063" s="13" t="s">
        <v>406</v>
      </c>
      <c r="I1063" s="27" t="s">
        <v>3838</v>
      </c>
      <c r="J1063" s="27" t="s">
        <v>33</v>
      </c>
      <c r="K1063" s="27" t="s">
        <v>34</v>
      </c>
      <c r="L1063" s="27" t="s">
        <v>35</v>
      </c>
      <c r="M1063" s="27" t="s">
        <v>36</v>
      </c>
      <c r="N1063" s="17">
        <f t="shared" si="78"/>
        <v>45520</v>
      </c>
      <c r="O1063" s="13" t="s">
        <v>34</v>
      </c>
      <c r="P1063" s="13" t="s">
        <v>952</v>
      </c>
      <c r="Q1063" s="13" t="s">
        <v>38</v>
      </c>
      <c r="R1063" s="13" t="s">
        <v>3839</v>
      </c>
      <c r="S1063" s="13" t="s">
        <v>496</v>
      </c>
      <c r="T1063" s="28">
        <v>25.04</v>
      </c>
      <c r="U1063" s="13" t="s">
        <v>28</v>
      </c>
      <c r="V1063" s="13" t="s">
        <v>146</v>
      </c>
      <c r="W1063" s="13" t="s">
        <v>954</v>
      </c>
      <c r="X1063" s="17">
        <f t="shared" si="79"/>
        <v>45551</v>
      </c>
      <c r="Y1063" s="3"/>
    </row>
    <row r="1064" spans="1:25" ht="45" customHeight="1">
      <c r="A1064" s="3">
        <v>1062</v>
      </c>
      <c r="B1064" s="13" t="s">
        <v>3840</v>
      </c>
      <c r="C1064" s="13" t="s">
        <v>26</v>
      </c>
      <c r="D1064" s="13" t="s">
        <v>3841</v>
      </c>
      <c r="E1064" s="13" t="s">
        <v>28</v>
      </c>
      <c r="F1064" s="13" t="s">
        <v>491</v>
      </c>
      <c r="G1064" s="13" t="s">
        <v>1472</v>
      </c>
      <c r="H1064" s="13" t="s">
        <v>406</v>
      </c>
      <c r="I1064" s="27" t="s">
        <v>3842</v>
      </c>
      <c r="J1064" s="27" t="s">
        <v>33</v>
      </c>
      <c r="K1064" s="27" t="s">
        <v>34</v>
      </c>
      <c r="L1064" s="27" t="s">
        <v>35</v>
      </c>
      <c r="M1064" s="27" t="s">
        <v>36</v>
      </c>
      <c r="N1064" s="17">
        <f t="shared" si="78"/>
        <v>45520</v>
      </c>
      <c r="O1064" s="13" t="s">
        <v>34</v>
      </c>
      <c r="P1064" s="13" t="s">
        <v>728</v>
      </c>
      <c r="Q1064" s="13" t="s">
        <v>38</v>
      </c>
      <c r="R1064" s="13" t="s">
        <v>3843</v>
      </c>
      <c r="S1064" s="13" t="s">
        <v>496</v>
      </c>
      <c r="T1064" s="28">
        <v>32.99</v>
      </c>
      <c r="U1064" s="13" t="s">
        <v>28</v>
      </c>
      <c r="V1064" s="13" t="s">
        <v>752</v>
      </c>
      <c r="W1064" s="13" t="s">
        <v>1472</v>
      </c>
      <c r="X1064" s="17">
        <f t="shared" si="79"/>
        <v>45551</v>
      </c>
      <c r="Y1064" s="3"/>
    </row>
    <row r="1065" spans="1:25" ht="45" customHeight="1">
      <c r="A1065" s="3">
        <v>1063</v>
      </c>
      <c r="B1065" s="13" t="s">
        <v>3844</v>
      </c>
      <c r="C1065" s="13" t="s">
        <v>103</v>
      </c>
      <c r="D1065" s="13" t="s">
        <v>3845</v>
      </c>
      <c r="E1065" s="13" t="s">
        <v>1064</v>
      </c>
      <c r="F1065" s="13" t="s">
        <v>475</v>
      </c>
      <c r="G1065" s="13" t="s">
        <v>476</v>
      </c>
      <c r="H1065" s="13" t="s">
        <v>406</v>
      </c>
      <c r="I1065" s="27" t="s">
        <v>3846</v>
      </c>
      <c r="J1065" s="27" t="s">
        <v>33</v>
      </c>
      <c r="K1065" s="27" t="s">
        <v>106</v>
      </c>
      <c r="L1065" s="27" t="s">
        <v>35</v>
      </c>
      <c r="M1065" s="27" t="s">
        <v>36</v>
      </c>
      <c r="N1065" s="17">
        <f t="shared" si="78"/>
        <v>45520</v>
      </c>
      <c r="O1065" s="13" t="s">
        <v>34</v>
      </c>
      <c r="P1065" s="13" t="s">
        <v>473</v>
      </c>
      <c r="Q1065" s="13" t="s">
        <v>38</v>
      </c>
      <c r="R1065" s="13" t="s">
        <v>3847</v>
      </c>
      <c r="S1065" s="13" t="s">
        <v>478</v>
      </c>
      <c r="T1065" s="28">
        <v>26.27</v>
      </c>
      <c r="U1065" s="13" t="s">
        <v>28</v>
      </c>
      <c r="V1065" s="13" t="s">
        <v>89</v>
      </c>
      <c r="W1065" s="13" t="s">
        <v>476</v>
      </c>
      <c r="X1065" s="17">
        <f t="shared" si="79"/>
        <v>45551</v>
      </c>
      <c r="Y1065" s="3"/>
    </row>
    <row r="1066" spans="1:25" ht="45" customHeight="1">
      <c r="A1066" s="3">
        <v>1064</v>
      </c>
      <c r="B1066" s="13" t="s">
        <v>3848</v>
      </c>
      <c r="C1066" s="13" t="s">
        <v>103</v>
      </c>
      <c r="D1066" s="13" t="s">
        <v>3849</v>
      </c>
      <c r="E1066" s="13" t="s">
        <v>1064</v>
      </c>
      <c r="F1066" s="13" t="s">
        <v>29</v>
      </c>
      <c r="G1066" s="13" t="s">
        <v>72</v>
      </c>
      <c r="H1066" s="13" t="s">
        <v>1031</v>
      </c>
      <c r="I1066" s="27" t="s">
        <v>3850</v>
      </c>
      <c r="J1066" s="27" t="s">
        <v>33</v>
      </c>
      <c r="K1066" s="27" t="s">
        <v>106</v>
      </c>
      <c r="L1066" s="27" t="s">
        <v>35</v>
      </c>
      <c r="M1066" s="27" t="s">
        <v>36</v>
      </c>
      <c r="N1066" s="17">
        <f t="shared" si="78"/>
        <v>45520</v>
      </c>
      <c r="O1066" s="13" t="s">
        <v>34</v>
      </c>
      <c r="P1066" s="13" t="s">
        <v>1100</v>
      </c>
      <c r="Q1066" s="13" t="s">
        <v>38</v>
      </c>
      <c r="R1066" s="13" t="s">
        <v>3851</v>
      </c>
      <c r="S1066" s="13" t="s">
        <v>74</v>
      </c>
      <c r="T1066" s="28">
        <v>22.61</v>
      </c>
      <c r="U1066" s="13" t="s">
        <v>28</v>
      </c>
      <c r="V1066" s="13" t="s">
        <v>89</v>
      </c>
      <c r="W1066" s="13" t="s">
        <v>72</v>
      </c>
      <c r="X1066" s="17">
        <f t="shared" si="79"/>
        <v>45551</v>
      </c>
      <c r="Y1066" s="3"/>
    </row>
    <row r="1067" spans="1:25" ht="45" customHeight="1">
      <c r="A1067" s="3">
        <v>1065</v>
      </c>
      <c r="B1067" s="13" t="s">
        <v>3852</v>
      </c>
      <c r="C1067" s="13" t="s">
        <v>26</v>
      </c>
      <c r="D1067" s="13" t="s">
        <v>3853</v>
      </c>
      <c r="E1067" s="13" t="s">
        <v>28</v>
      </c>
      <c r="F1067" s="13" t="s">
        <v>29</v>
      </c>
      <c r="G1067" s="13" t="s">
        <v>43</v>
      </c>
      <c r="H1067" s="13" t="s">
        <v>1031</v>
      </c>
      <c r="I1067" s="27" t="s">
        <v>3854</v>
      </c>
      <c r="J1067" s="27" t="s">
        <v>33</v>
      </c>
      <c r="K1067" s="27" t="s">
        <v>34</v>
      </c>
      <c r="L1067" s="27" t="s">
        <v>35</v>
      </c>
      <c r="M1067" s="27" t="s">
        <v>36</v>
      </c>
      <c r="N1067" s="17">
        <f t="shared" si="78"/>
        <v>45520</v>
      </c>
      <c r="O1067" s="13" t="s">
        <v>34</v>
      </c>
      <c r="P1067" s="13" t="s">
        <v>1134</v>
      </c>
      <c r="Q1067" s="13" t="s">
        <v>38</v>
      </c>
      <c r="R1067" s="13" t="s">
        <v>3855</v>
      </c>
      <c r="S1067" s="13" t="s">
        <v>37</v>
      </c>
      <c r="T1067" s="28">
        <v>22.84</v>
      </c>
      <c r="U1067" s="13" t="s">
        <v>28</v>
      </c>
      <c r="V1067" s="13" t="s">
        <v>146</v>
      </c>
      <c r="W1067" s="13" t="s">
        <v>43</v>
      </c>
      <c r="X1067" s="17">
        <f t="shared" si="79"/>
        <v>45551</v>
      </c>
      <c r="Y1067" s="3"/>
    </row>
    <row r="1068" spans="1:25" ht="45" customHeight="1">
      <c r="A1068" s="3">
        <v>1066</v>
      </c>
      <c r="B1068" s="13" t="s">
        <v>3856</v>
      </c>
      <c r="C1068" s="13" t="s">
        <v>26</v>
      </c>
      <c r="D1068" s="13" t="s">
        <v>3857</v>
      </c>
      <c r="E1068" s="13" t="s">
        <v>1064</v>
      </c>
      <c r="F1068" s="13" t="s">
        <v>29</v>
      </c>
      <c r="G1068" s="13" t="s">
        <v>62</v>
      </c>
      <c r="H1068" s="13" t="s">
        <v>1031</v>
      </c>
      <c r="I1068" s="27" t="s">
        <v>3858</v>
      </c>
      <c r="J1068" s="27" t="s">
        <v>33</v>
      </c>
      <c r="K1068" s="27" t="s">
        <v>34</v>
      </c>
      <c r="L1068" s="27" t="s">
        <v>35</v>
      </c>
      <c r="M1068" s="27" t="s">
        <v>36</v>
      </c>
      <c r="N1068" s="17">
        <f t="shared" si="78"/>
        <v>45520</v>
      </c>
      <c r="O1068" s="13" t="s">
        <v>34</v>
      </c>
      <c r="P1068" s="13" t="s">
        <v>1794</v>
      </c>
      <c r="Q1068" s="13" t="s">
        <v>38</v>
      </c>
      <c r="R1068" s="13" t="s">
        <v>365</v>
      </c>
      <c r="S1068" s="13" t="s">
        <v>64</v>
      </c>
      <c r="T1068" s="28">
        <v>32.450000000000003</v>
      </c>
      <c r="U1068" s="13" t="s">
        <v>28</v>
      </c>
      <c r="V1068" s="13" t="s">
        <v>53</v>
      </c>
      <c r="W1068" s="13" t="s">
        <v>62</v>
      </c>
      <c r="X1068" s="17">
        <f t="shared" si="79"/>
        <v>45551</v>
      </c>
      <c r="Y1068" s="3"/>
    </row>
    <row r="1069" spans="1:25" ht="45" customHeight="1">
      <c r="A1069" s="3">
        <v>1067</v>
      </c>
      <c r="B1069" s="13" t="s">
        <v>3859</v>
      </c>
      <c r="C1069" s="13" t="s">
        <v>26</v>
      </c>
      <c r="D1069" s="13" t="s">
        <v>3860</v>
      </c>
      <c r="E1069" s="13" t="s">
        <v>28</v>
      </c>
      <c r="F1069" s="13" t="s">
        <v>29</v>
      </c>
      <c r="G1069" s="13" t="s">
        <v>537</v>
      </c>
      <c r="H1069" s="13" t="s">
        <v>1031</v>
      </c>
      <c r="I1069" s="27" t="s">
        <v>3861</v>
      </c>
      <c r="J1069" s="27" t="s">
        <v>33</v>
      </c>
      <c r="K1069" s="27" t="s">
        <v>34</v>
      </c>
      <c r="L1069" s="27" t="s">
        <v>35</v>
      </c>
      <c r="M1069" s="27" t="s">
        <v>36</v>
      </c>
      <c r="N1069" s="17">
        <f t="shared" si="78"/>
        <v>45520</v>
      </c>
      <c r="O1069" s="13" t="s">
        <v>34</v>
      </c>
      <c r="P1069" s="13" t="s">
        <v>64</v>
      </c>
      <c r="Q1069" s="13" t="s">
        <v>38</v>
      </c>
      <c r="R1069" s="13" t="s">
        <v>3862</v>
      </c>
      <c r="S1069" s="13" t="s">
        <v>64</v>
      </c>
      <c r="T1069" s="28">
        <v>27.29</v>
      </c>
      <c r="U1069" s="13" t="s">
        <v>28</v>
      </c>
      <c r="V1069" s="13" t="s">
        <v>146</v>
      </c>
      <c r="W1069" s="13" t="s">
        <v>537</v>
      </c>
      <c r="X1069" s="17">
        <f t="shared" si="79"/>
        <v>45551</v>
      </c>
      <c r="Y1069" s="3"/>
    </row>
    <row r="1070" spans="1:25" ht="45" customHeight="1">
      <c r="A1070" s="3">
        <v>1068</v>
      </c>
      <c r="B1070" s="13" t="s">
        <v>3863</v>
      </c>
      <c r="C1070" s="13" t="s">
        <v>26</v>
      </c>
      <c r="D1070" s="13" t="s">
        <v>3864</v>
      </c>
      <c r="E1070" s="13" t="s">
        <v>28</v>
      </c>
      <c r="F1070" s="13" t="s">
        <v>29</v>
      </c>
      <c r="G1070" s="13" t="s">
        <v>85</v>
      </c>
      <c r="H1070" s="13" t="s">
        <v>1031</v>
      </c>
      <c r="I1070" s="27" t="s">
        <v>3865</v>
      </c>
      <c r="J1070" s="27" t="s">
        <v>33</v>
      </c>
      <c r="K1070" s="27" t="s">
        <v>34</v>
      </c>
      <c r="L1070" s="27" t="s">
        <v>35</v>
      </c>
      <c r="M1070" s="27" t="s">
        <v>36</v>
      </c>
      <c r="N1070" s="17">
        <f t="shared" si="78"/>
        <v>45520</v>
      </c>
      <c r="O1070" s="13" t="s">
        <v>34</v>
      </c>
      <c r="P1070" s="13" t="s">
        <v>1060</v>
      </c>
      <c r="Q1070" s="13" t="s">
        <v>38</v>
      </c>
      <c r="R1070" s="13" t="s">
        <v>3866</v>
      </c>
      <c r="S1070" s="13" t="s">
        <v>87</v>
      </c>
      <c r="T1070" s="28">
        <v>22.71</v>
      </c>
      <c r="U1070" s="13" t="s">
        <v>28</v>
      </c>
      <c r="V1070" s="13" t="s">
        <v>53</v>
      </c>
      <c r="W1070" s="13" t="s">
        <v>85</v>
      </c>
      <c r="X1070" s="17">
        <f t="shared" si="79"/>
        <v>45551</v>
      </c>
      <c r="Y1070" s="3"/>
    </row>
    <row r="1071" spans="1:25" ht="45" customHeight="1">
      <c r="A1071" s="3">
        <v>1069</v>
      </c>
      <c r="B1071" s="13" t="s">
        <v>3867</v>
      </c>
      <c r="C1071" s="13" t="s">
        <v>26</v>
      </c>
      <c r="D1071" s="13" t="s">
        <v>3868</v>
      </c>
      <c r="E1071" s="13" t="s">
        <v>28</v>
      </c>
      <c r="F1071" s="13" t="s">
        <v>29</v>
      </c>
      <c r="G1071" s="13" t="s">
        <v>62</v>
      </c>
      <c r="H1071" s="13" t="s">
        <v>1031</v>
      </c>
      <c r="I1071" s="27" t="s">
        <v>3869</v>
      </c>
      <c r="J1071" s="27" t="s">
        <v>33</v>
      </c>
      <c r="K1071" s="27" t="s">
        <v>34</v>
      </c>
      <c r="L1071" s="27" t="s">
        <v>35</v>
      </c>
      <c r="M1071" s="27" t="s">
        <v>36</v>
      </c>
      <c r="N1071" s="17">
        <f t="shared" si="78"/>
        <v>45520</v>
      </c>
      <c r="O1071" s="13" t="s">
        <v>34</v>
      </c>
      <c r="P1071" s="13" t="s">
        <v>1809</v>
      </c>
      <c r="Q1071" s="13" t="s">
        <v>38</v>
      </c>
      <c r="R1071" s="13" t="s">
        <v>3870</v>
      </c>
      <c r="S1071" s="13" t="s">
        <v>64</v>
      </c>
      <c r="T1071" s="28">
        <v>28.79</v>
      </c>
      <c r="U1071" s="13" t="s">
        <v>28</v>
      </c>
      <c r="V1071" s="13" t="s">
        <v>146</v>
      </c>
      <c r="W1071" s="13" t="s">
        <v>62</v>
      </c>
      <c r="X1071" s="17">
        <f t="shared" si="79"/>
        <v>45551</v>
      </c>
      <c r="Y1071" s="3"/>
    </row>
    <row r="1072" spans="1:25" ht="45" customHeight="1">
      <c r="A1072" s="3">
        <v>1070</v>
      </c>
      <c r="B1072" s="13" t="s">
        <v>3871</v>
      </c>
      <c r="C1072" s="13" t="s">
        <v>26</v>
      </c>
      <c r="D1072" s="13" t="s">
        <v>3872</v>
      </c>
      <c r="E1072" s="13" t="s">
        <v>1064</v>
      </c>
      <c r="F1072" s="13" t="s">
        <v>29</v>
      </c>
      <c r="G1072" s="13" t="s">
        <v>85</v>
      </c>
      <c r="H1072" s="13" t="s">
        <v>1031</v>
      </c>
      <c r="I1072" s="27" t="s">
        <v>3873</v>
      </c>
      <c r="J1072" s="27" t="s">
        <v>33</v>
      </c>
      <c r="K1072" s="27" t="s">
        <v>34</v>
      </c>
      <c r="L1072" s="27" t="s">
        <v>35</v>
      </c>
      <c r="M1072" s="27" t="s">
        <v>36</v>
      </c>
      <c r="N1072" s="17">
        <f t="shared" si="78"/>
        <v>45520</v>
      </c>
      <c r="O1072" s="13" t="s">
        <v>34</v>
      </c>
      <c r="P1072" s="13" t="s">
        <v>87</v>
      </c>
      <c r="Q1072" s="13" t="s">
        <v>38</v>
      </c>
      <c r="R1072" s="13" t="s">
        <v>3874</v>
      </c>
      <c r="S1072" s="13" t="s">
        <v>87</v>
      </c>
      <c r="T1072" s="28">
        <v>30.34</v>
      </c>
      <c r="U1072" s="13" t="s">
        <v>28</v>
      </c>
      <c r="V1072" s="13" t="s">
        <v>89</v>
      </c>
      <c r="W1072" s="13" t="s">
        <v>85</v>
      </c>
      <c r="X1072" s="17">
        <f t="shared" si="79"/>
        <v>45551</v>
      </c>
      <c r="Y1072" s="3"/>
    </row>
    <row r="1073" spans="1:25" ht="45" customHeight="1">
      <c r="A1073" s="3">
        <v>1071</v>
      </c>
      <c r="B1073" s="13" t="s">
        <v>3875</v>
      </c>
      <c r="C1073" s="13" t="s">
        <v>103</v>
      </c>
      <c r="D1073" s="13" t="s">
        <v>3876</v>
      </c>
      <c r="E1073" s="13" t="s">
        <v>1064</v>
      </c>
      <c r="F1073" s="13" t="s">
        <v>475</v>
      </c>
      <c r="G1073" s="13" t="s">
        <v>476</v>
      </c>
      <c r="H1073" s="13" t="s">
        <v>406</v>
      </c>
      <c r="I1073" s="27" t="s">
        <v>3877</v>
      </c>
      <c r="J1073" s="27" t="s">
        <v>33</v>
      </c>
      <c r="K1073" s="27" t="s">
        <v>106</v>
      </c>
      <c r="L1073" s="27" t="s">
        <v>35</v>
      </c>
      <c r="M1073" s="27" t="s">
        <v>36</v>
      </c>
      <c r="N1073" s="17">
        <f t="shared" si="78"/>
        <v>45520</v>
      </c>
      <c r="O1073" s="13" t="s">
        <v>34</v>
      </c>
      <c r="P1073" s="13" t="s">
        <v>473</v>
      </c>
      <c r="Q1073" s="13" t="s">
        <v>38</v>
      </c>
      <c r="R1073" s="13" t="s">
        <v>3878</v>
      </c>
      <c r="S1073" s="13" t="s">
        <v>478</v>
      </c>
      <c r="T1073" s="28">
        <v>28.36</v>
      </c>
      <c r="U1073" s="13" t="s">
        <v>28</v>
      </c>
      <c r="V1073" s="13" t="s">
        <v>89</v>
      </c>
      <c r="W1073" s="13" t="s">
        <v>476</v>
      </c>
      <c r="X1073" s="17">
        <f t="shared" si="79"/>
        <v>45551</v>
      </c>
      <c r="Y1073" s="3"/>
    </row>
    <row r="1074" spans="1:25" ht="45" customHeight="1">
      <c r="A1074" s="3">
        <v>1072</v>
      </c>
      <c r="B1074" s="13" t="s">
        <v>3879</v>
      </c>
      <c r="C1074" s="13" t="s">
        <v>103</v>
      </c>
      <c r="D1074" s="13" t="s">
        <v>3880</v>
      </c>
      <c r="E1074" s="13" t="s">
        <v>28</v>
      </c>
      <c r="F1074" s="13" t="s">
        <v>29</v>
      </c>
      <c r="G1074" s="13" t="s">
        <v>85</v>
      </c>
      <c r="H1074" s="13" t="s">
        <v>1031</v>
      </c>
      <c r="I1074" s="27" t="s">
        <v>3881</v>
      </c>
      <c r="J1074" s="27" t="s">
        <v>33</v>
      </c>
      <c r="K1074" s="27" t="s">
        <v>106</v>
      </c>
      <c r="L1074" s="27" t="s">
        <v>35</v>
      </c>
      <c r="M1074" s="27" t="s">
        <v>36</v>
      </c>
      <c r="N1074" s="17">
        <f t="shared" si="78"/>
        <v>45520</v>
      </c>
      <c r="O1074" s="13" t="s">
        <v>107</v>
      </c>
      <c r="P1074" s="13" t="s">
        <v>1060</v>
      </c>
      <c r="Q1074" s="13" t="s">
        <v>38</v>
      </c>
      <c r="R1074" s="13" t="s">
        <v>3882</v>
      </c>
      <c r="S1074" s="13" t="s">
        <v>87</v>
      </c>
      <c r="T1074" s="28">
        <v>25.11</v>
      </c>
      <c r="U1074" s="13" t="s">
        <v>28</v>
      </c>
      <c r="V1074" s="13" t="s">
        <v>53</v>
      </c>
      <c r="W1074" s="13" t="s">
        <v>85</v>
      </c>
      <c r="X1074" s="17">
        <f t="shared" si="79"/>
        <v>45551</v>
      </c>
      <c r="Y1074" s="3"/>
    </row>
    <row r="1075" spans="1:25" ht="45" customHeight="1">
      <c r="A1075" s="3">
        <v>1073</v>
      </c>
      <c r="B1075" s="13" t="s">
        <v>3883</v>
      </c>
      <c r="C1075" s="13" t="s">
        <v>26</v>
      </c>
      <c r="D1075" s="13" t="s">
        <v>3884</v>
      </c>
      <c r="E1075" s="13" t="s">
        <v>28</v>
      </c>
      <c r="F1075" s="13" t="s">
        <v>608</v>
      </c>
      <c r="G1075" s="13" t="s">
        <v>609</v>
      </c>
      <c r="H1075" s="13" t="s">
        <v>406</v>
      </c>
      <c r="I1075" s="27" t="s">
        <v>3885</v>
      </c>
      <c r="J1075" s="27" t="s">
        <v>33</v>
      </c>
      <c r="K1075" s="27" t="s">
        <v>34</v>
      </c>
      <c r="L1075" s="27" t="s">
        <v>35</v>
      </c>
      <c r="M1075" s="27" t="s">
        <v>36</v>
      </c>
      <c r="N1075" s="17">
        <f t="shared" si="78"/>
        <v>45520</v>
      </c>
      <c r="O1075" s="13" t="s">
        <v>34</v>
      </c>
      <c r="P1075" s="13" t="s">
        <v>607</v>
      </c>
      <c r="Q1075" s="13" t="s">
        <v>38</v>
      </c>
      <c r="R1075" s="13" t="s">
        <v>3886</v>
      </c>
      <c r="S1075" s="13" t="s">
        <v>611</v>
      </c>
      <c r="T1075" s="28">
        <v>30.05</v>
      </c>
      <c r="U1075" s="13" t="s">
        <v>28</v>
      </c>
      <c r="V1075" s="13" t="s">
        <v>53</v>
      </c>
      <c r="W1075" s="13" t="s">
        <v>609</v>
      </c>
      <c r="X1075" s="17">
        <f t="shared" si="79"/>
        <v>45551</v>
      </c>
      <c r="Y1075" s="3"/>
    </row>
    <row r="1076" spans="1:25" ht="45" customHeight="1">
      <c r="A1076" s="3">
        <v>1074</v>
      </c>
      <c r="B1076" s="13" t="s">
        <v>3887</v>
      </c>
      <c r="C1076" s="13" t="s">
        <v>103</v>
      </c>
      <c r="D1076" s="13" t="s">
        <v>3888</v>
      </c>
      <c r="E1076" s="13" t="s">
        <v>28</v>
      </c>
      <c r="F1076" s="13" t="s">
        <v>491</v>
      </c>
      <c r="G1076" s="13" t="s">
        <v>1042</v>
      </c>
      <c r="H1076" s="13" t="s">
        <v>406</v>
      </c>
      <c r="I1076" s="27" t="s">
        <v>3889</v>
      </c>
      <c r="J1076" s="27" t="s">
        <v>33</v>
      </c>
      <c r="K1076" s="27" t="s">
        <v>106</v>
      </c>
      <c r="L1076" s="27" t="s">
        <v>35</v>
      </c>
      <c r="M1076" s="27" t="s">
        <v>36</v>
      </c>
      <c r="N1076" s="17">
        <f t="shared" si="78"/>
        <v>45520</v>
      </c>
      <c r="O1076" s="13" t="s">
        <v>34</v>
      </c>
      <c r="P1076" s="13" t="s">
        <v>717</v>
      </c>
      <c r="Q1076" s="13" t="s">
        <v>38</v>
      </c>
      <c r="R1076" s="13" t="s">
        <v>3890</v>
      </c>
      <c r="S1076" s="13" t="s">
        <v>496</v>
      </c>
      <c r="T1076" s="28">
        <v>33.159999999999997</v>
      </c>
      <c r="U1076" s="13" t="s">
        <v>28</v>
      </c>
      <c r="V1076" s="13" t="s">
        <v>89</v>
      </c>
      <c r="W1076" s="13" t="s">
        <v>1042</v>
      </c>
      <c r="X1076" s="17">
        <f t="shared" si="79"/>
        <v>45551</v>
      </c>
      <c r="Y1076" s="3"/>
    </row>
    <row r="1077" spans="1:25" ht="45" customHeight="1">
      <c r="A1077" s="3">
        <v>1075</v>
      </c>
      <c r="B1077" s="13" t="s">
        <v>3891</v>
      </c>
      <c r="C1077" s="13" t="s">
        <v>103</v>
      </c>
      <c r="D1077" s="13" t="s">
        <v>3892</v>
      </c>
      <c r="E1077" s="13" t="s">
        <v>1064</v>
      </c>
      <c r="F1077" s="13" t="s">
        <v>29</v>
      </c>
      <c r="G1077" s="13" t="s">
        <v>56</v>
      </c>
      <c r="H1077" s="13" t="s">
        <v>1031</v>
      </c>
      <c r="I1077" s="27" t="s">
        <v>3893</v>
      </c>
      <c r="J1077" s="27" t="s">
        <v>33</v>
      </c>
      <c r="K1077" s="27" t="s">
        <v>106</v>
      </c>
      <c r="L1077" s="27" t="s">
        <v>35</v>
      </c>
      <c r="M1077" s="27" t="s">
        <v>36</v>
      </c>
      <c r="N1077" s="17">
        <f t="shared" si="78"/>
        <v>45520</v>
      </c>
      <c r="O1077" s="13" t="s">
        <v>34</v>
      </c>
      <c r="P1077" s="13" t="s">
        <v>203</v>
      </c>
      <c r="Q1077" s="13" t="s">
        <v>38</v>
      </c>
      <c r="R1077" s="13" t="s">
        <v>3894</v>
      </c>
      <c r="S1077" s="13" t="s">
        <v>58</v>
      </c>
      <c r="T1077" s="28">
        <v>27.47</v>
      </c>
      <c r="U1077" s="13" t="s">
        <v>28</v>
      </c>
      <c r="V1077" s="13" t="s">
        <v>89</v>
      </c>
      <c r="W1077" s="13" t="s">
        <v>56</v>
      </c>
      <c r="X1077" s="17">
        <f t="shared" si="79"/>
        <v>45551</v>
      </c>
      <c r="Y1077" s="3"/>
    </row>
    <row r="1078" spans="1:25" ht="45" customHeight="1">
      <c r="A1078" s="3">
        <v>1076</v>
      </c>
      <c r="B1078" s="13" t="s">
        <v>3895</v>
      </c>
      <c r="C1078" s="13" t="s">
        <v>26</v>
      </c>
      <c r="D1078" s="13" t="s">
        <v>3896</v>
      </c>
      <c r="E1078" s="13" t="s">
        <v>28</v>
      </c>
      <c r="F1078" s="13" t="s">
        <v>29</v>
      </c>
      <c r="G1078" s="13" t="s">
        <v>537</v>
      </c>
      <c r="H1078" s="13" t="s">
        <v>1031</v>
      </c>
      <c r="I1078" s="27" t="s">
        <v>3897</v>
      </c>
      <c r="J1078" s="27" t="s">
        <v>33</v>
      </c>
      <c r="K1078" s="27" t="s">
        <v>34</v>
      </c>
      <c r="L1078" s="27" t="s">
        <v>35</v>
      </c>
      <c r="M1078" s="27" t="s">
        <v>36</v>
      </c>
      <c r="N1078" s="17">
        <f t="shared" si="78"/>
        <v>45520</v>
      </c>
      <c r="O1078" s="13" t="s">
        <v>34</v>
      </c>
      <c r="P1078" s="13" t="s">
        <v>64</v>
      </c>
      <c r="Q1078" s="13" t="s">
        <v>38</v>
      </c>
      <c r="R1078" s="13" t="s">
        <v>3898</v>
      </c>
      <c r="S1078" s="13" t="s">
        <v>64</v>
      </c>
      <c r="T1078" s="28">
        <v>22.99</v>
      </c>
      <c r="U1078" s="13" t="s">
        <v>28</v>
      </c>
      <c r="V1078" s="13" t="s">
        <v>146</v>
      </c>
      <c r="W1078" s="13" t="s">
        <v>537</v>
      </c>
      <c r="X1078" s="17">
        <f t="shared" si="79"/>
        <v>45551</v>
      </c>
      <c r="Y1078" s="3"/>
    </row>
    <row r="1079" spans="1:25" ht="45" customHeight="1">
      <c r="A1079" s="3">
        <v>1077</v>
      </c>
      <c r="B1079" s="13" t="s">
        <v>3899</v>
      </c>
      <c r="C1079" s="13" t="s">
        <v>26</v>
      </c>
      <c r="D1079" s="13" t="s">
        <v>3900</v>
      </c>
      <c r="E1079" s="13" t="s">
        <v>28</v>
      </c>
      <c r="F1079" s="13" t="s">
        <v>29</v>
      </c>
      <c r="G1079" s="13" t="s">
        <v>48</v>
      </c>
      <c r="H1079" s="13" t="s">
        <v>1031</v>
      </c>
      <c r="I1079" s="27" t="s">
        <v>3901</v>
      </c>
      <c r="J1079" s="27" t="s">
        <v>33</v>
      </c>
      <c r="K1079" s="27" t="s">
        <v>34</v>
      </c>
      <c r="L1079" s="27" t="s">
        <v>35</v>
      </c>
      <c r="M1079" s="27" t="s">
        <v>36</v>
      </c>
      <c r="N1079" s="17">
        <f t="shared" si="78"/>
        <v>45520</v>
      </c>
      <c r="O1079" s="13" t="s">
        <v>34</v>
      </c>
      <c r="P1079" s="13" t="s">
        <v>182</v>
      </c>
      <c r="Q1079" s="13" t="s">
        <v>38</v>
      </c>
      <c r="R1079" s="13" t="s">
        <v>3902</v>
      </c>
      <c r="S1079" s="13" t="s">
        <v>52</v>
      </c>
      <c r="T1079" s="28">
        <v>33.880000000000003</v>
      </c>
      <c r="U1079" s="13" t="s">
        <v>28</v>
      </c>
      <c r="V1079" s="13" t="s">
        <v>89</v>
      </c>
      <c r="W1079" s="13" t="s">
        <v>48</v>
      </c>
      <c r="X1079" s="17">
        <f t="shared" si="79"/>
        <v>45551</v>
      </c>
      <c r="Y1079" s="3"/>
    </row>
    <row r="1080" spans="1:25" ht="45" customHeight="1">
      <c r="A1080" s="3">
        <v>1078</v>
      </c>
      <c r="B1080" s="13" t="s">
        <v>3903</v>
      </c>
      <c r="C1080" s="13" t="s">
        <v>26</v>
      </c>
      <c r="D1080" s="13" t="s">
        <v>3904</v>
      </c>
      <c r="E1080" s="13" t="s">
        <v>28</v>
      </c>
      <c r="F1080" s="13" t="s">
        <v>29</v>
      </c>
      <c r="G1080" s="13" t="s">
        <v>30</v>
      </c>
      <c r="H1080" s="13" t="s">
        <v>1031</v>
      </c>
      <c r="I1080" s="27" t="s">
        <v>3905</v>
      </c>
      <c r="J1080" s="27" t="s">
        <v>33</v>
      </c>
      <c r="K1080" s="27" t="s">
        <v>34</v>
      </c>
      <c r="L1080" s="27" t="s">
        <v>35</v>
      </c>
      <c r="M1080" s="27" t="s">
        <v>36</v>
      </c>
      <c r="N1080" s="17">
        <f t="shared" si="78"/>
        <v>45520</v>
      </c>
      <c r="O1080" s="13" t="s">
        <v>34</v>
      </c>
      <c r="P1080" s="13" t="s">
        <v>1781</v>
      </c>
      <c r="Q1080" s="13" t="s">
        <v>38</v>
      </c>
      <c r="R1080" s="13" t="s">
        <v>3906</v>
      </c>
      <c r="S1080" s="13" t="s">
        <v>37</v>
      </c>
      <c r="T1080" s="28">
        <v>20.94</v>
      </c>
      <c r="U1080" s="13" t="s">
        <v>28</v>
      </c>
      <c r="V1080" s="13" t="s">
        <v>53</v>
      </c>
      <c r="W1080" s="13" t="s">
        <v>30</v>
      </c>
      <c r="X1080" s="17">
        <f t="shared" si="79"/>
        <v>45551</v>
      </c>
      <c r="Y1080" s="3"/>
    </row>
    <row r="1081" spans="1:25" ht="45" customHeight="1">
      <c r="A1081" s="3">
        <v>1079</v>
      </c>
      <c r="B1081" s="13" t="s">
        <v>3907</v>
      </c>
      <c r="C1081" s="13" t="s">
        <v>103</v>
      </c>
      <c r="D1081" s="13" t="s">
        <v>3908</v>
      </c>
      <c r="E1081" s="13" t="s">
        <v>28</v>
      </c>
      <c r="F1081" s="13" t="s">
        <v>491</v>
      </c>
      <c r="G1081" s="13" t="s">
        <v>1042</v>
      </c>
      <c r="H1081" s="13" t="s">
        <v>406</v>
      </c>
      <c r="I1081" s="27" t="s">
        <v>3909</v>
      </c>
      <c r="J1081" s="27" t="s">
        <v>33</v>
      </c>
      <c r="K1081" s="27" t="s">
        <v>106</v>
      </c>
      <c r="L1081" s="27" t="s">
        <v>2340</v>
      </c>
      <c r="M1081" s="27" t="s">
        <v>1681</v>
      </c>
      <c r="N1081" s="17">
        <f t="shared" si="78"/>
        <v>45520</v>
      </c>
      <c r="O1081" s="13" t="s">
        <v>34</v>
      </c>
      <c r="P1081" s="13" t="s">
        <v>717</v>
      </c>
      <c r="Q1081" s="13" t="s">
        <v>38</v>
      </c>
      <c r="R1081" s="13" t="s">
        <v>3910</v>
      </c>
      <c r="S1081" s="13" t="s">
        <v>496</v>
      </c>
      <c r="T1081" s="28">
        <v>27.35</v>
      </c>
      <c r="U1081" s="13" t="s">
        <v>28</v>
      </c>
      <c r="V1081" s="13" t="s">
        <v>146</v>
      </c>
      <c r="W1081" s="13" t="s">
        <v>1042</v>
      </c>
      <c r="X1081" s="17">
        <f t="shared" si="79"/>
        <v>45551</v>
      </c>
      <c r="Y1081" s="3"/>
    </row>
    <row r="1082" spans="1:25" ht="45" customHeight="1">
      <c r="A1082" s="3">
        <v>1080</v>
      </c>
      <c r="B1082" s="13" t="s">
        <v>3911</v>
      </c>
      <c r="C1082" s="13" t="s">
        <v>103</v>
      </c>
      <c r="D1082" s="13" t="s">
        <v>3912</v>
      </c>
      <c r="E1082" s="13" t="s">
        <v>28</v>
      </c>
      <c r="F1082" s="13" t="s">
        <v>491</v>
      </c>
      <c r="G1082" s="13" t="s">
        <v>830</v>
      </c>
      <c r="H1082" s="13" t="s">
        <v>406</v>
      </c>
      <c r="I1082" s="27" t="s">
        <v>3913</v>
      </c>
      <c r="J1082" s="27" t="s">
        <v>33</v>
      </c>
      <c r="K1082" s="27" t="s">
        <v>106</v>
      </c>
      <c r="L1082" s="27" t="s">
        <v>35</v>
      </c>
      <c r="M1082" s="27" t="s">
        <v>36</v>
      </c>
      <c r="N1082" s="17">
        <f t="shared" si="78"/>
        <v>45520</v>
      </c>
      <c r="O1082" s="13" t="s">
        <v>107</v>
      </c>
      <c r="P1082" s="13" t="s">
        <v>505</v>
      </c>
      <c r="Q1082" s="13" t="s">
        <v>38</v>
      </c>
      <c r="R1082" s="13" t="s">
        <v>3914</v>
      </c>
      <c r="S1082" s="13" t="s">
        <v>496</v>
      </c>
      <c r="T1082" s="28">
        <v>24.67</v>
      </c>
      <c r="U1082" s="13" t="s">
        <v>28</v>
      </c>
      <c r="V1082" s="13" t="s">
        <v>53</v>
      </c>
      <c r="W1082" s="13" t="s">
        <v>833</v>
      </c>
      <c r="X1082" s="17">
        <f t="shared" si="79"/>
        <v>45551</v>
      </c>
      <c r="Y1082" s="3"/>
    </row>
    <row r="1083" spans="1:25" ht="45" customHeight="1">
      <c r="A1083" s="3">
        <v>1081</v>
      </c>
      <c r="B1083" s="13" t="s">
        <v>3915</v>
      </c>
      <c r="C1083" s="13" t="s">
        <v>103</v>
      </c>
      <c r="D1083" s="13" t="s">
        <v>3916</v>
      </c>
      <c r="E1083" s="13" t="s">
        <v>1064</v>
      </c>
      <c r="F1083" s="13" t="s">
        <v>29</v>
      </c>
      <c r="G1083" s="13" t="s">
        <v>680</v>
      </c>
      <c r="H1083" s="13" t="s">
        <v>1031</v>
      </c>
      <c r="I1083" s="27" t="s">
        <v>3917</v>
      </c>
      <c r="J1083" s="27" t="s">
        <v>33</v>
      </c>
      <c r="K1083" s="27" t="s">
        <v>106</v>
      </c>
      <c r="L1083" s="27" t="s">
        <v>35</v>
      </c>
      <c r="M1083" s="27" t="s">
        <v>36</v>
      </c>
      <c r="N1083" s="17">
        <f t="shared" si="78"/>
        <v>45520</v>
      </c>
      <c r="O1083" s="13" t="s">
        <v>34</v>
      </c>
      <c r="P1083" s="13" t="s">
        <v>52</v>
      </c>
      <c r="Q1083" s="13" t="s">
        <v>38</v>
      </c>
      <c r="R1083" s="13" t="s">
        <v>3918</v>
      </c>
      <c r="S1083" s="13" t="s">
        <v>52</v>
      </c>
      <c r="T1083" s="28">
        <v>23.95</v>
      </c>
      <c r="U1083" s="13" t="s">
        <v>28</v>
      </c>
      <c r="V1083" s="13" t="s">
        <v>146</v>
      </c>
      <c r="W1083" s="13" t="s">
        <v>683</v>
      </c>
      <c r="X1083" s="17">
        <f t="shared" si="79"/>
        <v>45551</v>
      </c>
      <c r="Y1083" s="3"/>
    </row>
    <row r="1084" spans="1:25" ht="45" customHeight="1">
      <c r="A1084" s="3">
        <v>1082</v>
      </c>
      <c r="B1084" s="13" t="s">
        <v>3919</v>
      </c>
      <c r="C1084" s="13" t="s">
        <v>103</v>
      </c>
      <c r="D1084" s="13" t="s">
        <v>3920</v>
      </c>
      <c r="E1084" s="13" t="s">
        <v>1064</v>
      </c>
      <c r="F1084" s="13" t="s">
        <v>29</v>
      </c>
      <c r="G1084" s="13" t="s">
        <v>1216</v>
      </c>
      <c r="H1084" s="13" t="s">
        <v>1031</v>
      </c>
      <c r="I1084" s="27" t="s">
        <v>3921</v>
      </c>
      <c r="J1084" s="27" t="s">
        <v>33</v>
      </c>
      <c r="K1084" s="27" t="s">
        <v>106</v>
      </c>
      <c r="L1084" s="27" t="s">
        <v>35</v>
      </c>
      <c r="M1084" s="27" t="s">
        <v>36</v>
      </c>
      <c r="N1084" s="17">
        <f t="shared" si="78"/>
        <v>45520</v>
      </c>
      <c r="O1084" s="13" t="s">
        <v>34</v>
      </c>
      <c r="P1084" s="13" t="s">
        <v>1215</v>
      </c>
      <c r="Q1084" s="13" t="s">
        <v>38</v>
      </c>
      <c r="R1084" s="13" t="s">
        <v>3922</v>
      </c>
      <c r="S1084" s="13" t="s">
        <v>1215</v>
      </c>
      <c r="T1084" s="28">
        <v>23.99</v>
      </c>
      <c r="U1084" s="13" t="s">
        <v>28</v>
      </c>
      <c r="V1084" s="13" t="s">
        <v>146</v>
      </c>
      <c r="W1084" s="13" t="s">
        <v>1219</v>
      </c>
      <c r="X1084" s="17">
        <f t="shared" si="79"/>
        <v>45551</v>
      </c>
      <c r="Y1084" s="3"/>
    </row>
    <row r="1085" spans="1:25" ht="45" customHeight="1">
      <c r="A1085" s="3">
        <v>1083</v>
      </c>
      <c r="B1085" s="13" t="s">
        <v>3923</v>
      </c>
      <c r="C1085" s="13" t="s">
        <v>26</v>
      </c>
      <c r="D1085" s="13" t="s">
        <v>3924</v>
      </c>
      <c r="E1085" s="13" t="s">
        <v>1064</v>
      </c>
      <c r="F1085" s="13" t="s">
        <v>29</v>
      </c>
      <c r="G1085" s="13" t="s">
        <v>680</v>
      </c>
      <c r="H1085" s="13" t="s">
        <v>1031</v>
      </c>
      <c r="I1085" s="27" t="s">
        <v>3925</v>
      </c>
      <c r="J1085" s="27" t="s">
        <v>33</v>
      </c>
      <c r="K1085" s="27" t="s">
        <v>34</v>
      </c>
      <c r="L1085" s="27" t="s">
        <v>35</v>
      </c>
      <c r="M1085" s="27" t="s">
        <v>36</v>
      </c>
      <c r="N1085" s="17">
        <f t="shared" si="78"/>
        <v>45520</v>
      </c>
      <c r="O1085" s="13" t="s">
        <v>34</v>
      </c>
      <c r="P1085" s="13" t="s">
        <v>52</v>
      </c>
      <c r="Q1085" s="13" t="s">
        <v>38</v>
      </c>
      <c r="R1085" s="13" t="s">
        <v>3926</v>
      </c>
      <c r="S1085" s="13" t="s">
        <v>52</v>
      </c>
      <c r="T1085" s="28">
        <v>27.52</v>
      </c>
      <c r="U1085" s="13" t="s">
        <v>28</v>
      </c>
      <c r="V1085" s="13" t="s">
        <v>146</v>
      </c>
      <c r="W1085" s="13" t="s">
        <v>683</v>
      </c>
      <c r="X1085" s="17">
        <f t="shared" si="79"/>
        <v>45551</v>
      </c>
      <c r="Y1085" s="3"/>
    </row>
    <row r="1086" spans="1:25" ht="45" customHeight="1">
      <c r="A1086" s="3">
        <v>1084</v>
      </c>
      <c r="B1086" s="13" t="s">
        <v>3927</v>
      </c>
      <c r="C1086" s="13" t="s">
        <v>26</v>
      </c>
      <c r="D1086" s="13" t="s">
        <v>3928</v>
      </c>
      <c r="E1086" s="13" t="s">
        <v>28</v>
      </c>
      <c r="F1086" s="13" t="s">
        <v>29</v>
      </c>
      <c r="G1086" s="13" t="s">
        <v>30</v>
      </c>
      <c r="H1086" s="13" t="s">
        <v>1031</v>
      </c>
      <c r="I1086" s="27" t="s">
        <v>3929</v>
      </c>
      <c r="J1086" s="27" t="s">
        <v>33</v>
      </c>
      <c r="K1086" s="27" t="s">
        <v>34</v>
      </c>
      <c r="L1086" s="27" t="s">
        <v>35</v>
      </c>
      <c r="M1086" s="27" t="s">
        <v>36</v>
      </c>
      <c r="N1086" s="17">
        <f t="shared" si="78"/>
        <v>45520</v>
      </c>
      <c r="O1086" s="13" t="s">
        <v>34</v>
      </c>
      <c r="P1086" s="13" t="s">
        <v>1781</v>
      </c>
      <c r="Q1086" s="13" t="s">
        <v>38</v>
      </c>
      <c r="R1086" s="13" t="s">
        <v>3930</v>
      </c>
      <c r="S1086" s="13" t="s">
        <v>37</v>
      </c>
      <c r="T1086" s="28">
        <v>31.23</v>
      </c>
      <c r="U1086" s="13" t="s">
        <v>28</v>
      </c>
      <c r="V1086" s="13" t="s">
        <v>53</v>
      </c>
      <c r="W1086" s="13" t="s">
        <v>30</v>
      </c>
      <c r="X1086" s="17">
        <f t="shared" si="79"/>
        <v>45551</v>
      </c>
      <c r="Y1086" s="3"/>
    </row>
    <row r="1087" spans="1:25" ht="45" customHeight="1">
      <c r="A1087" s="3">
        <v>1085</v>
      </c>
      <c r="B1087" s="13" t="s">
        <v>3931</v>
      </c>
      <c r="C1087" s="13" t="s">
        <v>26</v>
      </c>
      <c r="D1087" s="13" t="s">
        <v>3932</v>
      </c>
      <c r="E1087" s="13" t="s">
        <v>28</v>
      </c>
      <c r="F1087" s="13" t="s">
        <v>491</v>
      </c>
      <c r="G1087" s="13" t="s">
        <v>978</v>
      </c>
      <c r="H1087" s="13" t="s">
        <v>406</v>
      </c>
      <c r="I1087" s="27" t="s">
        <v>3933</v>
      </c>
      <c r="J1087" s="27" t="s">
        <v>33</v>
      </c>
      <c r="K1087" s="27" t="s">
        <v>34</v>
      </c>
      <c r="L1087" s="27" t="s">
        <v>35</v>
      </c>
      <c r="M1087" s="27" t="s">
        <v>36</v>
      </c>
      <c r="N1087" s="17">
        <f t="shared" si="78"/>
        <v>45520</v>
      </c>
      <c r="O1087" s="13" t="s">
        <v>34</v>
      </c>
      <c r="P1087" s="13" t="s">
        <v>596</v>
      </c>
      <c r="Q1087" s="13" t="s">
        <v>38</v>
      </c>
      <c r="R1087" s="13" t="s">
        <v>3934</v>
      </c>
      <c r="S1087" s="13" t="s">
        <v>496</v>
      </c>
      <c r="T1087" s="28">
        <v>24.74</v>
      </c>
      <c r="U1087" s="13" t="s">
        <v>28</v>
      </c>
      <c r="V1087" s="13" t="s">
        <v>146</v>
      </c>
      <c r="W1087" s="13" t="s">
        <v>981</v>
      </c>
      <c r="X1087" s="17">
        <f t="shared" si="79"/>
        <v>45551</v>
      </c>
      <c r="Y1087" s="3"/>
    </row>
    <row r="1088" spans="1:25" ht="45" customHeight="1">
      <c r="A1088" s="3">
        <v>1086</v>
      </c>
      <c r="B1088" s="13" t="s">
        <v>3935</v>
      </c>
      <c r="C1088" s="13" t="s">
        <v>26</v>
      </c>
      <c r="D1088" s="13" t="s">
        <v>3936</v>
      </c>
      <c r="E1088" s="13" t="s">
        <v>28</v>
      </c>
      <c r="F1088" s="13" t="s">
        <v>29</v>
      </c>
      <c r="G1088" s="13" t="s">
        <v>48</v>
      </c>
      <c r="H1088" s="13" t="s">
        <v>1031</v>
      </c>
      <c r="I1088" s="27" t="s">
        <v>3937</v>
      </c>
      <c r="J1088" s="27" t="s">
        <v>33</v>
      </c>
      <c r="K1088" s="27" t="s">
        <v>34</v>
      </c>
      <c r="L1088" s="27" t="s">
        <v>35</v>
      </c>
      <c r="M1088" s="27" t="s">
        <v>36</v>
      </c>
      <c r="N1088" s="17">
        <f t="shared" si="78"/>
        <v>45520</v>
      </c>
      <c r="O1088" s="13" t="s">
        <v>34</v>
      </c>
      <c r="P1088" s="13" t="s">
        <v>52</v>
      </c>
      <c r="Q1088" s="13" t="s">
        <v>38</v>
      </c>
      <c r="R1088" s="13" t="s">
        <v>3938</v>
      </c>
      <c r="S1088" s="13" t="s">
        <v>52</v>
      </c>
      <c r="T1088" s="28">
        <v>22.39</v>
      </c>
      <c r="U1088" s="13" t="s">
        <v>28</v>
      </c>
      <c r="V1088" s="13" t="s">
        <v>146</v>
      </c>
      <c r="W1088" s="13" t="s">
        <v>48</v>
      </c>
      <c r="X1088" s="17">
        <f t="shared" si="79"/>
        <v>45551</v>
      </c>
      <c r="Y1088" s="3"/>
    </row>
    <row r="1089" spans="1:25" ht="45" customHeight="1">
      <c r="A1089" s="3">
        <v>1087</v>
      </c>
      <c r="B1089" s="13" t="s">
        <v>3939</v>
      </c>
      <c r="C1089" s="13" t="s">
        <v>26</v>
      </c>
      <c r="D1089" s="13" t="s">
        <v>3940</v>
      </c>
      <c r="E1089" s="13" t="s">
        <v>1064</v>
      </c>
      <c r="F1089" s="13" t="s">
        <v>417</v>
      </c>
      <c r="G1089" s="13" t="s">
        <v>674</v>
      </c>
      <c r="H1089" s="13" t="s">
        <v>419</v>
      </c>
      <c r="I1089" s="27" t="s">
        <v>3941</v>
      </c>
      <c r="J1089" s="27" t="s">
        <v>33</v>
      </c>
      <c r="K1089" s="27" t="s">
        <v>34</v>
      </c>
      <c r="L1089" s="27" t="s">
        <v>35</v>
      </c>
      <c r="M1089" s="27" t="s">
        <v>36</v>
      </c>
      <c r="N1089" s="17">
        <f t="shared" si="78"/>
        <v>45520</v>
      </c>
      <c r="O1089" s="13" t="s">
        <v>34</v>
      </c>
      <c r="P1089" s="13" t="s">
        <v>676</v>
      </c>
      <c r="Q1089" s="13" t="s">
        <v>38</v>
      </c>
      <c r="R1089" s="13" t="s">
        <v>3942</v>
      </c>
      <c r="S1089" s="13" t="s">
        <v>423</v>
      </c>
      <c r="T1089" s="28">
        <v>22.68</v>
      </c>
      <c r="U1089" s="13" t="s">
        <v>28</v>
      </c>
      <c r="V1089" s="13" t="s">
        <v>89</v>
      </c>
      <c r="W1089" s="13" t="s">
        <v>678</v>
      </c>
      <c r="X1089" s="17">
        <f t="shared" si="79"/>
        <v>45551</v>
      </c>
      <c r="Y1089" s="3"/>
    </row>
    <row r="1090" spans="1:25" ht="45" customHeight="1">
      <c r="A1090" s="3">
        <v>1088</v>
      </c>
      <c r="B1090" s="13" t="s">
        <v>3943</v>
      </c>
      <c r="C1090" s="13" t="s">
        <v>26</v>
      </c>
      <c r="D1090" s="13" t="s">
        <v>3944</v>
      </c>
      <c r="E1090" s="13" t="s">
        <v>28</v>
      </c>
      <c r="F1090" s="13" t="s">
        <v>491</v>
      </c>
      <c r="G1090" s="13" t="s">
        <v>830</v>
      </c>
      <c r="H1090" s="13" t="s">
        <v>406</v>
      </c>
      <c r="I1090" s="27" t="s">
        <v>3945</v>
      </c>
      <c r="J1090" s="27" t="s">
        <v>33</v>
      </c>
      <c r="K1090" s="27" t="s">
        <v>34</v>
      </c>
      <c r="L1090" s="27" t="s">
        <v>35</v>
      </c>
      <c r="M1090" s="27" t="s">
        <v>36</v>
      </c>
      <c r="N1090" s="17">
        <f t="shared" si="78"/>
        <v>45520</v>
      </c>
      <c r="O1090" s="13" t="s">
        <v>34</v>
      </c>
      <c r="P1090" s="13" t="s">
        <v>505</v>
      </c>
      <c r="Q1090" s="13" t="s">
        <v>38</v>
      </c>
      <c r="R1090" s="13" t="s">
        <v>3946</v>
      </c>
      <c r="S1090" s="13" t="s">
        <v>496</v>
      </c>
      <c r="T1090" s="28">
        <v>24.08</v>
      </c>
      <c r="U1090" s="13" t="s">
        <v>28</v>
      </c>
      <c r="V1090" s="13" t="s">
        <v>146</v>
      </c>
      <c r="W1090" s="13" t="s">
        <v>833</v>
      </c>
      <c r="X1090" s="17">
        <f t="shared" si="79"/>
        <v>45551</v>
      </c>
      <c r="Y1090" s="3"/>
    </row>
    <row r="1091" spans="1:25" ht="45" customHeight="1">
      <c r="A1091" s="3">
        <v>1089</v>
      </c>
      <c r="B1091" s="13" t="s">
        <v>3947</v>
      </c>
      <c r="C1091" s="13" t="s">
        <v>26</v>
      </c>
      <c r="D1091" s="13" t="s">
        <v>3948</v>
      </c>
      <c r="E1091" s="13" t="s">
        <v>1064</v>
      </c>
      <c r="F1091" s="13" t="s">
        <v>417</v>
      </c>
      <c r="G1091" s="13" t="s">
        <v>756</v>
      </c>
      <c r="H1091" s="13" t="s">
        <v>419</v>
      </c>
      <c r="I1091" s="27" t="s">
        <v>3949</v>
      </c>
      <c r="J1091" s="27" t="s">
        <v>33</v>
      </c>
      <c r="K1091" s="27" t="s">
        <v>34</v>
      </c>
      <c r="L1091" s="27" t="s">
        <v>35</v>
      </c>
      <c r="M1091" s="27" t="s">
        <v>36</v>
      </c>
      <c r="N1091" s="17">
        <f t="shared" si="78"/>
        <v>45520</v>
      </c>
      <c r="O1091" s="13" t="s">
        <v>34</v>
      </c>
      <c r="P1091" s="13" t="s">
        <v>693</v>
      </c>
      <c r="Q1091" s="13" t="s">
        <v>38</v>
      </c>
      <c r="R1091" s="13" t="s">
        <v>3950</v>
      </c>
      <c r="S1091" s="13" t="s">
        <v>423</v>
      </c>
      <c r="T1091" s="28">
        <v>25.25</v>
      </c>
      <c r="U1091" s="13" t="s">
        <v>28</v>
      </c>
      <c r="V1091" s="13" t="s">
        <v>799</v>
      </c>
      <c r="W1091" s="13" t="s">
        <v>759</v>
      </c>
      <c r="X1091" s="17">
        <f t="shared" si="79"/>
        <v>45551</v>
      </c>
      <c r="Y1091" s="3"/>
    </row>
    <row r="1092" spans="1:25" ht="45" customHeight="1">
      <c r="A1092" s="3">
        <v>1090</v>
      </c>
      <c r="B1092" s="13" t="s">
        <v>3951</v>
      </c>
      <c r="C1092" s="13" t="s">
        <v>103</v>
      </c>
      <c r="D1092" s="13" t="s">
        <v>3952</v>
      </c>
      <c r="E1092" s="13" t="s">
        <v>28</v>
      </c>
      <c r="F1092" s="13" t="s">
        <v>491</v>
      </c>
      <c r="G1092" s="13" t="s">
        <v>1042</v>
      </c>
      <c r="H1092" s="13" t="s">
        <v>406</v>
      </c>
      <c r="I1092" s="27" t="s">
        <v>3953</v>
      </c>
      <c r="J1092" s="27" t="s">
        <v>33</v>
      </c>
      <c r="K1092" s="27" t="s">
        <v>106</v>
      </c>
      <c r="L1092" s="27" t="s">
        <v>35</v>
      </c>
      <c r="M1092" s="27" t="s">
        <v>36</v>
      </c>
      <c r="N1092" s="17">
        <f t="shared" si="78"/>
        <v>45520</v>
      </c>
      <c r="O1092" s="13" t="s">
        <v>1198</v>
      </c>
      <c r="P1092" s="13" t="s">
        <v>717</v>
      </c>
      <c r="Q1092" s="13" t="s">
        <v>38</v>
      </c>
      <c r="R1092" s="13" t="s">
        <v>3954</v>
      </c>
      <c r="S1092" s="13" t="s">
        <v>496</v>
      </c>
      <c r="T1092" s="28">
        <v>24.16</v>
      </c>
      <c r="U1092" s="13" t="s">
        <v>28</v>
      </c>
      <c r="V1092" s="13" t="s">
        <v>53</v>
      </c>
      <c r="W1092" s="13" t="s">
        <v>1042</v>
      </c>
      <c r="X1092" s="17">
        <f t="shared" si="79"/>
        <v>45551</v>
      </c>
      <c r="Y1092" s="3"/>
    </row>
    <row r="1093" spans="1:25" ht="45" customHeight="1">
      <c r="A1093" s="3">
        <v>1091</v>
      </c>
      <c r="B1093" s="13" t="s">
        <v>3955</v>
      </c>
      <c r="C1093" s="13" t="s">
        <v>26</v>
      </c>
      <c r="D1093" s="13" t="s">
        <v>3956</v>
      </c>
      <c r="E1093" s="13" t="s">
        <v>1064</v>
      </c>
      <c r="F1093" s="13" t="s">
        <v>29</v>
      </c>
      <c r="G1093" s="13" t="s">
        <v>43</v>
      </c>
      <c r="H1093" s="13" t="s">
        <v>1031</v>
      </c>
      <c r="I1093" s="27" t="s">
        <v>3957</v>
      </c>
      <c r="J1093" s="27" t="s">
        <v>33</v>
      </c>
      <c r="K1093" s="27" t="s">
        <v>34</v>
      </c>
      <c r="L1093" s="27" t="s">
        <v>35</v>
      </c>
      <c r="M1093" s="27" t="s">
        <v>36</v>
      </c>
      <c r="N1093" s="17">
        <f t="shared" si="78"/>
        <v>45520</v>
      </c>
      <c r="O1093" s="13" t="s">
        <v>34</v>
      </c>
      <c r="P1093" s="13" t="s">
        <v>1134</v>
      </c>
      <c r="Q1093" s="13" t="s">
        <v>38</v>
      </c>
      <c r="R1093" s="13" t="s">
        <v>3958</v>
      </c>
      <c r="S1093" s="13" t="s">
        <v>37</v>
      </c>
      <c r="T1093" s="28">
        <v>27.07</v>
      </c>
      <c r="U1093" s="13" t="s">
        <v>28</v>
      </c>
      <c r="V1093" s="13" t="s">
        <v>146</v>
      </c>
      <c r="W1093" s="13" t="s">
        <v>43</v>
      </c>
      <c r="X1093" s="17">
        <f t="shared" si="79"/>
        <v>45551</v>
      </c>
      <c r="Y1093" s="3"/>
    </row>
    <row r="1094" spans="1:25" ht="45" customHeight="1">
      <c r="A1094" s="3">
        <v>1092</v>
      </c>
      <c r="B1094" s="13" t="s">
        <v>3959</v>
      </c>
      <c r="C1094" s="13" t="s">
        <v>26</v>
      </c>
      <c r="D1094" s="13" t="s">
        <v>3960</v>
      </c>
      <c r="E1094" s="13" t="s">
        <v>28</v>
      </c>
      <c r="F1094" s="13" t="s">
        <v>29</v>
      </c>
      <c r="G1094" s="13" t="s">
        <v>1216</v>
      </c>
      <c r="H1094" s="13" t="s">
        <v>1031</v>
      </c>
      <c r="I1094" s="27" t="s">
        <v>3961</v>
      </c>
      <c r="J1094" s="27" t="s">
        <v>33</v>
      </c>
      <c r="K1094" s="27" t="s">
        <v>34</v>
      </c>
      <c r="L1094" s="27" t="s">
        <v>35</v>
      </c>
      <c r="M1094" s="27" t="s">
        <v>36</v>
      </c>
      <c r="N1094" s="17">
        <f t="shared" si="78"/>
        <v>45520</v>
      </c>
      <c r="O1094" s="13" t="s">
        <v>34</v>
      </c>
      <c r="P1094" s="13" t="s">
        <v>1221</v>
      </c>
      <c r="Q1094" s="13" t="s">
        <v>38</v>
      </c>
      <c r="R1094" s="13" t="s">
        <v>3962</v>
      </c>
      <c r="S1094" s="13" t="s">
        <v>1215</v>
      </c>
      <c r="T1094" s="28">
        <v>22.44</v>
      </c>
      <c r="U1094" s="13" t="s">
        <v>28</v>
      </c>
      <c r="V1094" s="13" t="s">
        <v>53</v>
      </c>
      <c r="W1094" s="13" t="s">
        <v>1219</v>
      </c>
      <c r="X1094" s="17">
        <f t="shared" si="79"/>
        <v>45551</v>
      </c>
      <c r="Y1094" s="3"/>
    </row>
    <row r="1095" spans="1:25" ht="45" customHeight="1">
      <c r="A1095" s="3">
        <v>1093</v>
      </c>
      <c r="B1095" s="13" t="s">
        <v>3963</v>
      </c>
      <c r="C1095" s="13" t="s">
        <v>26</v>
      </c>
      <c r="D1095" s="13" t="s">
        <v>3964</v>
      </c>
      <c r="E1095" s="13" t="s">
        <v>1064</v>
      </c>
      <c r="F1095" s="13" t="s">
        <v>29</v>
      </c>
      <c r="G1095" s="13" t="s">
        <v>85</v>
      </c>
      <c r="H1095" s="13" t="s">
        <v>1031</v>
      </c>
      <c r="I1095" s="27" t="s">
        <v>3965</v>
      </c>
      <c r="J1095" s="27" t="s">
        <v>33</v>
      </c>
      <c r="K1095" s="27" t="s">
        <v>34</v>
      </c>
      <c r="L1095" s="27" t="s">
        <v>35</v>
      </c>
      <c r="M1095" s="27" t="s">
        <v>36</v>
      </c>
      <c r="N1095" s="17">
        <f t="shared" si="78"/>
        <v>45520</v>
      </c>
      <c r="O1095" s="13" t="s">
        <v>34</v>
      </c>
      <c r="P1095" s="13" t="s">
        <v>87</v>
      </c>
      <c r="Q1095" s="13" t="s">
        <v>38</v>
      </c>
      <c r="R1095" s="13" t="s">
        <v>3966</v>
      </c>
      <c r="S1095" s="13" t="s">
        <v>87</v>
      </c>
      <c r="T1095" s="28">
        <v>23.7</v>
      </c>
      <c r="U1095" s="13" t="s">
        <v>28</v>
      </c>
      <c r="V1095" s="13" t="s">
        <v>89</v>
      </c>
      <c r="W1095" s="13" t="s">
        <v>85</v>
      </c>
      <c r="X1095" s="17">
        <f t="shared" si="79"/>
        <v>45551</v>
      </c>
      <c r="Y1095" s="3"/>
    </row>
    <row r="1096" spans="1:25" ht="45" customHeight="1">
      <c r="A1096" s="3">
        <v>1094</v>
      </c>
      <c r="B1096" s="13" t="s">
        <v>3967</v>
      </c>
      <c r="C1096" s="13" t="s">
        <v>26</v>
      </c>
      <c r="D1096" s="13" t="s">
        <v>3968</v>
      </c>
      <c r="E1096" s="13" t="s">
        <v>28</v>
      </c>
      <c r="F1096" s="13" t="s">
        <v>29</v>
      </c>
      <c r="G1096" s="13" t="s">
        <v>680</v>
      </c>
      <c r="H1096" s="13" t="s">
        <v>1031</v>
      </c>
      <c r="I1096" s="27" t="s">
        <v>3969</v>
      </c>
      <c r="J1096" s="27" t="s">
        <v>33</v>
      </c>
      <c r="K1096" s="27" t="s">
        <v>34</v>
      </c>
      <c r="L1096" s="27" t="s">
        <v>35</v>
      </c>
      <c r="M1096" s="27" t="s">
        <v>36</v>
      </c>
      <c r="N1096" s="17">
        <f t="shared" si="78"/>
        <v>45520</v>
      </c>
      <c r="O1096" s="13" t="s">
        <v>34</v>
      </c>
      <c r="P1096" s="13" t="s">
        <v>182</v>
      </c>
      <c r="Q1096" s="13" t="s">
        <v>38</v>
      </c>
      <c r="R1096" s="13" t="s">
        <v>3970</v>
      </c>
      <c r="S1096" s="13" t="s">
        <v>52</v>
      </c>
      <c r="T1096" s="28">
        <v>25.48</v>
      </c>
      <c r="U1096" s="13" t="s">
        <v>28</v>
      </c>
      <c r="V1096" s="13" t="s">
        <v>89</v>
      </c>
      <c r="W1096" s="13" t="s">
        <v>683</v>
      </c>
      <c r="X1096" s="17">
        <f t="shared" si="79"/>
        <v>45551</v>
      </c>
      <c r="Y1096" s="3"/>
    </row>
    <row r="1097" spans="1:25" ht="45" customHeight="1">
      <c r="A1097" s="3">
        <v>1095</v>
      </c>
      <c r="B1097" s="13" t="s">
        <v>3971</v>
      </c>
      <c r="C1097" s="13" t="s">
        <v>26</v>
      </c>
      <c r="D1097" s="13" t="s">
        <v>3972</v>
      </c>
      <c r="E1097" s="13" t="s">
        <v>28</v>
      </c>
      <c r="F1097" s="13" t="s">
        <v>29</v>
      </c>
      <c r="G1097" s="13" t="s">
        <v>79</v>
      </c>
      <c r="H1097" s="13" t="s">
        <v>1031</v>
      </c>
      <c r="I1097" s="27" t="s">
        <v>3973</v>
      </c>
      <c r="J1097" s="27" t="s">
        <v>33</v>
      </c>
      <c r="K1097" s="27" t="s">
        <v>34</v>
      </c>
      <c r="L1097" s="27" t="s">
        <v>35</v>
      </c>
      <c r="M1097" s="27" t="s">
        <v>36</v>
      </c>
      <c r="N1097" s="17">
        <f t="shared" si="78"/>
        <v>45520</v>
      </c>
      <c r="O1097" s="13" t="s">
        <v>34</v>
      </c>
      <c r="P1097" s="13" t="s">
        <v>498</v>
      </c>
      <c r="Q1097" s="13" t="s">
        <v>38</v>
      </c>
      <c r="R1097" s="13" t="s">
        <v>3974</v>
      </c>
      <c r="S1097" s="13" t="s">
        <v>81</v>
      </c>
      <c r="T1097" s="28">
        <v>27.67</v>
      </c>
      <c r="U1097" s="13" t="s">
        <v>28</v>
      </c>
      <c r="V1097" s="13" t="s">
        <v>146</v>
      </c>
      <c r="W1097" s="13" t="s">
        <v>79</v>
      </c>
      <c r="X1097" s="17">
        <f t="shared" si="79"/>
        <v>45551</v>
      </c>
      <c r="Y1097" s="3"/>
    </row>
    <row r="1098" spans="1:25" ht="45" customHeight="1">
      <c r="A1098" s="3">
        <v>1096</v>
      </c>
      <c r="B1098" s="13" t="s">
        <v>3975</v>
      </c>
      <c r="C1098" s="13" t="s">
        <v>103</v>
      </c>
      <c r="D1098" s="13" t="s">
        <v>3976</v>
      </c>
      <c r="E1098" s="13" t="s">
        <v>1064</v>
      </c>
      <c r="F1098" s="13" t="s">
        <v>29</v>
      </c>
      <c r="G1098" s="13" t="s">
        <v>1216</v>
      </c>
      <c r="H1098" s="13" t="s">
        <v>1031</v>
      </c>
      <c r="I1098" s="27" t="s">
        <v>3977</v>
      </c>
      <c r="J1098" s="27" t="s">
        <v>33</v>
      </c>
      <c r="K1098" s="27" t="s">
        <v>106</v>
      </c>
      <c r="L1098" s="27" t="s">
        <v>35</v>
      </c>
      <c r="M1098" s="27" t="s">
        <v>36</v>
      </c>
      <c r="N1098" s="17">
        <f t="shared" si="78"/>
        <v>45520</v>
      </c>
      <c r="O1098" s="13" t="s">
        <v>34</v>
      </c>
      <c r="P1098" s="13" t="s">
        <v>1215</v>
      </c>
      <c r="Q1098" s="13" t="s">
        <v>38</v>
      </c>
      <c r="R1098" s="13" t="s">
        <v>3978</v>
      </c>
      <c r="S1098" s="13" t="s">
        <v>1215</v>
      </c>
      <c r="T1098" s="28">
        <v>22.71</v>
      </c>
      <c r="U1098" s="13" t="s">
        <v>28</v>
      </c>
      <c r="V1098" s="13" t="s">
        <v>146</v>
      </c>
      <c r="W1098" s="13" t="s">
        <v>1219</v>
      </c>
      <c r="X1098" s="17">
        <f t="shared" si="79"/>
        <v>45551</v>
      </c>
      <c r="Y1098" s="3"/>
    </row>
    <row r="1099" spans="1:25" ht="45" customHeight="1">
      <c r="A1099" s="3">
        <v>1097</v>
      </c>
      <c r="B1099" s="13" t="s">
        <v>3979</v>
      </c>
      <c r="C1099" s="13" t="s">
        <v>103</v>
      </c>
      <c r="D1099" s="13" t="s">
        <v>3980</v>
      </c>
      <c r="E1099" s="13" t="s">
        <v>28</v>
      </c>
      <c r="F1099" s="13" t="s">
        <v>491</v>
      </c>
      <c r="G1099" s="13" t="s">
        <v>978</v>
      </c>
      <c r="H1099" s="13" t="s">
        <v>406</v>
      </c>
      <c r="I1099" s="27" t="s">
        <v>3981</v>
      </c>
      <c r="J1099" s="27" t="s">
        <v>33</v>
      </c>
      <c r="K1099" s="27" t="s">
        <v>106</v>
      </c>
      <c r="L1099" s="27" t="s">
        <v>35</v>
      </c>
      <c r="M1099" s="27" t="s">
        <v>36</v>
      </c>
      <c r="N1099" s="17">
        <f t="shared" si="78"/>
        <v>45520</v>
      </c>
      <c r="O1099" s="13" t="s">
        <v>34</v>
      </c>
      <c r="P1099" s="13" t="s">
        <v>596</v>
      </c>
      <c r="Q1099" s="13" t="s">
        <v>38</v>
      </c>
      <c r="R1099" s="13" t="s">
        <v>3982</v>
      </c>
      <c r="S1099" s="13" t="s">
        <v>496</v>
      </c>
      <c r="T1099" s="28">
        <v>22.58</v>
      </c>
      <c r="U1099" s="13" t="s">
        <v>28</v>
      </c>
      <c r="V1099" s="13" t="s">
        <v>89</v>
      </c>
      <c r="W1099" s="13" t="s">
        <v>981</v>
      </c>
      <c r="X1099" s="17">
        <f t="shared" si="79"/>
        <v>45551</v>
      </c>
      <c r="Y1099" s="3"/>
    </row>
    <row r="1100" spans="1:25" ht="45" customHeight="1">
      <c r="A1100" s="3">
        <v>1098</v>
      </c>
      <c r="B1100" s="13" t="s">
        <v>3983</v>
      </c>
      <c r="C1100" s="13" t="s">
        <v>26</v>
      </c>
      <c r="D1100" s="13" t="s">
        <v>3984</v>
      </c>
      <c r="E1100" s="13" t="s">
        <v>28</v>
      </c>
      <c r="F1100" s="13" t="s">
        <v>491</v>
      </c>
      <c r="G1100" s="13" t="s">
        <v>978</v>
      </c>
      <c r="H1100" s="13" t="s">
        <v>406</v>
      </c>
      <c r="I1100" s="27" t="s">
        <v>3985</v>
      </c>
      <c r="J1100" s="27" t="s">
        <v>33</v>
      </c>
      <c r="K1100" s="27" t="s">
        <v>34</v>
      </c>
      <c r="L1100" s="27" t="s">
        <v>35</v>
      </c>
      <c r="M1100" s="27" t="s">
        <v>36</v>
      </c>
      <c r="N1100" s="17">
        <f t="shared" si="78"/>
        <v>45520</v>
      </c>
      <c r="O1100" s="13" t="s">
        <v>34</v>
      </c>
      <c r="P1100" s="13" t="s">
        <v>596</v>
      </c>
      <c r="Q1100" s="13" t="s">
        <v>38</v>
      </c>
      <c r="R1100" s="13" t="s">
        <v>3986</v>
      </c>
      <c r="S1100" s="13" t="s">
        <v>496</v>
      </c>
      <c r="T1100" s="28">
        <v>21.5</v>
      </c>
      <c r="U1100" s="13" t="s">
        <v>28</v>
      </c>
      <c r="V1100" s="13" t="s">
        <v>146</v>
      </c>
      <c r="W1100" s="13" t="s">
        <v>981</v>
      </c>
      <c r="X1100" s="17">
        <f t="shared" si="79"/>
        <v>45551</v>
      </c>
      <c r="Y1100" s="3"/>
    </row>
    <row r="1101" spans="1:25" ht="45" customHeight="1">
      <c r="A1101" s="3">
        <v>1099</v>
      </c>
      <c r="B1101" s="13" t="s">
        <v>3987</v>
      </c>
      <c r="C1101" s="13" t="s">
        <v>103</v>
      </c>
      <c r="D1101" s="13" t="s">
        <v>3988</v>
      </c>
      <c r="E1101" s="13" t="s">
        <v>28</v>
      </c>
      <c r="F1101" s="13" t="s">
        <v>491</v>
      </c>
      <c r="G1101" s="13" t="s">
        <v>830</v>
      </c>
      <c r="H1101" s="13" t="s">
        <v>406</v>
      </c>
      <c r="I1101" s="27" t="s">
        <v>3989</v>
      </c>
      <c r="J1101" s="27" t="s">
        <v>33</v>
      </c>
      <c r="K1101" s="27" t="s">
        <v>106</v>
      </c>
      <c r="L1101" s="27" t="s">
        <v>35</v>
      </c>
      <c r="M1101" s="27" t="s">
        <v>36</v>
      </c>
      <c r="N1101" s="17">
        <f t="shared" ref="N1101:N1164" si="80">DATE(2024,8,16)</f>
        <v>45520</v>
      </c>
      <c r="O1101" s="13" t="s">
        <v>34</v>
      </c>
      <c r="P1101" s="13" t="s">
        <v>505</v>
      </c>
      <c r="Q1101" s="13" t="s">
        <v>38</v>
      </c>
      <c r="R1101" s="13" t="s">
        <v>3990</v>
      </c>
      <c r="S1101" s="13" t="s">
        <v>496</v>
      </c>
      <c r="T1101" s="28">
        <v>26.03</v>
      </c>
      <c r="U1101" s="13" t="s">
        <v>28</v>
      </c>
      <c r="V1101" s="13" t="s">
        <v>89</v>
      </c>
      <c r="W1101" s="13" t="s">
        <v>833</v>
      </c>
      <c r="X1101" s="17">
        <f t="shared" ref="X1101:X1135" si="81">DATE(2024,9,16)</f>
        <v>45551</v>
      </c>
      <c r="Y1101" s="3"/>
    </row>
    <row r="1102" spans="1:25" ht="45" customHeight="1">
      <c r="A1102" s="3">
        <v>1100</v>
      </c>
      <c r="B1102" s="13" t="s">
        <v>3991</v>
      </c>
      <c r="C1102" s="13" t="s">
        <v>26</v>
      </c>
      <c r="D1102" s="13" t="s">
        <v>3992</v>
      </c>
      <c r="E1102" s="13" t="s">
        <v>28</v>
      </c>
      <c r="F1102" s="13" t="s">
        <v>475</v>
      </c>
      <c r="G1102" s="13" t="s">
        <v>476</v>
      </c>
      <c r="H1102" s="13" t="s">
        <v>406</v>
      </c>
      <c r="I1102" s="27" t="s">
        <v>3993</v>
      </c>
      <c r="J1102" s="27" t="s">
        <v>33</v>
      </c>
      <c r="K1102" s="27" t="s">
        <v>34</v>
      </c>
      <c r="L1102" s="27" t="s">
        <v>35</v>
      </c>
      <c r="M1102" s="27" t="s">
        <v>36</v>
      </c>
      <c r="N1102" s="17">
        <f t="shared" si="80"/>
        <v>45520</v>
      </c>
      <c r="O1102" s="13" t="s">
        <v>34</v>
      </c>
      <c r="P1102" s="13" t="s">
        <v>473</v>
      </c>
      <c r="Q1102" s="13" t="s">
        <v>38</v>
      </c>
      <c r="R1102" s="13" t="s">
        <v>3994</v>
      </c>
      <c r="S1102" s="13" t="s">
        <v>478</v>
      </c>
      <c r="T1102" s="28">
        <v>22.92</v>
      </c>
      <c r="U1102" s="13" t="s">
        <v>28</v>
      </c>
      <c r="V1102" s="13" t="s">
        <v>53</v>
      </c>
      <c r="W1102" s="13" t="s">
        <v>476</v>
      </c>
      <c r="X1102" s="17">
        <f t="shared" si="81"/>
        <v>45551</v>
      </c>
      <c r="Y1102" s="3"/>
    </row>
    <row r="1103" spans="1:25" ht="45" customHeight="1">
      <c r="A1103" s="3">
        <v>1101</v>
      </c>
      <c r="B1103" s="13" t="s">
        <v>3995</v>
      </c>
      <c r="C1103" s="13" t="s">
        <v>26</v>
      </c>
      <c r="D1103" s="13" t="s">
        <v>3996</v>
      </c>
      <c r="E1103" s="13" t="s">
        <v>28</v>
      </c>
      <c r="F1103" s="13" t="s">
        <v>491</v>
      </c>
      <c r="G1103" s="13" t="s">
        <v>830</v>
      </c>
      <c r="H1103" s="13" t="s">
        <v>406</v>
      </c>
      <c r="I1103" s="27" t="s">
        <v>3997</v>
      </c>
      <c r="J1103" s="27" t="s">
        <v>33</v>
      </c>
      <c r="K1103" s="27" t="s">
        <v>34</v>
      </c>
      <c r="L1103" s="27" t="s">
        <v>35</v>
      </c>
      <c r="M1103" s="27" t="s">
        <v>36</v>
      </c>
      <c r="N1103" s="17">
        <f t="shared" si="80"/>
        <v>45520</v>
      </c>
      <c r="O1103" s="13" t="s">
        <v>34</v>
      </c>
      <c r="P1103" s="13" t="s">
        <v>505</v>
      </c>
      <c r="Q1103" s="13" t="s">
        <v>38</v>
      </c>
      <c r="R1103" s="13" t="s">
        <v>3998</v>
      </c>
      <c r="S1103" s="13" t="s">
        <v>496</v>
      </c>
      <c r="T1103" s="28">
        <v>27</v>
      </c>
      <c r="U1103" s="13" t="s">
        <v>28</v>
      </c>
      <c r="V1103" s="13" t="s">
        <v>53</v>
      </c>
      <c r="W1103" s="13" t="s">
        <v>833</v>
      </c>
      <c r="X1103" s="17">
        <f t="shared" si="81"/>
        <v>45551</v>
      </c>
      <c r="Y1103" s="3"/>
    </row>
    <row r="1104" spans="1:25" ht="45" customHeight="1">
      <c r="A1104" s="3">
        <v>1102</v>
      </c>
      <c r="B1104" s="13" t="s">
        <v>3999</v>
      </c>
      <c r="C1104" s="13" t="s">
        <v>26</v>
      </c>
      <c r="D1104" s="13" t="s">
        <v>4000</v>
      </c>
      <c r="E1104" s="13" t="s">
        <v>28</v>
      </c>
      <c r="F1104" s="13" t="s">
        <v>29</v>
      </c>
      <c r="G1104" s="13" t="s">
        <v>30</v>
      </c>
      <c r="H1104" s="13" t="s">
        <v>1031</v>
      </c>
      <c r="I1104" s="27" t="s">
        <v>4001</v>
      </c>
      <c r="J1104" s="27" t="s">
        <v>33</v>
      </c>
      <c r="K1104" s="27" t="s">
        <v>34</v>
      </c>
      <c r="L1104" s="27" t="s">
        <v>35</v>
      </c>
      <c r="M1104" s="27" t="s">
        <v>36</v>
      </c>
      <c r="N1104" s="17">
        <f t="shared" si="80"/>
        <v>45520</v>
      </c>
      <c r="O1104" s="13" t="s">
        <v>34</v>
      </c>
      <c r="P1104" s="13" t="s">
        <v>1606</v>
      </c>
      <c r="Q1104" s="13" t="s">
        <v>38</v>
      </c>
      <c r="R1104" s="13" t="s">
        <v>4002</v>
      </c>
      <c r="S1104" s="13" t="s">
        <v>37</v>
      </c>
      <c r="T1104" s="28">
        <v>21.31</v>
      </c>
      <c r="U1104" s="13" t="s">
        <v>28</v>
      </c>
      <c r="V1104" s="13" t="s">
        <v>89</v>
      </c>
      <c r="W1104" s="13" t="s">
        <v>30</v>
      </c>
      <c r="X1104" s="17">
        <f t="shared" si="81"/>
        <v>45551</v>
      </c>
      <c r="Y1104" s="3"/>
    </row>
    <row r="1105" spans="1:25" ht="45" customHeight="1">
      <c r="A1105" s="3">
        <v>1103</v>
      </c>
      <c r="B1105" s="13" t="s">
        <v>4003</v>
      </c>
      <c r="C1105" s="13" t="s">
        <v>103</v>
      </c>
      <c r="D1105" s="13" t="s">
        <v>4004</v>
      </c>
      <c r="E1105" s="13" t="s">
        <v>28</v>
      </c>
      <c r="F1105" s="13" t="s">
        <v>491</v>
      </c>
      <c r="G1105" s="13" t="s">
        <v>830</v>
      </c>
      <c r="H1105" s="13" t="s">
        <v>406</v>
      </c>
      <c r="I1105" s="27" t="s">
        <v>4005</v>
      </c>
      <c r="J1105" s="27" t="s">
        <v>33</v>
      </c>
      <c r="K1105" s="27" t="s">
        <v>106</v>
      </c>
      <c r="L1105" s="27" t="s">
        <v>35</v>
      </c>
      <c r="M1105" s="27" t="s">
        <v>36</v>
      </c>
      <c r="N1105" s="17">
        <f t="shared" si="80"/>
        <v>45520</v>
      </c>
      <c r="O1105" s="13" t="s">
        <v>34</v>
      </c>
      <c r="P1105" s="13" t="s">
        <v>505</v>
      </c>
      <c r="Q1105" s="13" t="s">
        <v>38</v>
      </c>
      <c r="R1105" s="13" t="s">
        <v>4006</v>
      </c>
      <c r="S1105" s="13" t="s">
        <v>496</v>
      </c>
      <c r="T1105" s="28">
        <v>25.71</v>
      </c>
      <c r="U1105" s="13" t="s">
        <v>28</v>
      </c>
      <c r="V1105" s="13" t="s">
        <v>53</v>
      </c>
      <c r="W1105" s="13" t="s">
        <v>833</v>
      </c>
      <c r="X1105" s="17">
        <f t="shared" si="81"/>
        <v>45551</v>
      </c>
      <c r="Y1105" s="3"/>
    </row>
    <row r="1106" spans="1:25" ht="45" customHeight="1">
      <c r="A1106" s="3">
        <v>1104</v>
      </c>
      <c r="B1106" s="13" t="s">
        <v>4007</v>
      </c>
      <c r="C1106" s="13" t="s">
        <v>103</v>
      </c>
      <c r="D1106" s="13" t="s">
        <v>4008</v>
      </c>
      <c r="E1106" s="13" t="s">
        <v>28</v>
      </c>
      <c r="F1106" s="13" t="s">
        <v>29</v>
      </c>
      <c r="G1106" s="13" t="s">
        <v>72</v>
      </c>
      <c r="H1106" s="13" t="s">
        <v>1031</v>
      </c>
      <c r="I1106" s="27" t="s">
        <v>4009</v>
      </c>
      <c r="J1106" s="27" t="s">
        <v>33</v>
      </c>
      <c r="K1106" s="27" t="s">
        <v>106</v>
      </c>
      <c r="L1106" s="27" t="s">
        <v>35</v>
      </c>
      <c r="M1106" s="27" t="s">
        <v>36</v>
      </c>
      <c r="N1106" s="17">
        <f t="shared" si="80"/>
        <v>45520</v>
      </c>
      <c r="O1106" s="13" t="s">
        <v>107</v>
      </c>
      <c r="P1106" s="13" t="s">
        <v>1144</v>
      </c>
      <c r="Q1106" s="13" t="s">
        <v>38</v>
      </c>
      <c r="R1106" s="13" t="s">
        <v>4010</v>
      </c>
      <c r="S1106" s="13" t="s">
        <v>74</v>
      </c>
      <c r="T1106" s="28">
        <v>24.74</v>
      </c>
      <c r="U1106" s="13" t="s">
        <v>28</v>
      </c>
      <c r="V1106" s="13" t="s">
        <v>53</v>
      </c>
      <c r="W1106" s="13" t="s">
        <v>72</v>
      </c>
      <c r="X1106" s="17">
        <f t="shared" si="81"/>
        <v>45551</v>
      </c>
      <c r="Y1106" s="3"/>
    </row>
    <row r="1107" spans="1:25" ht="45" customHeight="1">
      <c r="A1107" s="3">
        <v>1105</v>
      </c>
      <c r="B1107" s="13" t="s">
        <v>4011</v>
      </c>
      <c r="C1107" s="13" t="s">
        <v>26</v>
      </c>
      <c r="D1107" s="13" t="s">
        <v>4012</v>
      </c>
      <c r="E1107" s="13" t="s">
        <v>28</v>
      </c>
      <c r="F1107" s="13" t="s">
        <v>491</v>
      </c>
      <c r="G1107" s="13" t="s">
        <v>950</v>
      </c>
      <c r="H1107" s="13" t="s">
        <v>406</v>
      </c>
      <c r="I1107" s="27" t="s">
        <v>4013</v>
      </c>
      <c r="J1107" s="27" t="s">
        <v>33</v>
      </c>
      <c r="K1107" s="27" t="s">
        <v>34</v>
      </c>
      <c r="L1107" s="27" t="s">
        <v>35</v>
      </c>
      <c r="M1107" s="27" t="s">
        <v>36</v>
      </c>
      <c r="N1107" s="17">
        <f t="shared" si="80"/>
        <v>45520</v>
      </c>
      <c r="O1107" s="13" t="s">
        <v>34</v>
      </c>
      <c r="P1107" s="13" t="s">
        <v>952</v>
      </c>
      <c r="Q1107" s="13" t="s">
        <v>38</v>
      </c>
      <c r="R1107" s="13" t="s">
        <v>4014</v>
      </c>
      <c r="S1107" s="13" t="s">
        <v>496</v>
      </c>
      <c r="T1107" s="28">
        <v>36.700000000000003</v>
      </c>
      <c r="U1107" s="13" t="s">
        <v>28</v>
      </c>
      <c r="V1107" s="13" t="s">
        <v>53</v>
      </c>
      <c r="W1107" s="13" t="s">
        <v>954</v>
      </c>
      <c r="X1107" s="17">
        <f t="shared" si="81"/>
        <v>45551</v>
      </c>
      <c r="Y1107" s="3"/>
    </row>
    <row r="1108" spans="1:25" ht="45" customHeight="1">
      <c r="A1108" s="3">
        <v>1106</v>
      </c>
      <c r="B1108" s="13" t="s">
        <v>4015</v>
      </c>
      <c r="C1108" s="13" t="s">
        <v>26</v>
      </c>
      <c r="D1108" s="13" t="s">
        <v>4016</v>
      </c>
      <c r="E1108" s="13" t="s">
        <v>28</v>
      </c>
      <c r="F1108" s="13" t="s">
        <v>29</v>
      </c>
      <c r="G1108" s="13" t="s">
        <v>680</v>
      </c>
      <c r="H1108" s="13" t="s">
        <v>1031</v>
      </c>
      <c r="I1108" s="27" t="s">
        <v>4017</v>
      </c>
      <c r="J1108" s="27" t="s">
        <v>33</v>
      </c>
      <c r="K1108" s="27" t="s">
        <v>34</v>
      </c>
      <c r="L1108" s="27" t="s">
        <v>35</v>
      </c>
      <c r="M1108" s="27" t="s">
        <v>36</v>
      </c>
      <c r="N1108" s="17">
        <f t="shared" si="80"/>
        <v>45520</v>
      </c>
      <c r="O1108" s="13" t="s">
        <v>34</v>
      </c>
      <c r="P1108" s="13" t="s">
        <v>182</v>
      </c>
      <c r="Q1108" s="13" t="s">
        <v>38</v>
      </c>
      <c r="R1108" s="13" t="s">
        <v>4018</v>
      </c>
      <c r="S1108" s="13" t="s">
        <v>52</v>
      </c>
      <c r="T1108" s="28">
        <v>26.97</v>
      </c>
      <c r="U1108" s="13" t="s">
        <v>28</v>
      </c>
      <c r="V1108" s="13" t="s">
        <v>89</v>
      </c>
      <c r="W1108" s="13" t="s">
        <v>683</v>
      </c>
      <c r="X1108" s="17">
        <f t="shared" si="81"/>
        <v>45551</v>
      </c>
      <c r="Y1108" s="3"/>
    </row>
    <row r="1109" spans="1:25" ht="45" customHeight="1">
      <c r="A1109" s="3">
        <v>1107</v>
      </c>
      <c r="B1109" s="13" t="s">
        <v>4019</v>
      </c>
      <c r="C1109" s="13" t="s">
        <v>26</v>
      </c>
      <c r="D1109" s="13" t="s">
        <v>4020</v>
      </c>
      <c r="E1109" s="13" t="s">
        <v>28</v>
      </c>
      <c r="F1109" s="13" t="s">
        <v>687</v>
      </c>
      <c r="G1109" s="13" t="s">
        <v>687</v>
      </c>
      <c r="H1109" s="13" t="s">
        <v>406</v>
      </c>
      <c r="I1109" s="27" t="s">
        <v>4021</v>
      </c>
      <c r="J1109" s="27" t="s">
        <v>33</v>
      </c>
      <c r="K1109" s="27" t="s">
        <v>34</v>
      </c>
      <c r="L1109" s="27" t="s">
        <v>35</v>
      </c>
      <c r="M1109" s="27" t="s">
        <v>36</v>
      </c>
      <c r="N1109" s="17">
        <f t="shared" si="80"/>
        <v>45520</v>
      </c>
      <c r="O1109" s="13" t="s">
        <v>34</v>
      </c>
      <c r="P1109" s="13" t="s">
        <v>689</v>
      </c>
      <c r="Q1109" s="13" t="s">
        <v>38</v>
      </c>
      <c r="R1109" s="13" t="s">
        <v>4022</v>
      </c>
      <c r="S1109" s="13" t="s">
        <v>403</v>
      </c>
      <c r="T1109" s="28">
        <v>24.74</v>
      </c>
      <c r="U1109" s="13" t="s">
        <v>28</v>
      </c>
      <c r="V1109" s="13" t="s">
        <v>89</v>
      </c>
      <c r="W1109" s="13" t="s">
        <v>691</v>
      </c>
      <c r="X1109" s="17">
        <f t="shared" si="81"/>
        <v>45551</v>
      </c>
      <c r="Y1109" s="3"/>
    </row>
    <row r="1110" spans="1:25" ht="45" customHeight="1">
      <c r="A1110" s="3">
        <v>1108</v>
      </c>
      <c r="B1110" s="13" t="s">
        <v>4023</v>
      </c>
      <c r="C1110" s="13" t="s">
        <v>26</v>
      </c>
      <c r="D1110" s="13" t="s">
        <v>4024</v>
      </c>
      <c r="E1110" s="13" t="s">
        <v>28</v>
      </c>
      <c r="F1110" s="13" t="s">
        <v>29</v>
      </c>
      <c r="G1110" s="13" t="s">
        <v>1216</v>
      </c>
      <c r="H1110" s="13" t="s">
        <v>1031</v>
      </c>
      <c r="I1110" s="27" t="s">
        <v>4025</v>
      </c>
      <c r="J1110" s="27" t="s">
        <v>33</v>
      </c>
      <c r="K1110" s="27" t="s">
        <v>34</v>
      </c>
      <c r="L1110" s="27" t="s">
        <v>35</v>
      </c>
      <c r="M1110" s="27" t="s">
        <v>36</v>
      </c>
      <c r="N1110" s="17">
        <f t="shared" si="80"/>
        <v>45520</v>
      </c>
      <c r="O1110" s="13" t="s">
        <v>34</v>
      </c>
      <c r="P1110" s="13" t="s">
        <v>1221</v>
      </c>
      <c r="Q1110" s="13" t="s">
        <v>38</v>
      </c>
      <c r="R1110" s="13" t="s">
        <v>4026</v>
      </c>
      <c r="S1110" s="13" t="s">
        <v>1215</v>
      </c>
      <c r="T1110" s="28">
        <v>28.04</v>
      </c>
      <c r="U1110" s="13" t="s">
        <v>28</v>
      </c>
      <c r="V1110" s="13" t="s">
        <v>53</v>
      </c>
      <c r="W1110" s="13" t="s">
        <v>1219</v>
      </c>
      <c r="X1110" s="17">
        <f t="shared" si="81"/>
        <v>45551</v>
      </c>
      <c r="Y1110" s="3"/>
    </row>
    <row r="1111" spans="1:25" ht="45" customHeight="1">
      <c r="A1111" s="3">
        <v>1109</v>
      </c>
      <c r="B1111" s="13" t="s">
        <v>4027</v>
      </c>
      <c r="C1111" s="13" t="s">
        <v>26</v>
      </c>
      <c r="D1111" s="13" t="s">
        <v>4028</v>
      </c>
      <c r="E1111" s="13" t="s">
        <v>28</v>
      </c>
      <c r="F1111" s="13" t="s">
        <v>29</v>
      </c>
      <c r="G1111" s="13" t="s">
        <v>537</v>
      </c>
      <c r="H1111" s="13" t="s">
        <v>1031</v>
      </c>
      <c r="I1111" s="27" t="s">
        <v>4029</v>
      </c>
      <c r="J1111" s="27" t="s">
        <v>33</v>
      </c>
      <c r="K1111" s="27" t="s">
        <v>34</v>
      </c>
      <c r="L1111" s="27" t="s">
        <v>35</v>
      </c>
      <c r="M1111" s="27" t="s">
        <v>36</v>
      </c>
      <c r="N1111" s="17">
        <f t="shared" si="80"/>
        <v>45520</v>
      </c>
      <c r="O1111" s="13" t="s">
        <v>34</v>
      </c>
      <c r="P1111" s="13" t="s">
        <v>64</v>
      </c>
      <c r="Q1111" s="13" t="s">
        <v>38</v>
      </c>
      <c r="R1111" s="13" t="s">
        <v>4030</v>
      </c>
      <c r="S1111" s="13" t="s">
        <v>64</v>
      </c>
      <c r="T1111" s="28">
        <v>31.18</v>
      </c>
      <c r="U1111" s="13" t="s">
        <v>28</v>
      </c>
      <c r="V1111" s="13" t="s">
        <v>89</v>
      </c>
      <c r="W1111" s="13" t="s">
        <v>537</v>
      </c>
      <c r="X1111" s="17">
        <f t="shared" si="81"/>
        <v>45551</v>
      </c>
      <c r="Y1111" s="3"/>
    </row>
    <row r="1112" spans="1:25" ht="45" customHeight="1">
      <c r="A1112" s="3">
        <v>1110</v>
      </c>
      <c r="B1112" s="13" t="s">
        <v>4031</v>
      </c>
      <c r="C1112" s="13" t="s">
        <v>103</v>
      </c>
      <c r="D1112" s="13" t="s">
        <v>4032</v>
      </c>
      <c r="E1112" s="13" t="s">
        <v>28</v>
      </c>
      <c r="F1112" s="13" t="s">
        <v>491</v>
      </c>
      <c r="G1112" s="13" t="s">
        <v>1042</v>
      </c>
      <c r="H1112" s="13" t="s">
        <v>406</v>
      </c>
      <c r="I1112" s="27" t="s">
        <v>4033</v>
      </c>
      <c r="J1112" s="27" t="s">
        <v>33</v>
      </c>
      <c r="K1112" s="27" t="s">
        <v>106</v>
      </c>
      <c r="L1112" s="27" t="s">
        <v>35</v>
      </c>
      <c r="M1112" s="27" t="s">
        <v>36</v>
      </c>
      <c r="N1112" s="17">
        <f t="shared" si="80"/>
        <v>45520</v>
      </c>
      <c r="O1112" s="13" t="s">
        <v>107</v>
      </c>
      <c r="P1112" s="13" t="s">
        <v>717</v>
      </c>
      <c r="Q1112" s="13" t="s">
        <v>38</v>
      </c>
      <c r="R1112" s="13" t="s">
        <v>4034</v>
      </c>
      <c r="S1112" s="13" t="s">
        <v>496</v>
      </c>
      <c r="T1112" s="28">
        <v>22.78</v>
      </c>
      <c r="U1112" s="13" t="s">
        <v>28</v>
      </c>
      <c r="V1112" s="13" t="s">
        <v>53</v>
      </c>
      <c r="W1112" s="13" t="s">
        <v>1042</v>
      </c>
      <c r="X1112" s="17">
        <f t="shared" si="81"/>
        <v>45551</v>
      </c>
      <c r="Y1112" s="3"/>
    </row>
    <row r="1113" spans="1:25" ht="45" customHeight="1">
      <c r="A1113" s="3">
        <v>1111</v>
      </c>
      <c r="B1113" s="13" t="s">
        <v>4035</v>
      </c>
      <c r="C1113" s="13" t="s">
        <v>103</v>
      </c>
      <c r="D1113" s="13" t="s">
        <v>4036</v>
      </c>
      <c r="E1113" s="13" t="s">
        <v>28</v>
      </c>
      <c r="F1113" s="13" t="s">
        <v>491</v>
      </c>
      <c r="G1113" s="13" t="s">
        <v>1042</v>
      </c>
      <c r="H1113" s="13" t="s">
        <v>406</v>
      </c>
      <c r="I1113" s="27" t="s">
        <v>4037</v>
      </c>
      <c r="J1113" s="27" t="s">
        <v>33</v>
      </c>
      <c r="K1113" s="27" t="s">
        <v>106</v>
      </c>
      <c r="L1113" s="27" t="s">
        <v>35</v>
      </c>
      <c r="M1113" s="27" t="s">
        <v>36</v>
      </c>
      <c r="N1113" s="17">
        <f t="shared" si="80"/>
        <v>45520</v>
      </c>
      <c r="O1113" s="13" t="s">
        <v>34</v>
      </c>
      <c r="P1113" s="13" t="s">
        <v>717</v>
      </c>
      <c r="Q1113" s="13" t="s">
        <v>38</v>
      </c>
      <c r="R1113" s="13" t="s">
        <v>4038</v>
      </c>
      <c r="S1113" s="13" t="s">
        <v>496</v>
      </c>
      <c r="T1113" s="28">
        <v>26.05</v>
      </c>
      <c r="U1113" s="13" t="s">
        <v>28</v>
      </c>
      <c r="V1113" s="13" t="s">
        <v>146</v>
      </c>
      <c r="W1113" s="13" t="s">
        <v>1042</v>
      </c>
      <c r="X1113" s="17">
        <f t="shared" si="81"/>
        <v>45551</v>
      </c>
      <c r="Y1113" s="3"/>
    </row>
    <row r="1114" spans="1:25" ht="45" customHeight="1">
      <c r="A1114" s="3">
        <v>1112</v>
      </c>
      <c r="B1114" s="13" t="s">
        <v>4039</v>
      </c>
      <c r="C1114" s="13" t="s">
        <v>26</v>
      </c>
      <c r="D1114" s="13" t="s">
        <v>4040</v>
      </c>
      <c r="E1114" s="13" t="s">
        <v>28</v>
      </c>
      <c r="F1114" s="13" t="s">
        <v>491</v>
      </c>
      <c r="G1114" s="13" t="s">
        <v>978</v>
      </c>
      <c r="H1114" s="13" t="s">
        <v>406</v>
      </c>
      <c r="I1114" s="27" t="s">
        <v>4041</v>
      </c>
      <c r="J1114" s="27" t="s">
        <v>33</v>
      </c>
      <c r="K1114" s="27" t="s">
        <v>34</v>
      </c>
      <c r="L1114" s="27" t="s">
        <v>35</v>
      </c>
      <c r="M1114" s="27" t="s">
        <v>36</v>
      </c>
      <c r="N1114" s="17">
        <f t="shared" si="80"/>
        <v>45520</v>
      </c>
      <c r="O1114" s="13" t="s">
        <v>34</v>
      </c>
      <c r="P1114" s="13" t="s">
        <v>596</v>
      </c>
      <c r="Q1114" s="13" t="s">
        <v>38</v>
      </c>
      <c r="R1114" s="13" t="s">
        <v>4042</v>
      </c>
      <c r="S1114" s="13" t="s">
        <v>496</v>
      </c>
      <c r="T1114" s="28">
        <v>30.42</v>
      </c>
      <c r="U1114" s="13" t="s">
        <v>28</v>
      </c>
      <c r="V1114" s="13" t="s">
        <v>146</v>
      </c>
      <c r="W1114" s="13" t="s">
        <v>981</v>
      </c>
      <c r="X1114" s="17">
        <f t="shared" si="81"/>
        <v>45551</v>
      </c>
      <c r="Y1114" s="3"/>
    </row>
    <row r="1115" spans="1:25" ht="45" customHeight="1">
      <c r="A1115" s="3">
        <v>1113</v>
      </c>
      <c r="B1115" s="13" t="s">
        <v>4043</v>
      </c>
      <c r="C1115" s="13" t="s">
        <v>26</v>
      </c>
      <c r="D1115" s="13" t="s">
        <v>4044</v>
      </c>
      <c r="E1115" s="13" t="s">
        <v>1064</v>
      </c>
      <c r="F1115" s="13" t="s">
        <v>29</v>
      </c>
      <c r="G1115" s="13" t="s">
        <v>56</v>
      </c>
      <c r="H1115" s="13" t="s">
        <v>1031</v>
      </c>
      <c r="I1115" s="27" t="s">
        <v>4045</v>
      </c>
      <c r="J1115" s="27" t="s">
        <v>33</v>
      </c>
      <c r="K1115" s="27" t="s">
        <v>34</v>
      </c>
      <c r="L1115" s="27" t="s">
        <v>35</v>
      </c>
      <c r="M1115" s="27" t="s">
        <v>36</v>
      </c>
      <c r="N1115" s="17">
        <f t="shared" si="80"/>
        <v>45520</v>
      </c>
      <c r="O1115" s="13" t="s">
        <v>34</v>
      </c>
      <c r="P1115" s="13" t="s">
        <v>58</v>
      </c>
      <c r="Q1115" s="13" t="s">
        <v>38</v>
      </c>
      <c r="R1115" s="13" t="s">
        <v>4046</v>
      </c>
      <c r="S1115" s="13" t="s">
        <v>58</v>
      </c>
      <c r="T1115" s="28">
        <v>20.89</v>
      </c>
      <c r="U1115" s="13" t="s">
        <v>28</v>
      </c>
      <c r="V1115" s="13" t="s">
        <v>53</v>
      </c>
      <c r="W1115" s="13" t="s">
        <v>56</v>
      </c>
      <c r="X1115" s="17">
        <f t="shared" si="81"/>
        <v>45551</v>
      </c>
      <c r="Y1115" s="3"/>
    </row>
    <row r="1116" spans="1:25" ht="45" customHeight="1">
      <c r="A1116" s="3">
        <v>1114</v>
      </c>
      <c r="B1116" s="13" t="s">
        <v>4047</v>
      </c>
      <c r="C1116" s="13" t="s">
        <v>26</v>
      </c>
      <c r="D1116" s="13" t="s">
        <v>4048</v>
      </c>
      <c r="E1116" s="13" t="s">
        <v>28</v>
      </c>
      <c r="F1116" s="13" t="s">
        <v>29</v>
      </c>
      <c r="G1116" s="13" t="s">
        <v>1216</v>
      </c>
      <c r="H1116" s="13" t="s">
        <v>1031</v>
      </c>
      <c r="I1116" s="27" t="s">
        <v>4049</v>
      </c>
      <c r="J1116" s="27" t="s">
        <v>33</v>
      </c>
      <c r="K1116" s="27" t="s">
        <v>34</v>
      </c>
      <c r="L1116" s="27" t="s">
        <v>35</v>
      </c>
      <c r="M1116" s="27" t="s">
        <v>36</v>
      </c>
      <c r="N1116" s="17">
        <f t="shared" si="80"/>
        <v>45520</v>
      </c>
      <c r="O1116" s="13" t="s">
        <v>34</v>
      </c>
      <c r="P1116" s="13" t="s">
        <v>1231</v>
      </c>
      <c r="Q1116" s="13" t="s">
        <v>38</v>
      </c>
      <c r="R1116" s="13" t="s">
        <v>4050</v>
      </c>
      <c r="S1116" s="13" t="s">
        <v>1215</v>
      </c>
      <c r="T1116" s="28">
        <v>26.59</v>
      </c>
      <c r="U1116" s="13" t="s">
        <v>28</v>
      </c>
      <c r="V1116" s="13" t="s">
        <v>89</v>
      </c>
      <c r="W1116" s="13" t="s">
        <v>1219</v>
      </c>
      <c r="X1116" s="17">
        <f t="shared" si="81"/>
        <v>45551</v>
      </c>
      <c r="Y1116" s="3"/>
    </row>
    <row r="1117" spans="1:25" ht="45" customHeight="1">
      <c r="A1117" s="3">
        <v>1115</v>
      </c>
      <c r="B1117" s="13" t="s">
        <v>4051</v>
      </c>
      <c r="C1117" s="13" t="s">
        <v>26</v>
      </c>
      <c r="D1117" s="13" t="s">
        <v>4052</v>
      </c>
      <c r="E1117" s="13" t="s">
        <v>28</v>
      </c>
      <c r="F1117" s="13" t="s">
        <v>29</v>
      </c>
      <c r="G1117" s="13" t="s">
        <v>72</v>
      </c>
      <c r="H1117" s="13" t="s">
        <v>1031</v>
      </c>
      <c r="I1117" s="27" t="s">
        <v>4053</v>
      </c>
      <c r="J1117" s="27" t="s">
        <v>33</v>
      </c>
      <c r="K1117" s="27" t="s">
        <v>34</v>
      </c>
      <c r="L1117" s="27" t="s">
        <v>35</v>
      </c>
      <c r="M1117" s="27" t="s">
        <v>36</v>
      </c>
      <c r="N1117" s="17">
        <f t="shared" si="80"/>
        <v>45520</v>
      </c>
      <c r="O1117" s="13" t="s">
        <v>34</v>
      </c>
      <c r="P1117" s="13" t="s">
        <v>1100</v>
      </c>
      <c r="Q1117" s="13" t="s">
        <v>38</v>
      </c>
      <c r="R1117" s="13" t="s">
        <v>4054</v>
      </c>
      <c r="S1117" s="13" t="s">
        <v>74</v>
      </c>
      <c r="T1117" s="28">
        <v>27.99</v>
      </c>
      <c r="U1117" s="13" t="s">
        <v>28</v>
      </c>
      <c r="V1117" s="13" t="s">
        <v>89</v>
      </c>
      <c r="W1117" s="13" t="s">
        <v>72</v>
      </c>
      <c r="X1117" s="17">
        <f t="shared" si="81"/>
        <v>45551</v>
      </c>
      <c r="Y1117" s="3"/>
    </row>
    <row r="1118" spans="1:25" ht="45" customHeight="1">
      <c r="A1118" s="3">
        <v>1116</v>
      </c>
      <c r="B1118" s="13" t="s">
        <v>4055</v>
      </c>
      <c r="C1118" s="13" t="s">
        <v>26</v>
      </c>
      <c r="D1118" s="13" t="s">
        <v>4056</v>
      </c>
      <c r="E1118" s="13" t="s">
        <v>28</v>
      </c>
      <c r="F1118" s="13" t="s">
        <v>29</v>
      </c>
      <c r="G1118" s="13" t="s">
        <v>123</v>
      </c>
      <c r="H1118" s="13" t="s">
        <v>1031</v>
      </c>
      <c r="I1118" s="27" t="s">
        <v>4057</v>
      </c>
      <c r="J1118" s="27" t="s">
        <v>33</v>
      </c>
      <c r="K1118" s="27" t="s">
        <v>34</v>
      </c>
      <c r="L1118" s="27" t="s">
        <v>35</v>
      </c>
      <c r="M1118" s="27" t="s">
        <v>36</v>
      </c>
      <c r="N1118" s="17">
        <f t="shared" si="80"/>
        <v>45520</v>
      </c>
      <c r="O1118" s="13" t="s">
        <v>34</v>
      </c>
      <c r="P1118" s="13" t="s">
        <v>144</v>
      </c>
      <c r="Q1118" s="13" t="s">
        <v>38</v>
      </c>
      <c r="R1118" s="13" t="s">
        <v>4058</v>
      </c>
      <c r="S1118" s="13" t="s">
        <v>127</v>
      </c>
      <c r="T1118" s="28">
        <v>24.91</v>
      </c>
      <c r="U1118" s="13" t="s">
        <v>28</v>
      </c>
      <c r="V1118" s="13" t="s">
        <v>146</v>
      </c>
      <c r="W1118" s="13" t="s">
        <v>128</v>
      </c>
      <c r="X1118" s="17">
        <f t="shared" si="81"/>
        <v>45551</v>
      </c>
      <c r="Y1118" s="3"/>
    </row>
    <row r="1119" spans="1:25" ht="45" customHeight="1">
      <c r="A1119" s="3">
        <v>1117</v>
      </c>
      <c r="B1119" s="13" t="s">
        <v>4059</v>
      </c>
      <c r="C1119" s="13" t="s">
        <v>103</v>
      </c>
      <c r="D1119" s="13" t="s">
        <v>4060</v>
      </c>
      <c r="E1119" s="13" t="s">
        <v>28</v>
      </c>
      <c r="F1119" s="13" t="s">
        <v>491</v>
      </c>
      <c r="G1119" s="13" t="s">
        <v>978</v>
      </c>
      <c r="H1119" s="13" t="s">
        <v>406</v>
      </c>
      <c r="I1119" s="27" t="s">
        <v>4061</v>
      </c>
      <c r="J1119" s="27" t="s">
        <v>33</v>
      </c>
      <c r="K1119" s="27" t="s">
        <v>106</v>
      </c>
      <c r="L1119" s="27" t="s">
        <v>35</v>
      </c>
      <c r="M1119" s="27" t="s">
        <v>36</v>
      </c>
      <c r="N1119" s="17">
        <f t="shared" si="80"/>
        <v>45520</v>
      </c>
      <c r="O1119" s="13" t="s">
        <v>107</v>
      </c>
      <c r="P1119" s="13" t="s">
        <v>596</v>
      </c>
      <c r="Q1119" s="13" t="s">
        <v>38</v>
      </c>
      <c r="R1119" s="13" t="s">
        <v>4062</v>
      </c>
      <c r="S1119" s="13" t="s">
        <v>496</v>
      </c>
      <c r="T1119" s="28">
        <v>37.659999999999997</v>
      </c>
      <c r="U1119" s="13" t="s">
        <v>28</v>
      </c>
      <c r="V1119" s="13" t="s">
        <v>53</v>
      </c>
      <c r="W1119" s="13" t="s">
        <v>981</v>
      </c>
      <c r="X1119" s="17">
        <f t="shared" si="81"/>
        <v>45551</v>
      </c>
      <c r="Y1119" s="3"/>
    </row>
    <row r="1120" spans="1:25" ht="45" customHeight="1">
      <c r="A1120" s="3">
        <v>1118</v>
      </c>
      <c r="B1120" s="13" t="s">
        <v>4063</v>
      </c>
      <c r="C1120" s="13" t="s">
        <v>103</v>
      </c>
      <c r="D1120" s="13" t="s">
        <v>4064</v>
      </c>
      <c r="E1120" s="13" t="s">
        <v>28</v>
      </c>
      <c r="F1120" s="13" t="s">
        <v>29</v>
      </c>
      <c r="G1120" s="13" t="s">
        <v>72</v>
      </c>
      <c r="H1120" s="13" t="s">
        <v>1031</v>
      </c>
      <c r="I1120" s="27" t="s">
        <v>4065</v>
      </c>
      <c r="J1120" s="27" t="s">
        <v>33</v>
      </c>
      <c r="K1120" s="27" t="s">
        <v>106</v>
      </c>
      <c r="L1120" s="27" t="s">
        <v>35</v>
      </c>
      <c r="M1120" s="27" t="s">
        <v>36</v>
      </c>
      <c r="N1120" s="17">
        <f t="shared" si="80"/>
        <v>45520</v>
      </c>
      <c r="O1120" s="13" t="s">
        <v>34</v>
      </c>
      <c r="P1120" s="13" t="s">
        <v>1149</v>
      </c>
      <c r="Q1120" s="13" t="s">
        <v>38</v>
      </c>
      <c r="R1120" s="13" t="s">
        <v>4066</v>
      </c>
      <c r="S1120" s="13" t="s">
        <v>74</v>
      </c>
      <c r="T1120" s="28">
        <v>24.76</v>
      </c>
      <c r="U1120" s="13" t="s">
        <v>28</v>
      </c>
      <c r="V1120" s="13" t="s">
        <v>146</v>
      </c>
      <c r="W1120" s="13" t="s">
        <v>72</v>
      </c>
      <c r="X1120" s="17">
        <f t="shared" si="81"/>
        <v>45551</v>
      </c>
      <c r="Y1120" s="3"/>
    </row>
    <row r="1121" spans="1:25" ht="45" customHeight="1">
      <c r="A1121" s="3">
        <v>1119</v>
      </c>
      <c r="B1121" s="13" t="s">
        <v>4067</v>
      </c>
      <c r="C1121" s="13" t="s">
        <v>103</v>
      </c>
      <c r="D1121" s="13" t="s">
        <v>4068</v>
      </c>
      <c r="E1121" s="13" t="s">
        <v>28</v>
      </c>
      <c r="F1121" s="13" t="s">
        <v>29</v>
      </c>
      <c r="G1121" s="13" t="s">
        <v>72</v>
      </c>
      <c r="H1121" s="13" t="s">
        <v>1031</v>
      </c>
      <c r="I1121" s="27" t="s">
        <v>4069</v>
      </c>
      <c r="J1121" s="27" t="s">
        <v>33</v>
      </c>
      <c r="K1121" s="27" t="s">
        <v>106</v>
      </c>
      <c r="L1121" s="27" t="s">
        <v>35</v>
      </c>
      <c r="M1121" s="27" t="s">
        <v>36</v>
      </c>
      <c r="N1121" s="17">
        <f t="shared" si="80"/>
        <v>45520</v>
      </c>
      <c r="O1121" s="13" t="s">
        <v>34</v>
      </c>
      <c r="P1121" s="13" t="s">
        <v>1100</v>
      </c>
      <c r="Q1121" s="13" t="s">
        <v>38</v>
      </c>
      <c r="R1121" s="13" t="s">
        <v>4070</v>
      </c>
      <c r="S1121" s="13" t="s">
        <v>74</v>
      </c>
      <c r="T1121" s="28">
        <v>30.84</v>
      </c>
      <c r="U1121" s="13" t="s">
        <v>28</v>
      </c>
      <c r="V1121" s="13" t="s">
        <v>89</v>
      </c>
      <c r="W1121" s="13" t="s">
        <v>72</v>
      </c>
      <c r="X1121" s="17">
        <f t="shared" si="81"/>
        <v>45551</v>
      </c>
      <c r="Y1121" s="3"/>
    </row>
    <row r="1122" spans="1:25" ht="45" customHeight="1">
      <c r="A1122" s="3">
        <v>1120</v>
      </c>
      <c r="B1122" s="13" t="s">
        <v>4071</v>
      </c>
      <c r="C1122" s="13" t="s">
        <v>26</v>
      </c>
      <c r="D1122" s="13" t="s">
        <v>4072</v>
      </c>
      <c r="E1122" s="13" t="s">
        <v>28</v>
      </c>
      <c r="F1122" s="13" t="s">
        <v>29</v>
      </c>
      <c r="G1122" s="13" t="s">
        <v>56</v>
      </c>
      <c r="H1122" s="13" t="s">
        <v>31</v>
      </c>
      <c r="I1122" s="27" t="s">
        <v>4073</v>
      </c>
      <c r="J1122" s="27" t="s">
        <v>33</v>
      </c>
      <c r="K1122" s="27" t="s">
        <v>34</v>
      </c>
      <c r="L1122" s="27" t="s">
        <v>35</v>
      </c>
      <c r="M1122" s="27" t="s">
        <v>36</v>
      </c>
      <c r="N1122" s="17">
        <f t="shared" si="80"/>
        <v>45520</v>
      </c>
      <c r="O1122" s="13" t="s">
        <v>34</v>
      </c>
      <c r="P1122" s="13" t="s">
        <v>58</v>
      </c>
      <c r="Q1122" s="13" t="s">
        <v>38</v>
      </c>
      <c r="R1122" s="13" t="s">
        <v>4074</v>
      </c>
      <c r="S1122" s="13" t="s">
        <v>58</v>
      </c>
      <c r="T1122" s="28">
        <v>21.13</v>
      </c>
      <c r="U1122" s="13" t="s">
        <v>28</v>
      </c>
      <c r="V1122" s="13" t="s">
        <v>40</v>
      </c>
      <c r="W1122" s="13" t="s">
        <v>56</v>
      </c>
      <c r="X1122" s="17">
        <f t="shared" si="81"/>
        <v>45551</v>
      </c>
      <c r="Y1122" s="3"/>
    </row>
    <row r="1123" spans="1:25" ht="45" customHeight="1">
      <c r="A1123" s="3">
        <v>1121</v>
      </c>
      <c r="B1123" s="13" t="s">
        <v>4075</v>
      </c>
      <c r="C1123" s="13" t="s">
        <v>26</v>
      </c>
      <c r="D1123" s="13" t="s">
        <v>4076</v>
      </c>
      <c r="E1123" s="13" t="s">
        <v>28</v>
      </c>
      <c r="F1123" s="13" t="s">
        <v>491</v>
      </c>
      <c r="G1123" s="13" t="s">
        <v>1042</v>
      </c>
      <c r="H1123" s="13" t="s">
        <v>406</v>
      </c>
      <c r="I1123" s="27" t="s">
        <v>4077</v>
      </c>
      <c r="J1123" s="27" t="s">
        <v>33</v>
      </c>
      <c r="K1123" s="27" t="s">
        <v>34</v>
      </c>
      <c r="L1123" s="27" t="s">
        <v>35</v>
      </c>
      <c r="M1123" s="27" t="s">
        <v>36</v>
      </c>
      <c r="N1123" s="17">
        <f t="shared" si="80"/>
        <v>45520</v>
      </c>
      <c r="O1123" s="13" t="s">
        <v>34</v>
      </c>
      <c r="P1123" s="13" t="s">
        <v>717</v>
      </c>
      <c r="Q1123" s="13" t="s">
        <v>38</v>
      </c>
      <c r="R1123" s="13" t="s">
        <v>4078</v>
      </c>
      <c r="S1123" s="13" t="s">
        <v>496</v>
      </c>
      <c r="T1123" s="28">
        <v>24.6</v>
      </c>
      <c r="U1123" s="13" t="s">
        <v>28</v>
      </c>
      <c r="V1123" s="13" t="s">
        <v>89</v>
      </c>
      <c r="W1123" s="13" t="s">
        <v>1042</v>
      </c>
      <c r="X1123" s="17">
        <f t="shared" si="81"/>
        <v>45551</v>
      </c>
      <c r="Y1123" s="3"/>
    </row>
    <row r="1124" spans="1:25" ht="45" customHeight="1">
      <c r="A1124" s="3">
        <v>1122</v>
      </c>
      <c r="B1124" s="13" t="s">
        <v>4079</v>
      </c>
      <c r="C1124" s="13" t="s">
        <v>26</v>
      </c>
      <c r="D1124" s="13" t="s">
        <v>4080</v>
      </c>
      <c r="E1124" s="13" t="s">
        <v>28</v>
      </c>
      <c r="F1124" s="13" t="s">
        <v>491</v>
      </c>
      <c r="G1124" s="13" t="s">
        <v>830</v>
      </c>
      <c r="H1124" s="13" t="s">
        <v>406</v>
      </c>
      <c r="I1124" s="27" t="s">
        <v>4081</v>
      </c>
      <c r="J1124" s="27" t="s">
        <v>33</v>
      </c>
      <c r="K1124" s="27" t="s">
        <v>34</v>
      </c>
      <c r="L1124" s="27" t="s">
        <v>35</v>
      </c>
      <c r="M1124" s="27" t="s">
        <v>36</v>
      </c>
      <c r="N1124" s="17">
        <f t="shared" si="80"/>
        <v>45520</v>
      </c>
      <c r="O1124" s="13" t="s">
        <v>34</v>
      </c>
      <c r="P1124" s="13" t="s">
        <v>505</v>
      </c>
      <c r="Q1124" s="13" t="s">
        <v>38</v>
      </c>
      <c r="R1124" s="13" t="s">
        <v>4082</v>
      </c>
      <c r="S1124" s="13" t="s">
        <v>496</v>
      </c>
      <c r="T1124" s="28">
        <v>24.68</v>
      </c>
      <c r="U1124" s="13" t="s">
        <v>28</v>
      </c>
      <c r="V1124" s="13" t="s">
        <v>89</v>
      </c>
      <c r="W1124" s="13" t="s">
        <v>833</v>
      </c>
      <c r="X1124" s="17">
        <f t="shared" si="81"/>
        <v>45551</v>
      </c>
      <c r="Y1124" s="3"/>
    </row>
    <row r="1125" spans="1:25" ht="45" customHeight="1">
      <c r="A1125" s="3">
        <v>1123</v>
      </c>
      <c r="B1125" s="13" t="s">
        <v>4083</v>
      </c>
      <c r="C1125" s="13" t="s">
        <v>26</v>
      </c>
      <c r="D1125" s="13" t="s">
        <v>4084</v>
      </c>
      <c r="E1125" s="13" t="s">
        <v>28</v>
      </c>
      <c r="F1125" s="13" t="s">
        <v>29</v>
      </c>
      <c r="G1125" s="13" t="s">
        <v>72</v>
      </c>
      <c r="H1125" s="13" t="s">
        <v>1031</v>
      </c>
      <c r="I1125" s="27" t="s">
        <v>4085</v>
      </c>
      <c r="J1125" s="27" t="s">
        <v>33</v>
      </c>
      <c r="K1125" s="27" t="s">
        <v>34</v>
      </c>
      <c r="L1125" s="27" t="s">
        <v>35</v>
      </c>
      <c r="M1125" s="27" t="s">
        <v>36</v>
      </c>
      <c r="N1125" s="17">
        <f t="shared" si="80"/>
        <v>45520</v>
      </c>
      <c r="O1125" s="13" t="s">
        <v>34</v>
      </c>
      <c r="P1125" s="13" t="s">
        <v>1100</v>
      </c>
      <c r="Q1125" s="13" t="s">
        <v>38</v>
      </c>
      <c r="R1125" s="13" t="s">
        <v>4086</v>
      </c>
      <c r="S1125" s="13" t="s">
        <v>74</v>
      </c>
      <c r="T1125" s="28">
        <v>23.58</v>
      </c>
      <c r="U1125" s="13" t="s">
        <v>28</v>
      </c>
      <c r="V1125" s="13" t="s">
        <v>89</v>
      </c>
      <c r="W1125" s="13" t="s">
        <v>72</v>
      </c>
      <c r="X1125" s="17">
        <f t="shared" si="81"/>
        <v>45551</v>
      </c>
      <c r="Y1125" s="3"/>
    </row>
    <row r="1126" spans="1:25" ht="45" customHeight="1">
      <c r="A1126" s="3">
        <v>1124</v>
      </c>
      <c r="B1126" s="13" t="s">
        <v>4087</v>
      </c>
      <c r="C1126" s="13" t="s">
        <v>26</v>
      </c>
      <c r="D1126" s="13" t="s">
        <v>4088</v>
      </c>
      <c r="E1126" s="13" t="s">
        <v>1064</v>
      </c>
      <c r="F1126" s="13" t="s">
        <v>29</v>
      </c>
      <c r="G1126" s="13" t="s">
        <v>30</v>
      </c>
      <c r="H1126" s="13" t="s">
        <v>1031</v>
      </c>
      <c r="I1126" s="27" t="s">
        <v>4089</v>
      </c>
      <c r="J1126" s="27" t="s">
        <v>33</v>
      </c>
      <c r="K1126" s="27" t="s">
        <v>34</v>
      </c>
      <c r="L1126" s="27" t="s">
        <v>35</v>
      </c>
      <c r="M1126" s="27" t="s">
        <v>36</v>
      </c>
      <c r="N1126" s="17">
        <f t="shared" si="80"/>
        <v>45520</v>
      </c>
      <c r="O1126" s="13" t="s">
        <v>34</v>
      </c>
      <c r="P1126" s="13" t="s">
        <v>1781</v>
      </c>
      <c r="Q1126" s="13" t="s">
        <v>38</v>
      </c>
      <c r="R1126" s="13" t="s">
        <v>4090</v>
      </c>
      <c r="S1126" s="13" t="s">
        <v>37</v>
      </c>
      <c r="T1126" s="28">
        <v>24.78</v>
      </c>
      <c r="U1126" s="13" t="s">
        <v>28</v>
      </c>
      <c r="V1126" s="13" t="s">
        <v>53</v>
      </c>
      <c r="W1126" s="13" t="s">
        <v>30</v>
      </c>
      <c r="X1126" s="17">
        <f t="shared" si="81"/>
        <v>45551</v>
      </c>
      <c r="Y1126" s="3"/>
    </row>
    <row r="1127" spans="1:25" ht="45" customHeight="1">
      <c r="A1127" s="3">
        <v>1125</v>
      </c>
      <c r="B1127" s="13" t="s">
        <v>4091</v>
      </c>
      <c r="C1127" s="13" t="s">
        <v>26</v>
      </c>
      <c r="D1127" s="13" t="s">
        <v>4092</v>
      </c>
      <c r="E1127" s="13" t="s">
        <v>28</v>
      </c>
      <c r="F1127" s="13" t="s">
        <v>491</v>
      </c>
      <c r="G1127" s="13" t="s">
        <v>830</v>
      </c>
      <c r="H1127" s="13" t="s">
        <v>406</v>
      </c>
      <c r="I1127" s="27" t="s">
        <v>4093</v>
      </c>
      <c r="J1127" s="27" t="s">
        <v>33</v>
      </c>
      <c r="K1127" s="27" t="s">
        <v>34</v>
      </c>
      <c r="L1127" s="27" t="s">
        <v>35</v>
      </c>
      <c r="M1127" s="27" t="s">
        <v>36</v>
      </c>
      <c r="N1127" s="17">
        <f t="shared" si="80"/>
        <v>45520</v>
      </c>
      <c r="O1127" s="13" t="s">
        <v>34</v>
      </c>
      <c r="P1127" s="13" t="s">
        <v>505</v>
      </c>
      <c r="Q1127" s="13" t="s">
        <v>38</v>
      </c>
      <c r="R1127" s="13" t="s">
        <v>4094</v>
      </c>
      <c r="S1127" s="13" t="s">
        <v>496</v>
      </c>
      <c r="T1127" s="28">
        <v>20.45</v>
      </c>
      <c r="U1127" s="13" t="s">
        <v>28</v>
      </c>
      <c r="V1127" s="13" t="s">
        <v>146</v>
      </c>
      <c r="W1127" s="13" t="s">
        <v>833</v>
      </c>
      <c r="X1127" s="17">
        <f t="shared" si="81"/>
        <v>45551</v>
      </c>
      <c r="Y1127" s="3"/>
    </row>
    <row r="1128" spans="1:25" ht="45" customHeight="1">
      <c r="A1128" s="3">
        <v>1126</v>
      </c>
      <c r="B1128" s="13" t="s">
        <v>4095</v>
      </c>
      <c r="C1128" s="13" t="s">
        <v>26</v>
      </c>
      <c r="D1128" s="13" t="s">
        <v>4096</v>
      </c>
      <c r="E1128" s="13" t="s">
        <v>28</v>
      </c>
      <c r="F1128" s="13" t="s">
        <v>29</v>
      </c>
      <c r="G1128" s="13" t="s">
        <v>48</v>
      </c>
      <c r="H1128" s="13" t="s">
        <v>1031</v>
      </c>
      <c r="I1128" s="27" t="s">
        <v>4097</v>
      </c>
      <c r="J1128" s="27" t="s">
        <v>33</v>
      </c>
      <c r="K1128" s="27" t="s">
        <v>34</v>
      </c>
      <c r="L1128" s="27" t="s">
        <v>35</v>
      </c>
      <c r="M1128" s="27" t="s">
        <v>36</v>
      </c>
      <c r="N1128" s="17">
        <f t="shared" si="80"/>
        <v>45520</v>
      </c>
      <c r="O1128" s="13" t="s">
        <v>34</v>
      </c>
      <c r="P1128" s="13" t="s">
        <v>50</v>
      </c>
      <c r="Q1128" s="13" t="s">
        <v>38</v>
      </c>
      <c r="R1128" s="13" t="s">
        <v>4098</v>
      </c>
      <c r="S1128" s="13" t="s">
        <v>52</v>
      </c>
      <c r="T1128" s="28">
        <v>23.91</v>
      </c>
      <c r="U1128" s="13" t="s">
        <v>28</v>
      </c>
      <c r="V1128" s="13" t="s">
        <v>53</v>
      </c>
      <c r="W1128" s="13" t="s">
        <v>48</v>
      </c>
      <c r="X1128" s="17">
        <f t="shared" si="81"/>
        <v>45551</v>
      </c>
      <c r="Y1128" s="3"/>
    </row>
    <row r="1129" spans="1:25" ht="45" customHeight="1">
      <c r="A1129" s="3">
        <v>1127</v>
      </c>
      <c r="B1129" s="13" t="s">
        <v>4099</v>
      </c>
      <c r="C1129" s="13" t="s">
        <v>26</v>
      </c>
      <c r="D1129" s="13" t="s">
        <v>4100</v>
      </c>
      <c r="E1129" s="13" t="s">
        <v>28</v>
      </c>
      <c r="F1129" s="13" t="s">
        <v>491</v>
      </c>
      <c r="G1129" s="13" t="s">
        <v>978</v>
      </c>
      <c r="H1129" s="13" t="s">
        <v>406</v>
      </c>
      <c r="I1129" s="27" t="s">
        <v>4101</v>
      </c>
      <c r="J1129" s="27" t="s">
        <v>33</v>
      </c>
      <c r="K1129" s="27" t="s">
        <v>34</v>
      </c>
      <c r="L1129" s="27" t="s">
        <v>35</v>
      </c>
      <c r="M1129" s="27" t="s">
        <v>36</v>
      </c>
      <c r="N1129" s="17">
        <f t="shared" si="80"/>
        <v>45520</v>
      </c>
      <c r="O1129" s="13" t="s">
        <v>34</v>
      </c>
      <c r="P1129" s="13" t="s">
        <v>596</v>
      </c>
      <c r="Q1129" s="13" t="s">
        <v>38</v>
      </c>
      <c r="R1129" s="13" t="s">
        <v>4102</v>
      </c>
      <c r="S1129" s="13" t="s">
        <v>496</v>
      </c>
      <c r="T1129" s="28">
        <v>21.24</v>
      </c>
      <c r="U1129" s="13" t="s">
        <v>28</v>
      </c>
      <c r="V1129" s="13" t="s">
        <v>146</v>
      </c>
      <c r="W1129" s="13" t="s">
        <v>981</v>
      </c>
      <c r="X1129" s="17">
        <f t="shared" si="81"/>
        <v>45551</v>
      </c>
      <c r="Y1129" s="3"/>
    </row>
    <row r="1130" spans="1:25" ht="45" customHeight="1">
      <c r="A1130" s="3">
        <v>1128</v>
      </c>
      <c r="B1130" s="13" t="s">
        <v>4103</v>
      </c>
      <c r="C1130" s="13" t="s">
        <v>103</v>
      </c>
      <c r="D1130" s="13" t="s">
        <v>4104</v>
      </c>
      <c r="E1130" s="13" t="s">
        <v>1064</v>
      </c>
      <c r="F1130" s="13" t="s">
        <v>29</v>
      </c>
      <c r="G1130" s="13" t="s">
        <v>680</v>
      </c>
      <c r="H1130" s="13" t="s">
        <v>1031</v>
      </c>
      <c r="I1130" s="27" t="s">
        <v>4105</v>
      </c>
      <c r="J1130" s="27" t="s">
        <v>33</v>
      </c>
      <c r="K1130" s="27" t="s">
        <v>106</v>
      </c>
      <c r="L1130" s="27" t="s">
        <v>35</v>
      </c>
      <c r="M1130" s="27" t="s">
        <v>36</v>
      </c>
      <c r="N1130" s="17">
        <f t="shared" si="80"/>
        <v>45520</v>
      </c>
      <c r="O1130" s="13" t="s">
        <v>34</v>
      </c>
      <c r="P1130" s="13" t="s">
        <v>50</v>
      </c>
      <c r="Q1130" s="13" t="s">
        <v>38</v>
      </c>
      <c r="R1130" s="13" t="s">
        <v>4106</v>
      </c>
      <c r="S1130" s="13" t="s">
        <v>52</v>
      </c>
      <c r="T1130" s="28">
        <v>22.78</v>
      </c>
      <c r="U1130" s="13" t="s">
        <v>28</v>
      </c>
      <c r="V1130" s="13" t="s">
        <v>53</v>
      </c>
      <c r="W1130" s="13" t="s">
        <v>683</v>
      </c>
      <c r="X1130" s="17">
        <f t="shared" si="81"/>
        <v>45551</v>
      </c>
      <c r="Y1130" s="3"/>
    </row>
    <row r="1131" spans="1:25" ht="45" customHeight="1">
      <c r="A1131" s="3">
        <v>1129</v>
      </c>
      <c r="B1131" s="13" t="s">
        <v>4107</v>
      </c>
      <c r="C1131" s="13" t="s">
        <v>103</v>
      </c>
      <c r="D1131" s="13" t="s">
        <v>4108</v>
      </c>
      <c r="E1131" s="13" t="s">
        <v>1064</v>
      </c>
      <c r="F1131" s="13" t="s">
        <v>475</v>
      </c>
      <c r="G1131" s="13" t="s">
        <v>476</v>
      </c>
      <c r="H1131" s="13" t="s">
        <v>406</v>
      </c>
      <c r="I1131" s="27" t="s">
        <v>4109</v>
      </c>
      <c r="J1131" s="27" t="s">
        <v>33</v>
      </c>
      <c r="K1131" s="27" t="s">
        <v>106</v>
      </c>
      <c r="L1131" s="27" t="s">
        <v>35</v>
      </c>
      <c r="M1131" s="27" t="s">
        <v>36</v>
      </c>
      <c r="N1131" s="17">
        <f t="shared" si="80"/>
        <v>45520</v>
      </c>
      <c r="O1131" s="13" t="s">
        <v>34</v>
      </c>
      <c r="P1131" s="13" t="s">
        <v>473</v>
      </c>
      <c r="Q1131" s="13" t="s">
        <v>38</v>
      </c>
      <c r="R1131" s="13" t="s">
        <v>4110</v>
      </c>
      <c r="S1131" s="13" t="s">
        <v>478</v>
      </c>
      <c r="T1131" s="28">
        <v>33.89</v>
      </c>
      <c r="U1131" s="13" t="s">
        <v>28</v>
      </c>
      <c r="V1131" s="13" t="s">
        <v>53</v>
      </c>
      <c r="W1131" s="13" t="s">
        <v>476</v>
      </c>
      <c r="X1131" s="17">
        <f t="shared" si="81"/>
        <v>45551</v>
      </c>
      <c r="Y1131" s="3"/>
    </row>
    <row r="1132" spans="1:25" ht="45" customHeight="1">
      <c r="A1132" s="3">
        <v>1130</v>
      </c>
      <c r="B1132" s="13" t="s">
        <v>4111</v>
      </c>
      <c r="C1132" s="13" t="s">
        <v>103</v>
      </c>
      <c r="D1132" s="13" t="s">
        <v>4112</v>
      </c>
      <c r="E1132" s="13" t="s">
        <v>1064</v>
      </c>
      <c r="F1132" s="13" t="s">
        <v>475</v>
      </c>
      <c r="G1132" s="13" t="s">
        <v>476</v>
      </c>
      <c r="H1132" s="13" t="s">
        <v>406</v>
      </c>
      <c r="I1132" s="27" t="s">
        <v>4113</v>
      </c>
      <c r="J1132" s="27" t="s">
        <v>33</v>
      </c>
      <c r="K1132" s="27" t="s">
        <v>106</v>
      </c>
      <c r="L1132" s="27" t="s">
        <v>35</v>
      </c>
      <c r="M1132" s="27" t="s">
        <v>36</v>
      </c>
      <c r="N1132" s="17">
        <f t="shared" si="80"/>
        <v>45520</v>
      </c>
      <c r="O1132" s="13" t="s">
        <v>1198</v>
      </c>
      <c r="P1132" s="13" t="s">
        <v>473</v>
      </c>
      <c r="Q1132" s="13" t="s">
        <v>38</v>
      </c>
      <c r="R1132" s="13" t="s">
        <v>4114</v>
      </c>
      <c r="S1132" s="13" t="s">
        <v>478</v>
      </c>
      <c r="T1132" s="28">
        <v>41.06</v>
      </c>
      <c r="U1132" s="13" t="s">
        <v>28</v>
      </c>
      <c r="V1132" s="13" t="s">
        <v>89</v>
      </c>
      <c r="W1132" s="13" t="s">
        <v>476</v>
      </c>
      <c r="X1132" s="17">
        <f t="shared" si="81"/>
        <v>45551</v>
      </c>
      <c r="Y1132" s="3"/>
    </row>
    <row r="1133" spans="1:25" ht="45" customHeight="1">
      <c r="A1133" s="3">
        <v>1131</v>
      </c>
      <c r="B1133" s="13" t="s">
        <v>4115</v>
      </c>
      <c r="C1133" s="13" t="s">
        <v>26</v>
      </c>
      <c r="D1133" s="13" t="s">
        <v>4116</v>
      </c>
      <c r="E1133" s="13" t="s">
        <v>28</v>
      </c>
      <c r="F1133" s="13" t="s">
        <v>491</v>
      </c>
      <c r="G1133" s="13" t="s">
        <v>950</v>
      </c>
      <c r="H1133" s="13" t="s">
        <v>406</v>
      </c>
      <c r="I1133" s="27" t="s">
        <v>4117</v>
      </c>
      <c r="J1133" s="27" t="s">
        <v>33</v>
      </c>
      <c r="K1133" s="27" t="s">
        <v>34</v>
      </c>
      <c r="L1133" s="27" t="s">
        <v>35</v>
      </c>
      <c r="M1133" s="27" t="s">
        <v>36</v>
      </c>
      <c r="N1133" s="17">
        <f t="shared" si="80"/>
        <v>45520</v>
      </c>
      <c r="O1133" s="13" t="s">
        <v>34</v>
      </c>
      <c r="P1133" s="13" t="s">
        <v>952</v>
      </c>
      <c r="Q1133" s="13" t="s">
        <v>38</v>
      </c>
      <c r="R1133" s="13" t="s">
        <v>4118</v>
      </c>
      <c r="S1133" s="13" t="s">
        <v>496</v>
      </c>
      <c r="T1133" s="28">
        <v>39.049999999999997</v>
      </c>
      <c r="U1133" s="13" t="s">
        <v>28</v>
      </c>
      <c r="V1133" s="13" t="s">
        <v>53</v>
      </c>
      <c r="W1133" s="13" t="s">
        <v>954</v>
      </c>
      <c r="X1133" s="17">
        <f t="shared" si="81"/>
        <v>45551</v>
      </c>
      <c r="Y1133" s="3"/>
    </row>
    <row r="1134" spans="1:25" ht="45" customHeight="1">
      <c r="A1134" s="3">
        <v>1132</v>
      </c>
      <c r="B1134" s="13" t="s">
        <v>4119</v>
      </c>
      <c r="C1134" s="13" t="s">
        <v>26</v>
      </c>
      <c r="D1134" s="13" t="s">
        <v>4120</v>
      </c>
      <c r="E1134" s="13" t="s">
        <v>28</v>
      </c>
      <c r="F1134" s="13" t="s">
        <v>29</v>
      </c>
      <c r="G1134" s="13" t="s">
        <v>43</v>
      </c>
      <c r="H1134" s="13" t="s">
        <v>31</v>
      </c>
      <c r="I1134" s="27" t="s">
        <v>4121</v>
      </c>
      <c r="J1134" s="27" t="s">
        <v>33</v>
      </c>
      <c r="K1134" s="27" t="s">
        <v>34</v>
      </c>
      <c r="L1134" s="27" t="s">
        <v>35</v>
      </c>
      <c r="M1134" s="27" t="s">
        <v>36</v>
      </c>
      <c r="N1134" s="17">
        <f t="shared" si="80"/>
        <v>45520</v>
      </c>
      <c r="O1134" s="13" t="s">
        <v>34</v>
      </c>
      <c r="P1134" s="13" t="s">
        <v>37</v>
      </c>
      <c r="Q1134" s="13" t="s">
        <v>38</v>
      </c>
      <c r="R1134" s="13" t="s">
        <v>4122</v>
      </c>
      <c r="S1134" s="13" t="s">
        <v>37</v>
      </c>
      <c r="T1134" s="28">
        <v>28.27</v>
      </c>
      <c r="U1134" s="13" t="s">
        <v>28</v>
      </c>
      <c r="V1134" s="13" t="s">
        <v>76</v>
      </c>
      <c r="W1134" s="13" t="s">
        <v>43</v>
      </c>
      <c r="X1134" s="17">
        <f t="shared" si="81"/>
        <v>45551</v>
      </c>
      <c r="Y1134" s="3"/>
    </row>
    <row r="1135" spans="1:25" ht="45" customHeight="1">
      <c r="A1135" s="3">
        <v>1133</v>
      </c>
      <c r="B1135" s="13" t="s">
        <v>4123</v>
      </c>
      <c r="C1135" s="13" t="s">
        <v>103</v>
      </c>
      <c r="D1135" s="13" t="s">
        <v>4124</v>
      </c>
      <c r="E1135" s="13" t="s">
        <v>28</v>
      </c>
      <c r="F1135" s="13" t="s">
        <v>491</v>
      </c>
      <c r="G1135" s="13" t="s">
        <v>1042</v>
      </c>
      <c r="H1135" s="13" t="s">
        <v>406</v>
      </c>
      <c r="I1135" s="27" t="s">
        <v>4125</v>
      </c>
      <c r="J1135" s="27" t="s">
        <v>33</v>
      </c>
      <c r="K1135" s="27" t="s">
        <v>106</v>
      </c>
      <c r="L1135" s="27" t="s">
        <v>35</v>
      </c>
      <c r="M1135" s="27" t="s">
        <v>36</v>
      </c>
      <c r="N1135" s="17">
        <f t="shared" si="80"/>
        <v>45520</v>
      </c>
      <c r="O1135" s="13" t="s">
        <v>34</v>
      </c>
      <c r="P1135" s="13" t="s">
        <v>717</v>
      </c>
      <c r="Q1135" s="13" t="s">
        <v>38</v>
      </c>
      <c r="R1135" s="13" t="s">
        <v>4126</v>
      </c>
      <c r="S1135" s="13" t="s">
        <v>496</v>
      </c>
      <c r="T1135" s="28">
        <v>25.99</v>
      </c>
      <c r="U1135" s="13" t="s">
        <v>28</v>
      </c>
      <c r="V1135" s="13" t="s">
        <v>53</v>
      </c>
      <c r="W1135" s="13" t="s">
        <v>1042</v>
      </c>
      <c r="X1135" s="17">
        <f t="shared" si="81"/>
        <v>45551</v>
      </c>
      <c r="Y1135" s="3"/>
    </row>
    <row r="1136" spans="1:25" ht="45" customHeight="1">
      <c r="A1136" s="3">
        <v>1134</v>
      </c>
      <c r="B1136" s="13" t="s">
        <v>4127</v>
      </c>
      <c r="C1136" s="13" t="s">
        <v>103</v>
      </c>
      <c r="D1136" s="13" t="s">
        <v>4128</v>
      </c>
      <c r="E1136" s="13" t="s">
        <v>28</v>
      </c>
      <c r="F1136" s="13" t="s">
        <v>29</v>
      </c>
      <c r="G1136" s="13" t="s">
        <v>1216</v>
      </c>
      <c r="H1136" s="13" t="s">
        <v>1031</v>
      </c>
      <c r="I1136" s="27" t="s">
        <v>4129</v>
      </c>
      <c r="J1136" s="27" t="s">
        <v>33</v>
      </c>
      <c r="K1136" s="27" t="s">
        <v>106</v>
      </c>
      <c r="L1136" s="27" t="s">
        <v>35</v>
      </c>
      <c r="M1136" s="27" t="s">
        <v>36</v>
      </c>
      <c r="N1136" s="17">
        <f t="shared" si="80"/>
        <v>45520</v>
      </c>
      <c r="O1136" s="13" t="s">
        <v>107</v>
      </c>
      <c r="P1136" s="13" t="s">
        <v>1231</v>
      </c>
      <c r="Q1136" s="13" t="s">
        <v>38</v>
      </c>
      <c r="R1136" s="13" t="s">
        <v>4130</v>
      </c>
      <c r="S1136" s="13" t="s">
        <v>1215</v>
      </c>
      <c r="T1136" s="28">
        <v>27.63</v>
      </c>
      <c r="U1136" s="13" t="s">
        <v>28</v>
      </c>
      <c r="V1136" s="13" t="s">
        <v>89</v>
      </c>
      <c r="W1136" s="13" t="s">
        <v>1219</v>
      </c>
      <c r="X1136" s="17">
        <f>DATE(2024,11,16)</f>
        <v>45612</v>
      </c>
      <c r="Y1136" s="3"/>
    </row>
    <row r="1137" spans="1:25" ht="45" customHeight="1">
      <c r="A1137" s="3">
        <v>1135</v>
      </c>
      <c r="B1137" s="13" t="s">
        <v>4131</v>
      </c>
      <c r="C1137" s="13" t="s">
        <v>26</v>
      </c>
      <c r="D1137" s="13" t="s">
        <v>4132</v>
      </c>
      <c r="E1137" s="13" t="s">
        <v>28</v>
      </c>
      <c r="F1137" s="13" t="s">
        <v>475</v>
      </c>
      <c r="G1137" s="13" t="s">
        <v>476</v>
      </c>
      <c r="H1137" s="13" t="s">
        <v>406</v>
      </c>
      <c r="I1137" s="27" t="s">
        <v>4133</v>
      </c>
      <c r="J1137" s="27" t="s">
        <v>33</v>
      </c>
      <c r="K1137" s="27" t="s">
        <v>34</v>
      </c>
      <c r="L1137" s="27" t="s">
        <v>35</v>
      </c>
      <c r="M1137" s="27" t="s">
        <v>36</v>
      </c>
      <c r="N1137" s="17">
        <f t="shared" si="80"/>
        <v>45520</v>
      </c>
      <c r="O1137" s="13" t="s">
        <v>34</v>
      </c>
      <c r="P1137" s="13" t="s">
        <v>473</v>
      </c>
      <c r="Q1137" s="13" t="s">
        <v>38</v>
      </c>
      <c r="R1137" s="13" t="s">
        <v>4134</v>
      </c>
      <c r="S1137" s="13" t="s">
        <v>478</v>
      </c>
      <c r="T1137" s="28">
        <v>28.73</v>
      </c>
      <c r="U1137" s="13" t="s">
        <v>28</v>
      </c>
      <c r="V1137" s="13" t="s">
        <v>89</v>
      </c>
      <c r="W1137" s="13" t="s">
        <v>476</v>
      </c>
      <c r="X1137" s="17">
        <f>DATE(2025,2,16)</f>
        <v>45704</v>
      </c>
      <c r="Y1137" s="3"/>
    </row>
    <row r="1138" spans="1:25" ht="45" customHeight="1">
      <c r="A1138" s="3">
        <v>1136</v>
      </c>
      <c r="B1138" s="13" t="s">
        <v>4135</v>
      </c>
      <c r="C1138" s="13" t="s">
        <v>103</v>
      </c>
      <c r="D1138" s="13" t="s">
        <v>4136</v>
      </c>
      <c r="E1138" s="13" t="s">
        <v>28</v>
      </c>
      <c r="F1138" s="13" t="s">
        <v>29</v>
      </c>
      <c r="G1138" s="13" t="s">
        <v>1216</v>
      </c>
      <c r="H1138" s="13" t="s">
        <v>1031</v>
      </c>
      <c r="I1138" s="27" t="s">
        <v>4137</v>
      </c>
      <c r="J1138" s="27" t="s">
        <v>33</v>
      </c>
      <c r="K1138" s="27" t="s">
        <v>106</v>
      </c>
      <c r="L1138" s="27" t="s">
        <v>35</v>
      </c>
      <c r="M1138" s="27" t="s">
        <v>36</v>
      </c>
      <c r="N1138" s="17">
        <f t="shared" si="80"/>
        <v>45520</v>
      </c>
      <c r="O1138" s="13" t="s">
        <v>107</v>
      </c>
      <c r="P1138" s="13" t="s">
        <v>1221</v>
      </c>
      <c r="Q1138" s="13" t="s">
        <v>38</v>
      </c>
      <c r="R1138" s="13" t="s">
        <v>4138</v>
      </c>
      <c r="S1138" s="13" t="s">
        <v>1215</v>
      </c>
      <c r="T1138" s="28">
        <v>27.96</v>
      </c>
      <c r="U1138" s="13" t="s">
        <v>28</v>
      </c>
      <c r="V1138" s="13" t="s">
        <v>53</v>
      </c>
      <c r="W1138" s="13" t="s">
        <v>1219</v>
      </c>
      <c r="X1138" s="17">
        <f>DATE(2024,11,16)</f>
        <v>45612</v>
      </c>
      <c r="Y1138" s="3"/>
    </row>
    <row r="1139" spans="1:25" ht="45" customHeight="1">
      <c r="A1139" s="3">
        <v>1137</v>
      </c>
      <c r="B1139" s="13" t="s">
        <v>4139</v>
      </c>
      <c r="C1139" s="13" t="s">
        <v>103</v>
      </c>
      <c r="D1139" s="13" t="s">
        <v>4140</v>
      </c>
      <c r="E1139" s="13" t="s">
        <v>28</v>
      </c>
      <c r="F1139" s="13" t="s">
        <v>29</v>
      </c>
      <c r="G1139" s="13" t="s">
        <v>1216</v>
      </c>
      <c r="H1139" s="13" t="s">
        <v>1031</v>
      </c>
      <c r="I1139" s="27" t="s">
        <v>4141</v>
      </c>
      <c r="J1139" s="27" t="s">
        <v>33</v>
      </c>
      <c r="K1139" s="27" t="s">
        <v>106</v>
      </c>
      <c r="L1139" s="27" t="s">
        <v>35</v>
      </c>
      <c r="M1139" s="27" t="s">
        <v>36</v>
      </c>
      <c r="N1139" s="17">
        <f t="shared" si="80"/>
        <v>45520</v>
      </c>
      <c r="O1139" s="13" t="s">
        <v>1198</v>
      </c>
      <c r="P1139" s="13" t="s">
        <v>1231</v>
      </c>
      <c r="Q1139" s="13" t="s">
        <v>38</v>
      </c>
      <c r="R1139" s="13" t="s">
        <v>4142</v>
      </c>
      <c r="S1139" s="13" t="s">
        <v>1215</v>
      </c>
      <c r="T1139" s="28">
        <v>26.1</v>
      </c>
      <c r="U1139" s="13" t="s">
        <v>28</v>
      </c>
      <c r="V1139" s="13" t="s">
        <v>89</v>
      </c>
      <c r="W1139" s="13" t="s">
        <v>1219</v>
      </c>
      <c r="X1139" s="17">
        <f>DATE(2025,2,16)</f>
        <v>45704</v>
      </c>
      <c r="Y1139" s="3"/>
    </row>
    <row r="1140" spans="1:25" ht="45" customHeight="1">
      <c r="A1140" s="3">
        <v>1138</v>
      </c>
      <c r="B1140" s="13" t="s">
        <v>4143</v>
      </c>
      <c r="C1140" s="13" t="s">
        <v>103</v>
      </c>
      <c r="D1140" s="13" t="s">
        <v>4144</v>
      </c>
      <c r="E1140" s="13" t="s">
        <v>28</v>
      </c>
      <c r="F1140" s="13" t="s">
        <v>29</v>
      </c>
      <c r="G1140" s="13" t="s">
        <v>1216</v>
      </c>
      <c r="H1140" s="13" t="s">
        <v>1031</v>
      </c>
      <c r="I1140" s="27" t="s">
        <v>4145</v>
      </c>
      <c r="J1140" s="27" t="s">
        <v>33</v>
      </c>
      <c r="K1140" s="27" t="s">
        <v>106</v>
      </c>
      <c r="L1140" s="27" t="s">
        <v>35</v>
      </c>
      <c r="M1140" s="27" t="s">
        <v>36</v>
      </c>
      <c r="N1140" s="17">
        <f t="shared" si="80"/>
        <v>45520</v>
      </c>
      <c r="O1140" s="13" t="s">
        <v>107</v>
      </c>
      <c r="P1140" s="13" t="s">
        <v>1215</v>
      </c>
      <c r="Q1140" s="13" t="s">
        <v>38</v>
      </c>
      <c r="R1140" s="13" t="s">
        <v>4146</v>
      </c>
      <c r="S1140" s="13" t="s">
        <v>1215</v>
      </c>
      <c r="T1140" s="28">
        <v>26.44</v>
      </c>
      <c r="U1140" s="13" t="s">
        <v>28</v>
      </c>
      <c r="V1140" s="13" t="s">
        <v>146</v>
      </c>
      <c r="W1140" s="13" t="s">
        <v>1219</v>
      </c>
      <c r="X1140" s="17">
        <f>DATE(2024,11,16)</f>
        <v>45612</v>
      </c>
      <c r="Y1140" s="3"/>
    </row>
    <row r="1141" spans="1:25" ht="45" customHeight="1">
      <c r="A1141" s="3">
        <v>1139</v>
      </c>
      <c r="B1141" s="13" t="s">
        <v>4147</v>
      </c>
      <c r="C1141" s="13" t="s">
        <v>103</v>
      </c>
      <c r="D1141" s="13" t="s">
        <v>4148</v>
      </c>
      <c r="E1141" s="13" t="s">
        <v>28</v>
      </c>
      <c r="F1141" s="13" t="s">
        <v>29</v>
      </c>
      <c r="G1141" s="13" t="s">
        <v>537</v>
      </c>
      <c r="H1141" s="13" t="s">
        <v>1031</v>
      </c>
      <c r="I1141" s="27" t="s">
        <v>4149</v>
      </c>
      <c r="J1141" s="27" t="s">
        <v>33</v>
      </c>
      <c r="K1141" s="27" t="s">
        <v>106</v>
      </c>
      <c r="L1141" s="27" t="s">
        <v>35</v>
      </c>
      <c r="M1141" s="27" t="s">
        <v>36</v>
      </c>
      <c r="N1141" s="17">
        <f t="shared" si="80"/>
        <v>45520</v>
      </c>
      <c r="O1141" s="13" t="s">
        <v>107</v>
      </c>
      <c r="P1141" s="13" t="s">
        <v>549</v>
      </c>
      <c r="Q1141" s="13" t="s">
        <v>38</v>
      </c>
      <c r="R1141" s="13" t="s">
        <v>4150</v>
      </c>
      <c r="S1141" s="13" t="s">
        <v>64</v>
      </c>
      <c r="T1141" s="28">
        <v>22.99</v>
      </c>
      <c r="U1141" s="13" t="s">
        <v>28</v>
      </c>
      <c r="V1141" s="13" t="s">
        <v>53</v>
      </c>
      <c r="W1141" s="13" t="s">
        <v>537</v>
      </c>
      <c r="X1141" s="17">
        <f>DATE(2025,2,16)</f>
        <v>45704</v>
      </c>
      <c r="Y1141" s="3"/>
    </row>
    <row r="1142" spans="1:25" ht="45" customHeight="1">
      <c r="A1142" s="3">
        <v>1140</v>
      </c>
      <c r="B1142" s="13" t="s">
        <v>4151</v>
      </c>
      <c r="C1142" s="13" t="s">
        <v>103</v>
      </c>
      <c r="D1142" s="13" t="s">
        <v>4152</v>
      </c>
      <c r="E1142" s="13" t="s">
        <v>28</v>
      </c>
      <c r="F1142" s="13" t="s">
        <v>491</v>
      </c>
      <c r="G1142" s="13" t="s">
        <v>978</v>
      </c>
      <c r="H1142" s="13" t="s">
        <v>406</v>
      </c>
      <c r="I1142" s="27" t="s">
        <v>4153</v>
      </c>
      <c r="J1142" s="27" t="s">
        <v>33</v>
      </c>
      <c r="K1142" s="27" t="s">
        <v>106</v>
      </c>
      <c r="L1142" s="27" t="s">
        <v>35</v>
      </c>
      <c r="M1142" s="27" t="s">
        <v>36</v>
      </c>
      <c r="N1142" s="17">
        <f t="shared" si="80"/>
        <v>45520</v>
      </c>
      <c r="O1142" s="13" t="s">
        <v>34</v>
      </c>
      <c r="P1142" s="13" t="s">
        <v>596</v>
      </c>
      <c r="Q1142" s="13" t="s">
        <v>38</v>
      </c>
      <c r="R1142" s="13" t="s">
        <v>4154</v>
      </c>
      <c r="S1142" s="13" t="s">
        <v>496</v>
      </c>
      <c r="T1142" s="28">
        <v>27.66</v>
      </c>
      <c r="U1142" s="13" t="s">
        <v>28</v>
      </c>
      <c r="V1142" s="13" t="s">
        <v>146</v>
      </c>
      <c r="W1142" s="13" t="s">
        <v>981</v>
      </c>
      <c r="X1142" s="17">
        <f t="shared" ref="X1142:X1147" si="82">DATE(2024,11,16)</f>
        <v>45612</v>
      </c>
      <c r="Y1142" s="3"/>
    </row>
    <row r="1143" spans="1:25" ht="45" customHeight="1">
      <c r="A1143" s="3">
        <v>1141</v>
      </c>
      <c r="B1143" s="13" t="s">
        <v>4155</v>
      </c>
      <c r="C1143" s="13" t="s">
        <v>103</v>
      </c>
      <c r="D1143" s="13" t="s">
        <v>4156</v>
      </c>
      <c r="E1143" s="13" t="s">
        <v>28</v>
      </c>
      <c r="F1143" s="13" t="s">
        <v>491</v>
      </c>
      <c r="G1143" s="13" t="s">
        <v>978</v>
      </c>
      <c r="H1143" s="13" t="s">
        <v>406</v>
      </c>
      <c r="I1143" s="27" t="s">
        <v>4157</v>
      </c>
      <c r="J1143" s="27" t="s">
        <v>33</v>
      </c>
      <c r="K1143" s="27" t="s">
        <v>106</v>
      </c>
      <c r="L1143" s="27" t="s">
        <v>35</v>
      </c>
      <c r="M1143" s="27" t="s">
        <v>36</v>
      </c>
      <c r="N1143" s="17">
        <f t="shared" si="80"/>
        <v>45520</v>
      </c>
      <c r="O1143" s="13" t="s">
        <v>107</v>
      </c>
      <c r="P1143" s="13" t="s">
        <v>596</v>
      </c>
      <c r="Q1143" s="13" t="s">
        <v>38</v>
      </c>
      <c r="R1143" s="13" t="s">
        <v>4158</v>
      </c>
      <c r="S1143" s="13" t="s">
        <v>496</v>
      </c>
      <c r="T1143" s="28">
        <v>24.99</v>
      </c>
      <c r="U1143" s="13" t="s">
        <v>28</v>
      </c>
      <c r="V1143" s="13" t="s">
        <v>146</v>
      </c>
      <c r="W1143" s="13" t="s">
        <v>981</v>
      </c>
      <c r="X1143" s="17">
        <f t="shared" si="82"/>
        <v>45612</v>
      </c>
      <c r="Y1143" s="3"/>
    </row>
    <row r="1144" spans="1:25" ht="45" customHeight="1">
      <c r="A1144" s="3">
        <v>1142</v>
      </c>
      <c r="B1144" s="13" t="s">
        <v>4159</v>
      </c>
      <c r="C1144" s="13" t="s">
        <v>26</v>
      </c>
      <c r="D1144" s="13" t="s">
        <v>4160</v>
      </c>
      <c r="E1144" s="13" t="s">
        <v>28</v>
      </c>
      <c r="F1144" s="13" t="s">
        <v>417</v>
      </c>
      <c r="G1144" s="13" t="s">
        <v>674</v>
      </c>
      <c r="H1144" s="13" t="s">
        <v>419</v>
      </c>
      <c r="I1144" s="27" t="s">
        <v>4161</v>
      </c>
      <c r="J1144" s="27" t="s">
        <v>33</v>
      </c>
      <c r="K1144" s="27" t="s">
        <v>34</v>
      </c>
      <c r="L1144" s="27" t="s">
        <v>35</v>
      </c>
      <c r="M1144" s="27" t="s">
        <v>36</v>
      </c>
      <c r="N1144" s="17">
        <f t="shared" si="80"/>
        <v>45520</v>
      </c>
      <c r="O1144" s="13" t="s">
        <v>34</v>
      </c>
      <c r="P1144" s="13" t="s">
        <v>676</v>
      </c>
      <c r="Q1144" s="13" t="s">
        <v>38</v>
      </c>
      <c r="R1144" s="13" t="s">
        <v>4162</v>
      </c>
      <c r="S1144" s="13" t="s">
        <v>423</v>
      </c>
      <c r="T1144" s="28">
        <v>29.32</v>
      </c>
      <c r="U1144" s="13" t="s">
        <v>28</v>
      </c>
      <c r="V1144" s="13" t="s">
        <v>799</v>
      </c>
      <c r="W1144" s="13" t="s">
        <v>678</v>
      </c>
      <c r="X1144" s="17">
        <f t="shared" si="82"/>
        <v>45612</v>
      </c>
      <c r="Y1144" s="3"/>
    </row>
    <row r="1145" spans="1:25" ht="45" customHeight="1">
      <c r="A1145" s="3">
        <v>1143</v>
      </c>
      <c r="B1145" s="13" t="s">
        <v>4163</v>
      </c>
      <c r="C1145" s="13" t="s">
        <v>26</v>
      </c>
      <c r="D1145" s="13" t="s">
        <v>4164</v>
      </c>
      <c r="E1145" s="13" t="s">
        <v>28</v>
      </c>
      <c r="F1145" s="13" t="s">
        <v>29</v>
      </c>
      <c r="G1145" s="13" t="s">
        <v>48</v>
      </c>
      <c r="H1145" s="13" t="s">
        <v>1031</v>
      </c>
      <c r="I1145" s="27" t="s">
        <v>4165</v>
      </c>
      <c r="J1145" s="27" t="s">
        <v>33</v>
      </c>
      <c r="K1145" s="27" t="s">
        <v>34</v>
      </c>
      <c r="L1145" s="27" t="s">
        <v>35</v>
      </c>
      <c r="M1145" s="27" t="s">
        <v>36</v>
      </c>
      <c r="N1145" s="17">
        <f t="shared" si="80"/>
        <v>45520</v>
      </c>
      <c r="O1145" s="13" t="s">
        <v>34</v>
      </c>
      <c r="P1145" s="13" t="s">
        <v>50</v>
      </c>
      <c r="Q1145" s="13" t="s">
        <v>38</v>
      </c>
      <c r="R1145" s="13" t="s">
        <v>4166</v>
      </c>
      <c r="S1145" s="13" t="s">
        <v>52</v>
      </c>
      <c r="T1145" s="28">
        <v>29.32</v>
      </c>
      <c r="U1145" s="13" t="s">
        <v>28</v>
      </c>
      <c r="V1145" s="13" t="s">
        <v>53</v>
      </c>
      <c r="W1145" s="13" t="s">
        <v>48</v>
      </c>
      <c r="X1145" s="17">
        <f t="shared" si="82"/>
        <v>45612</v>
      </c>
      <c r="Y1145" s="3"/>
    </row>
    <row r="1146" spans="1:25" ht="45" customHeight="1">
      <c r="A1146" s="3">
        <v>1144</v>
      </c>
      <c r="B1146" s="13" t="s">
        <v>4167</v>
      </c>
      <c r="C1146" s="13" t="s">
        <v>26</v>
      </c>
      <c r="D1146" s="13" t="s">
        <v>4168</v>
      </c>
      <c r="E1146" s="13" t="s">
        <v>28</v>
      </c>
      <c r="F1146" s="13" t="s">
        <v>29</v>
      </c>
      <c r="G1146" s="13" t="s">
        <v>79</v>
      </c>
      <c r="H1146" s="13" t="s">
        <v>1031</v>
      </c>
      <c r="I1146" s="27" t="s">
        <v>4169</v>
      </c>
      <c r="J1146" s="27" t="s">
        <v>33</v>
      </c>
      <c r="K1146" s="27" t="s">
        <v>34</v>
      </c>
      <c r="L1146" s="27" t="s">
        <v>35</v>
      </c>
      <c r="M1146" s="27" t="s">
        <v>36</v>
      </c>
      <c r="N1146" s="17">
        <f t="shared" si="80"/>
        <v>45520</v>
      </c>
      <c r="O1146" s="13" t="s">
        <v>34</v>
      </c>
      <c r="P1146" s="13" t="s">
        <v>1387</v>
      </c>
      <c r="Q1146" s="13" t="s">
        <v>38</v>
      </c>
      <c r="R1146" s="13" t="s">
        <v>4170</v>
      </c>
      <c r="S1146" s="13" t="s">
        <v>81</v>
      </c>
      <c r="T1146" s="28">
        <v>29.76</v>
      </c>
      <c r="U1146" s="13" t="s">
        <v>28</v>
      </c>
      <c r="V1146" s="13" t="s">
        <v>89</v>
      </c>
      <c r="W1146" s="13" t="s">
        <v>79</v>
      </c>
      <c r="X1146" s="17">
        <f t="shared" si="82"/>
        <v>45612</v>
      </c>
      <c r="Y1146" s="3"/>
    </row>
    <row r="1147" spans="1:25" ht="45" customHeight="1">
      <c r="A1147" s="3">
        <v>1145</v>
      </c>
      <c r="B1147" s="13" t="s">
        <v>4171</v>
      </c>
      <c r="C1147" s="13" t="s">
        <v>26</v>
      </c>
      <c r="D1147" s="13" t="s">
        <v>4172</v>
      </c>
      <c r="E1147" s="13" t="s">
        <v>28</v>
      </c>
      <c r="F1147" s="13" t="s">
        <v>29</v>
      </c>
      <c r="G1147" s="13" t="s">
        <v>79</v>
      </c>
      <c r="H1147" s="13" t="s">
        <v>1031</v>
      </c>
      <c r="I1147" s="27" t="s">
        <v>4173</v>
      </c>
      <c r="J1147" s="27" t="s">
        <v>33</v>
      </c>
      <c r="K1147" s="27" t="s">
        <v>34</v>
      </c>
      <c r="L1147" s="27" t="s">
        <v>35</v>
      </c>
      <c r="M1147" s="27" t="s">
        <v>36</v>
      </c>
      <c r="N1147" s="17">
        <f t="shared" si="80"/>
        <v>45520</v>
      </c>
      <c r="O1147" s="13" t="s">
        <v>1198</v>
      </c>
      <c r="P1147" s="13" t="s">
        <v>498</v>
      </c>
      <c r="Q1147" s="13" t="s">
        <v>38</v>
      </c>
      <c r="R1147" s="13" t="s">
        <v>4174</v>
      </c>
      <c r="S1147" s="13" t="s">
        <v>81</v>
      </c>
      <c r="T1147" s="28">
        <v>35.729999999999997</v>
      </c>
      <c r="U1147" s="13" t="s">
        <v>28</v>
      </c>
      <c r="V1147" s="13" t="s">
        <v>146</v>
      </c>
      <c r="W1147" s="13" t="s">
        <v>79</v>
      </c>
      <c r="X1147" s="17">
        <f t="shared" si="82"/>
        <v>45612</v>
      </c>
      <c r="Y1147" s="3"/>
    </row>
    <row r="1148" spans="1:25" ht="45" customHeight="1">
      <c r="A1148" s="3">
        <v>1146</v>
      </c>
      <c r="B1148" s="13" t="s">
        <v>4175</v>
      </c>
      <c r="C1148" s="13" t="s">
        <v>26</v>
      </c>
      <c r="D1148" s="13" t="s">
        <v>4176</v>
      </c>
      <c r="E1148" s="13" t="s">
        <v>28</v>
      </c>
      <c r="F1148" s="13" t="s">
        <v>29</v>
      </c>
      <c r="G1148" s="13" t="s">
        <v>62</v>
      </c>
      <c r="H1148" s="13" t="s">
        <v>1031</v>
      </c>
      <c r="I1148" s="27" t="s">
        <v>4177</v>
      </c>
      <c r="J1148" s="27" t="s">
        <v>33</v>
      </c>
      <c r="K1148" s="27" t="s">
        <v>34</v>
      </c>
      <c r="L1148" s="27" t="s">
        <v>35</v>
      </c>
      <c r="M1148" s="27" t="s">
        <v>36</v>
      </c>
      <c r="N1148" s="17">
        <f t="shared" si="80"/>
        <v>45520</v>
      </c>
      <c r="O1148" s="13" t="s">
        <v>34</v>
      </c>
      <c r="P1148" s="13" t="s">
        <v>1816</v>
      </c>
      <c r="Q1148" s="13" t="s">
        <v>38</v>
      </c>
      <c r="R1148" s="13" t="s">
        <v>4178</v>
      </c>
      <c r="S1148" s="13" t="s">
        <v>64</v>
      </c>
      <c r="T1148" s="28">
        <v>27.63</v>
      </c>
      <c r="U1148" s="13" t="s">
        <v>28</v>
      </c>
      <c r="V1148" s="13" t="s">
        <v>89</v>
      </c>
      <c r="W1148" s="13" t="s">
        <v>62</v>
      </c>
      <c r="X1148" s="17">
        <f>DATE(2025,2,16)</f>
        <v>45704</v>
      </c>
      <c r="Y1148" s="3"/>
    </row>
    <row r="1149" spans="1:25" ht="45" customHeight="1">
      <c r="A1149" s="3">
        <v>1147</v>
      </c>
      <c r="B1149" s="13" t="s">
        <v>4179</v>
      </c>
      <c r="C1149" s="13" t="s">
        <v>26</v>
      </c>
      <c r="D1149" s="13" t="s">
        <v>4180</v>
      </c>
      <c r="E1149" s="13" t="s">
        <v>28</v>
      </c>
      <c r="F1149" s="13" t="s">
        <v>417</v>
      </c>
      <c r="G1149" s="13" t="s">
        <v>674</v>
      </c>
      <c r="H1149" s="13" t="s">
        <v>419</v>
      </c>
      <c r="I1149" s="27" t="s">
        <v>4181</v>
      </c>
      <c r="J1149" s="27" t="s">
        <v>33</v>
      </c>
      <c r="K1149" s="27" t="s">
        <v>34</v>
      </c>
      <c r="L1149" s="27" t="s">
        <v>35</v>
      </c>
      <c r="M1149" s="27" t="s">
        <v>36</v>
      </c>
      <c r="N1149" s="17">
        <f t="shared" si="80"/>
        <v>45520</v>
      </c>
      <c r="O1149" s="13" t="s">
        <v>34</v>
      </c>
      <c r="P1149" s="13" t="s">
        <v>676</v>
      </c>
      <c r="Q1149" s="13" t="s">
        <v>38</v>
      </c>
      <c r="R1149" s="13" t="s">
        <v>4182</v>
      </c>
      <c r="S1149" s="13" t="s">
        <v>423</v>
      </c>
      <c r="T1149" s="28">
        <v>26.81</v>
      </c>
      <c r="U1149" s="13" t="s">
        <v>28</v>
      </c>
      <c r="V1149" s="13" t="s">
        <v>53</v>
      </c>
      <c r="W1149" s="13" t="s">
        <v>678</v>
      </c>
      <c r="X1149" s="17">
        <f>DATE(2024,11,16)</f>
        <v>45612</v>
      </c>
      <c r="Y1149" s="3"/>
    </row>
    <row r="1150" spans="1:25" ht="45" customHeight="1">
      <c r="A1150" s="3">
        <v>1148</v>
      </c>
      <c r="B1150" s="13" t="s">
        <v>4183</v>
      </c>
      <c r="C1150" s="13" t="s">
        <v>26</v>
      </c>
      <c r="D1150" s="13" t="s">
        <v>4184</v>
      </c>
      <c r="E1150" s="13" t="s">
        <v>28</v>
      </c>
      <c r="F1150" s="13" t="s">
        <v>29</v>
      </c>
      <c r="G1150" s="13" t="s">
        <v>85</v>
      </c>
      <c r="H1150" s="13" t="s">
        <v>1031</v>
      </c>
      <c r="I1150" s="27" t="s">
        <v>4185</v>
      </c>
      <c r="J1150" s="27" t="s">
        <v>33</v>
      </c>
      <c r="K1150" s="27" t="s">
        <v>34</v>
      </c>
      <c r="L1150" s="27" t="s">
        <v>35</v>
      </c>
      <c r="M1150" s="27" t="s">
        <v>36</v>
      </c>
      <c r="N1150" s="17">
        <f t="shared" si="80"/>
        <v>45520</v>
      </c>
      <c r="O1150" s="13" t="s">
        <v>34</v>
      </c>
      <c r="P1150" s="13" t="s">
        <v>1060</v>
      </c>
      <c r="Q1150" s="13" t="s">
        <v>38</v>
      </c>
      <c r="R1150" s="13" t="s">
        <v>4186</v>
      </c>
      <c r="S1150" s="13" t="s">
        <v>87</v>
      </c>
      <c r="T1150" s="28">
        <v>25.4</v>
      </c>
      <c r="U1150" s="13" t="s">
        <v>28</v>
      </c>
      <c r="V1150" s="13" t="s">
        <v>53</v>
      </c>
      <c r="W1150" s="13" t="s">
        <v>85</v>
      </c>
      <c r="X1150" s="17">
        <f>DATE(2024,11,16)</f>
        <v>45612</v>
      </c>
      <c r="Y1150" s="3"/>
    </row>
    <row r="1151" spans="1:25" ht="45" customHeight="1">
      <c r="A1151" s="3">
        <v>1149</v>
      </c>
      <c r="B1151" s="13" t="s">
        <v>4187</v>
      </c>
      <c r="C1151" s="13" t="s">
        <v>26</v>
      </c>
      <c r="D1151" s="13" t="s">
        <v>4188</v>
      </c>
      <c r="E1151" s="13" t="s">
        <v>28</v>
      </c>
      <c r="F1151" s="13" t="s">
        <v>417</v>
      </c>
      <c r="G1151" s="13" t="s">
        <v>756</v>
      </c>
      <c r="H1151" s="13" t="s">
        <v>419</v>
      </c>
      <c r="I1151" s="27" t="s">
        <v>4189</v>
      </c>
      <c r="J1151" s="27" t="s">
        <v>33</v>
      </c>
      <c r="K1151" s="27" t="s">
        <v>34</v>
      </c>
      <c r="L1151" s="27" t="s">
        <v>35</v>
      </c>
      <c r="M1151" s="27" t="s">
        <v>36</v>
      </c>
      <c r="N1151" s="17">
        <f t="shared" si="80"/>
        <v>45520</v>
      </c>
      <c r="O1151" s="13" t="s">
        <v>34</v>
      </c>
      <c r="P1151" s="13" t="s">
        <v>693</v>
      </c>
      <c r="Q1151" s="13" t="s">
        <v>38</v>
      </c>
      <c r="R1151" s="13" t="s">
        <v>4190</v>
      </c>
      <c r="S1151" s="13" t="s">
        <v>423</v>
      </c>
      <c r="T1151" s="28">
        <v>24.41</v>
      </c>
      <c r="U1151" s="13" t="s">
        <v>28</v>
      </c>
      <c r="V1151" s="13" t="s">
        <v>799</v>
      </c>
      <c r="W1151" s="13" t="s">
        <v>759</v>
      </c>
      <c r="X1151" s="17">
        <f>DATE(2024,11,16)</f>
        <v>45612</v>
      </c>
      <c r="Y1151" s="3"/>
    </row>
    <row r="1152" spans="1:25" ht="45" customHeight="1">
      <c r="A1152" s="3">
        <v>1150</v>
      </c>
      <c r="B1152" s="13" t="s">
        <v>4191</v>
      </c>
      <c r="C1152" s="13" t="s">
        <v>26</v>
      </c>
      <c r="D1152" s="13" t="s">
        <v>4192</v>
      </c>
      <c r="E1152" s="13" t="s">
        <v>28</v>
      </c>
      <c r="F1152" s="13" t="s">
        <v>29</v>
      </c>
      <c r="G1152" s="13" t="s">
        <v>79</v>
      </c>
      <c r="H1152" s="13" t="s">
        <v>1031</v>
      </c>
      <c r="I1152" s="27" t="s">
        <v>4193</v>
      </c>
      <c r="J1152" s="27" t="s">
        <v>33</v>
      </c>
      <c r="K1152" s="27" t="s">
        <v>34</v>
      </c>
      <c r="L1152" s="27" t="s">
        <v>35</v>
      </c>
      <c r="M1152" s="27" t="s">
        <v>36</v>
      </c>
      <c r="N1152" s="17">
        <f t="shared" si="80"/>
        <v>45520</v>
      </c>
      <c r="O1152" s="13" t="s">
        <v>34</v>
      </c>
      <c r="P1152" s="13" t="s">
        <v>263</v>
      </c>
      <c r="Q1152" s="13" t="s">
        <v>38</v>
      </c>
      <c r="R1152" s="13" t="s">
        <v>4194</v>
      </c>
      <c r="S1152" s="13" t="s">
        <v>81</v>
      </c>
      <c r="T1152" s="28">
        <v>20.86</v>
      </c>
      <c r="U1152" s="13" t="s">
        <v>28</v>
      </c>
      <c r="V1152" s="13" t="s">
        <v>53</v>
      </c>
      <c r="W1152" s="13" t="s">
        <v>79</v>
      </c>
      <c r="X1152" s="17">
        <f>DATE(2024,11,16)</f>
        <v>45612</v>
      </c>
      <c r="Y1152" s="3"/>
    </row>
    <row r="1153" spans="1:25" ht="45" customHeight="1">
      <c r="A1153" s="3">
        <v>1151</v>
      </c>
      <c r="B1153" s="13" t="s">
        <v>4195</v>
      </c>
      <c r="C1153" s="13" t="s">
        <v>26</v>
      </c>
      <c r="D1153" s="13" t="s">
        <v>4196</v>
      </c>
      <c r="E1153" s="13" t="s">
        <v>28</v>
      </c>
      <c r="F1153" s="13" t="s">
        <v>29</v>
      </c>
      <c r="G1153" s="13" t="s">
        <v>680</v>
      </c>
      <c r="H1153" s="13" t="s">
        <v>1031</v>
      </c>
      <c r="I1153" s="27" t="s">
        <v>4197</v>
      </c>
      <c r="J1153" s="27" t="s">
        <v>33</v>
      </c>
      <c r="K1153" s="27" t="s">
        <v>34</v>
      </c>
      <c r="L1153" s="27" t="s">
        <v>35</v>
      </c>
      <c r="M1153" s="27" t="s">
        <v>36</v>
      </c>
      <c r="N1153" s="17">
        <f t="shared" si="80"/>
        <v>45520</v>
      </c>
      <c r="O1153" s="13" t="s">
        <v>34</v>
      </c>
      <c r="P1153" s="13" t="s">
        <v>50</v>
      </c>
      <c r="Q1153" s="13" t="s">
        <v>38</v>
      </c>
      <c r="R1153" s="13" t="s">
        <v>4198</v>
      </c>
      <c r="S1153" s="13" t="s">
        <v>52</v>
      </c>
      <c r="T1153" s="28">
        <v>23</v>
      </c>
      <c r="U1153" s="13" t="s">
        <v>28</v>
      </c>
      <c r="V1153" s="13" t="s">
        <v>53</v>
      </c>
      <c r="W1153" s="13" t="s">
        <v>683</v>
      </c>
      <c r="X1153" s="17">
        <f>DATE(2024,11,16)</f>
        <v>45612</v>
      </c>
      <c r="Y1153" s="3"/>
    </row>
    <row r="1154" spans="1:25" ht="45" customHeight="1">
      <c r="A1154" s="3">
        <v>1152</v>
      </c>
      <c r="B1154" s="13" t="s">
        <v>4199</v>
      </c>
      <c r="C1154" s="13" t="s">
        <v>26</v>
      </c>
      <c r="D1154" s="13" t="s">
        <v>4200</v>
      </c>
      <c r="E1154" s="13" t="s">
        <v>28</v>
      </c>
      <c r="F1154" s="13" t="s">
        <v>417</v>
      </c>
      <c r="G1154" s="13" t="s">
        <v>756</v>
      </c>
      <c r="H1154" s="13" t="s">
        <v>419</v>
      </c>
      <c r="I1154" s="27" t="s">
        <v>4201</v>
      </c>
      <c r="J1154" s="27" t="s">
        <v>33</v>
      </c>
      <c r="K1154" s="27" t="s">
        <v>34</v>
      </c>
      <c r="L1154" s="27" t="s">
        <v>35</v>
      </c>
      <c r="M1154" s="27" t="s">
        <v>36</v>
      </c>
      <c r="N1154" s="17">
        <f t="shared" si="80"/>
        <v>45520</v>
      </c>
      <c r="O1154" s="13" t="s">
        <v>34</v>
      </c>
      <c r="P1154" s="13" t="s">
        <v>693</v>
      </c>
      <c r="Q1154" s="13" t="s">
        <v>38</v>
      </c>
      <c r="R1154" s="13" t="s">
        <v>4202</v>
      </c>
      <c r="S1154" s="13" t="s">
        <v>423</v>
      </c>
      <c r="T1154" s="28">
        <v>23.7</v>
      </c>
      <c r="U1154" s="13" t="s">
        <v>28</v>
      </c>
      <c r="V1154" s="13" t="s">
        <v>146</v>
      </c>
      <c r="W1154" s="13" t="s">
        <v>759</v>
      </c>
      <c r="X1154" s="17">
        <f>DATE(2025,2,16)</f>
        <v>45704</v>
      </c>
      <c r="Y1154" s="3"/>
    </row>
    <row r="1155" spans="1:25" ht="45" customHeight="1">
      <c r="A1155" s="3">
        <v>1153</v>
      </c>
      <c r="B1155" s="13" t="s">
        <v>4203</v>
      </c>
      <c r="C1155" s="13" t="s">
        <v>26</v>
      </c>
      <c r="D1155" s="13" t="s">
        <v>4204</v>
      </c>
      <c r="E1155" s="13" t="s">
        <v>28</v>
      </c>
      <c r="F1155" s="13" t="s">
        <v>29</v>
      </c>
      <c r="G1155" s="13" t="s">
        <v>56</v>
      </c>
      <c r="H1155" s="13" t="s">
        <v>1031</v>
      </c>
      <c r="I1155" s="27" t="s">
        <v>4205</v>
      </c>
      <c r="J1155" s="27" t="s">
        <v>33</v>
      </c>
      <c r="K1155" s="27" t="s">
        <v>34</v>
      </c>
      <c r="L1155" s="27" t="s">
        <v>35</v>
      </c>
      <c r="M1155" s="27" t="s">
        <v>36</v>
      </c>
      <c r="N1155" s="17">
        <f t="shared" si="80"/>
        <v>45520</v>
      </c>
      <c r="O1155" s="13" t="s">
        <v>34</v>
      </c>
      <c r="P1155" s="13" t="s">
        <v>58</v>
      </c>
      <c r="Q1155" s="13" t="s">
        <v>38</v>
      </c>
      <c r="R1155" s="13" t="s">
        <v>4206</v>
      </c>
      <c r="S1155" s="13" t="s">
        <v>58</v>
      </c>
      <c r="T1155" s="28">
        <v>23.66</v>
      </c>
      <c r="U1155" s="13" t="s">
        <v>28</v>
      </c>
      <c r="V1155" s="13" t="s">
        <v>53</v>
      </c>
      <c r="W1155" s="13" t="s">
        <v>56</v>
      </c>
      <c r="X1155" s="17">
        <f>DATE(2024,11,16)</f>
        <v>45612</v>
      </c>
      <c r="Y1155" s="3"/>
    </row>
    <row r="1156" spans="1:25" ht="45" customHeight="1">
      <c r="A1156" s="3">
        <v>1154</v>
      </c>
      <c r="B1156" s="13" t="s">
        <v>4207</v>
      </c>
      <c r="C1156" s="13" t="s">
        <v>103</v>
      </c>
      <c r="D1156" s="13" t="s">
        <v>4208</v>
      </c>
      <c r="E1156" s="13" t="s">
        <v>28</v>
      </c>
      <c r="F1156" s="13" t="s">
        <v>29</v>
      </c>
      <c r="G1156" s="13" t="s">
        <v>1216</v>
      </c>
      <c r="H1156" s="13" t="s">
        <v>1031</v>
      </c>
      <c r="I1156" s="27" t="s">
        <v>4209</v>
      </c>
      <c r="J1156" s="27" t="s">
        <v>33</v>
      </c>
      <c r="K1156" s="27" t="s">
        <v>106</v>
      </c>
      <c r="L1156" s="27" t="s">
        <v>35</v>
      </c>
      <c r="M1156" s="27" t="s">
        <v>36</v>
      </c>
      <c r="N1156" s="17">
        <f t="shared" si="80"/>
        <v>45520</v>
      </c>
      <c r="O1156" s="13" t="s">
        <v>107</v>
      </c>
      <c r="P1156" s="13" t="s">
        <v>1231</v>
      </c>
      <c r="Q1156" s="13" t="s">
        <v>38</v>
      </c>
      <c r="R1156" s="13" t="s">
        <v>4210</v>
      </c>
      <c r="S1156" s="13" t="s">
        <v>1215</v>
      </c>
      <c r="T1156" s="28">
        <v>21.35</v>
      </c>
      <c r="U1156" s="13" t="s">
        <v>28</v>
      </c>
      <c r="V1156" s="13" t="s">
        <v>89</v>
      </c>
      <c r="W1156" s="13" t="s">
        <v>1219</v>
      </c>
      <c r="X1156" s="17">
        <f>DATE(2025,2,16)</f>
        <v>45704</v>
      </c>
      <c r="Y1156" s="3"/>
    </row>
    <row r="1157" spans="1:25" ht="45" customHeight="1">
      <c r="A1157" s="3">
        <v>1155</v>
      </c>
      <c r="B1157" s="13" t="s">
        <v>4211</v>
      </c>
      <c r="C1157" s="13" t="s">
        <v>103</v>
      </c>
      <c r="D1157" s="13" t="s">
        <v>4212</v>
      </c>
      <c r="E1157" s="13" t="s">
        <v>28</v>
      </c>
      <c r="F1157" s="13" t="s">
        <v>29</v>
      </c>
      <c r="G1157" s="13" t="s">
        <v>1216</v>
      </c>
      <c r="H1157" s="13" t="s">
        <v>1031</v>
      </c>
      <c r="I1157" s="27" t="s">
        <v>4213</v>
      </c>
      <c r="J1157" s="27" t="s">
        <v>33</v>
      </c>
      <c r="K1157" s="27" t="s">
        <v>106</v>
      </c>
      <c r="L1157" s="27" t="s">
        <v>35</v>
      </c>
      <c r="M1157" s="27" t="s">
        <v>36</v>
      </c>
      <c r="N1157" s="17">
        <f t="shared" si="80"/>
        <v>45520</v>
      </c>
      <c r="O1157" s="13" t="s">
        <v>34</v>
      </c>
      <c r="P1157" s="13" t="s">
        <v>1231</v>
      </c>
      <c r="Q1157" s="13" t="s">
        <v>38</v>
      </c>
      <c r="R1157" s="13" t="s">
        <v>4214</v>
      </c>
      <c r="S1157" s="13" t="s">
        <v>1215</v>
      </c>
      <c r="T1157" s="28">
        <v>34.520000000000003</v>
      </c>
      <c r="U1157" s="13" t="s">
        <v>28</v>
      </c>
      <c r="V1157" s="13" t="s">
        <v>89</v>
      </c>
      <c r="W1157" s="13" t="s">
        <v>1219</v>
      </c>
      <c r="X1157" s="17">
        <f>DATE(2024,11,16)</f>
        <v>45612</v>
      </c>
      <c r="Y1157" s="3"/>
    </row>
    <row r="1158" spans="1:25" ht="45" customHeight="1">
      <c r="A1158" s="3">
        <v>1156</v>
      </c>
      <c r="B1158" s="13" t="s">
        <v>4215</v>
      </c>
      <c r="C1158" s="13" t="s">
        <v>26</v>
      </c>
      <c r="D1158" s="13" t="s">
        <v>4216</v>
      </c>
      <c r="E1158" s="13" t="s">
        <v>28</v>
      </c>
      <c r="F1158" s="13" t="s">
        <v>29</v>
      </c>
      <c r="G1158" s="13" t="s">
        <v>72</v>
      </c>
      <c r="H1158" s="13" t="s">
        <v>31</v>
      </c>
      <c r="I1158" s="27" t="s">
        <v>4217</v>
      </c>
      <c r="J1158" s="27" t="s">
        <v>33</v>
      </c>
      <c r="K1158" s="27" t="s">
        <v>34</v>
      </c>
      <c r="L1158" s="27" t="s">
        <v>35</v>
      </c>
      <c r="M1158" s="27" t="s">
        <v>36</v>
      </c>
      <c r="N1158" s="17">
        <f t="shared" si="80"/>
        <v>45520</v>
      </c>
      <c r="O1158" s="13" t="s">
        <v>34</v>
      </c>
      <c r="P1158" s="13" t="s">
        <v>74</v>
      </c>
      <c r="Q1158" s="13" t="s">
        <v>38</v>
      </c>
      <c r="R1158" s="13" t="s">
        <v>4218</v>
      </c>
      <c r="S1158" s="13" t="s">
        <v>74</v>
      </c>
      <c r="T1158" s="28">
        <v>22.55</v>
      </c>
      <c r="U1158" s="13" t="s">
        <v>28</v>
      </c>
      <c r="V1158" s="13" t="s">
        <v>40</v>
      </c>
      <c r="W1158" s="13" t="s">
        <v>72</v>
      </c>
      <c r="X1158" s="17">
        <f>DATE(2024,11,16)</f>
        <v>45612</v>
      </c>
      <c r="Y1158" s="3"/>
    </row>
    <row r="1159" spans="1:25" ht="45" customHeight="1">
      <c r="A1159" s="3">
        <v>1157</v>
      </c>
      <c r="B1159" s="13" t="s">
        <v>4219</v>
      </c>
      <c r="C1159" s="13" t="s">
        <v>26</v>
      </c>
      <c r="D1159" s="13" t="s">
        <v>4220</v>
      </c>
      <c r="E1159" s="13" t="s">
        <v>28</v>
      </c>
      <c r="F1159" s="13" t="s">
        <v>29</v>
      </c>
      <c r="G1159" s="13" t="s">
        <v>680</v>
      </c>
      <c r="H1159" s="13" t="s">
        <v>1031</v>
      </c>
      <c r="I1159" s="27" t="s">
        <v>4221</v>
      </c>
      <c r="J1159" s="27" t="s">
        <v>33</v>
      </c>
      <c r="K1159" s="27" t="s">
        <v>34</v>
      </c>
      <c r="L1159" s="27" t="s">
        <v>35</v>
      </c>
      <c r="M1159" s="27" t="s">
        <v>36</v>
      </c>
      <c r="N1159" s="17">
        <f t="shared" si="80"/>
        <v>45520</v>
      </c>
      <c r="O1159" s="13" t="s">
        <v>34</v>
      </c>
      <c r="P1159" s="13" t="s">
        <v>182</v>
      </c>
      <c r="Q1159" s="13" t="s">
        <v>38</v>
      </c>
      <c r="R1159" s="13" t="s">
        <v>4222</v>
      </c>
      <c r="S1159" s="13" t="s">
        <v>52</v>
      </c>
      <c r="T1159" s="28">
        <v>29.09</v>
      </c>
      <c r="U1159" s="13" t="s">
        <v>28</v>
      </c>
      <c r="V1159" s="13" t="s">
        <v>89</v>
      </c>
      <c r="W1159" s="13" t="s">
        <v>683</v>
      </c>
      <c r="X1159" s="17">
        <f>DATE(2025,2,16)</f>
        <v>45704</v>
      </c>
      <c r="Y1159" s="3"/>
    </row>
    <row r="1160" spans="1:25" ht="45" customHeight="1">
      <c r="A1160" s="3">
        <v>1158</v>
      </c>
      <c r="B1160" s="13" t="s">
        <v>4223</v>
      </c>
      <c r="C1160" s="13" t="s">
        <v>26</v>
      </c>
      <c r="D1160" s="13" t="s">
        <v>4224</v>
      </c>
      <c r="E1160" s="13" t="s">
        <v>28</v>
      </c>
      <c r="F1160" s="13" t="s">
        <v>29</v>
      </c>
      <c r="G1160" s="13" t="s">
        <v>123</v>
      </c>
      <c r="H1160" s="13" t="s">
        <v>1031</v>
      </c>
      <c r="I1160" s="27" t="s">
        <v>4225</v>
      </c>
      <c r="J1160" s="27" t="s">
        <v>33</v>
      </c>
      <c r="K1160" s="27" t="s">
        <v>34</v>
      </c>
      <c r="L1160" s="27" t="s">
        <v>35</v>
      </c>
      <c r="M1160" s="27" t="s">
        <v>36</v>
      </c>
      <c r="N1160" s="17">
        <f t="shared" si="80"/>
        <v>45520</v>
      </c>
      <c r="O1160" s="13" t="s">
        <v>34</v>
      </c>
      <c r="P1160" s="13" t="s">
        <v>125</v>
      </c>
      <c r="Q1160" s="13" t="s">
        <v>38</v>
      </c>
      <c r="R1160" s="13" t="s">
        <v>4226</v>
      </c>
      <c r="S1160" s="13" t="s">
        <v>127</v>
      </c>
      <c r="T1160" s="28">
        <v>32.909999999999997</v>
      </c>
      <c r="U1160" s="13" t="s">
        <v>28</v>
      </c>
      <c r="V1160" s="13" t="s">
        <v>89</v>
      </c>
      <c r="W1160" s="13" t="s">
        <v>128</v>
      </c>
      <c r="X1160" s="17">
        <f>DATE(2025,2,16)</f>
        <v>45704</v>
      </c>
      <c r="Y1160" s="3"/>
    </row>
    <row r="1161" spans="1:25" ht="45" customHeight="1">
      <c r="A1161" s="3">
        <v>1159</v>
      </c>
      <c r="B1161" s="13" t="s">
        <v>4227</v>
      </c>
      <c r="C1161" s="13" t="s">
        <v>26</v>
      </c>
      <c r="D1161" s="13" t="s">
        <v>4228</v>
      </c>
      <c r="E1161" s="13" t="s">
        <v>28</v>
      </c>
      <c r="F1161" s="13" t="s">
        <v>491</v>
      </c>
      <c r="G1161" s="13" t="s">
        <v>1042</v>
      </c>
      <c r="H1161" s="13" t="s">
        <v>406</v>
      </c>
      <c r="I1161" s="27" t="s">
        <v>4229</v>
      </c>
      <c r="J1161" s="27" t="s">
        <v>33</v>
      </c>
      <c r="K1161" s="27" t="s">
        <v>34</v>
      </c>
      <c r="L1161" s="27" t="s">
        <v>35</v>
      </c>
      <c r="M1161" s="27" t="s">
        <v>36</v>
      </c>
      <c r="N1161" s="17">
        <f t="shared" si="80"/>
        <v>45520</v>
      </c>
      <c r="O1161" s="13" t="s">
        <v>34</v>
      </c>
      <c r="P1161" s="13" t="s">
        <v>717</v>
      </c>
      <c r="Q1161" s="13" t="s">
        <v>38</v>
      </c>
      <c r="R1161" s="13" t="s">
        <v>4230</v>
      </c>
      <c r="S1161" s="13" t="s">
        <v>496</v>
      </c>
      <c r="T1161" s="28">
        <v>24.16</v>
      </c>
      <c r="U1161" s="13" t="s">
        <v>28</v>
      </c>
      <c r="V1161" s="13" t="s">
        <v>89</v>
      </c>
      <c r="W1161" s="13" t="s">
        <v>1042</v>
      </c>
      <c r="X1161" s="17">
        <f>DATE(2024,11,16)</f>
        <v>45612</v>
      </c>
      <c r="Y1161" s="3"/>
    </row>
    <row r="1162" spans="1:25" ht="45" customHeight="1">
      <c r="A1162" s="3">
        <v>1160</v>
      </c>
      <c r="B1162" s="13" t="s">
        <v>4231</v>
      </c>
      <c r="C1162" s="13" t="s">
        <v>26</v>
      </c>
      <c r="D1162" s="13" t="s">
        <v>4232</v>
      </c>
      <c r="E1162" s="13" t="s">
        <v>28</v>
      </c>
      <c r="F1162" s="13" t="s">
        <v>29</v>
      </c>
      <c r="G1162" s="13" t="s">
        <v>72</v>
      </c>
      <c r="H1162" s="13" t="s">
        <v>1031</v>
      </c>
      <c r="I1162" s="27" t="s">
        <v>4233</v>
      </c>
      <c r="J1162" s="27" t="s">
        <v>33</v>
      </c>
      <c r="K1162" s="27" t="s">
        <v>34</v>
      </c>
      <c r="L1162" s="27" t="s">
        <v>35</v>
      </c>
      <c r="M1162" s="27" t="s">
        <v>36</v>
      </c>
      <c r="N1162" s="17">
        <f t="shared" si="80"/>
        <v>45520</v>
      </c>
      <c r="O1162" s="13" t="s">
        <v>34</v>
      </c>
      <c r="P1162" s="13" t="s">
        <v>1149</v>
      </c>
      <c r="Q1162" s="13" t="s">
        <v>38</v>
      </c>
      <c r="R1162" s="13" t="s">
        <v>4234</v>
      </c>
      <c r="S1162" s="13" t="s">
        <v>74</v>
      </c>
      <c r="T1162" s="28">
        <v>24.18</v>
      </c>
      <c r="U1162" s="13" t="s">
        <v>28</v>
      </c>
      <c r="V1162" s="13" t="s">
        <v>146</v>
      </c>
      <c r="W1162" s="13" t="s">
        <v>72</v>
      </c>
      <c r="X1162" s="17">
        <f>DATE(2024,11,16)</f>
        <v>45612</v>
      </c>
      <c r="Y1162" s="3"/>
    </row>
    <row r="1163" spans="1:25" ht="45" customHeight="1">
      <c r="A1163" s="3">
        <v>1161</v>
      </c>
      <c r="B1163" s="13" t="s">
        <v>4235</v>
      </c>
      <c r="C1163" s="13" t="s">
        <v>103</v>
      </c>
      <c r="D1163" s="13" t="s">
        <v>4236</v>
      </c>
      <c r="E1163" s="13" t="s">
        <v>28</v>
      </c>
      <c r="F1163" s="13" t="s">
        <v>417</v>
      </c>
      <c r="G1163" s="13" t="s">
        <v>674</v>
      </c>
      <c r="H1163" s="13" t="s">
        <v>419</v>
      </c>
      <c r="I1163" s="27" t="s">
        <v>4237</v>
      </c>
      <c r="J1163" s="27" t="s">
        <v>33</v>
      </c>
      <c r="K1163" s="27" t="s">
        <v>106</v>
      </c>
      <c r="L1163" s="27" t="s">
        <v>35</v>
      </c>
      <c r="M1163" s="27" t="s">
        <v>36</v>
      </c>
      <c r="N1163" s="17">
        <f t="shared" si="80"/>
        <v>45520</v>
      </c>
      <c r="O1163" s="13" t="s">
        <v>34</v>
      </c>
      <c r="P1163" s="13" t="s">
        <v>676</v>
      </c>
      <c r="Q1163" s="13" t="s">
        <v>38</v>
      </c>
      <c r="R1163" s="13" t="s">
        <v>4238</v>
      </c>
      <c r="S1163" s="13" t="s">
        <v>423</v>
      </c>
      <c r="T1163" s="28">
        <v>24.75</v>
      </c>
      <c r="U1163" s="13" t="s">
        <v>28</v>
      </c>
      <c r="V1163" s="13" t="s">
        <v>53</v>
      </c>
      <c r="W1163" s="13" t="s">
        <v>678</v>
      </c>
      <c r="X1163" s="17">
        <f>DATE(2024,11,16)</f>
        <v>45612</v>
      </c>
      <c r="Y1163" s="3"/>
    </row>
    <row r="1164" spans="1:25" s="3" customFormat="1" ht="45" customHeight="1">
      <c r="A1164" s="3">
        <v>1162</v>
      </c>
      <c r="B1164" s="13" t="s">
        <v>4239</v>
      </c>
      <c r="C1164" s="13" t="s">
        <v>26</v>
      </c>
      <c r="D1164" s="13" t="s">
        <v>4240</v>
      </c>
      <c r="E1164" s="13" t="s">
        <v>28</v>
      </c>
      <c r="F1164" s="13" t="s">
        <v>491</v>
      </c>
      <c r="G1164" s="13" t="s">
        <v>978</v>
      </c>
      <c r="H1164" s="13" t="s">
        <v>406</v>
      </c>
      <c r="I1164" s="27" t="s">
        <v>4241</v>
      </c>
      <c r="J1164" s="27" t="s">
        <v>33</v>
      </c>
      <c r="K1164" s="27" t="s">
        <v>34</v>
      </c>
      <c r="L1164" s="27" t="s">
        <v>35</v>
      </c>
      <c r="M1164" s="27" t="s">
        <v>36</v>
      </c>
      <c r="N1164" s="17">
        <f t="shared" si="80"/>
        <v>45520</v>
      </c>
      <c r="O1164" s="13" t="s">
        <v>34</v>
      </c>
      <c r="P1164" s="13" t="s">
        <v>596</v>
      </c>
      <c r="Q1164" s="13" t="s">
        <v>38</v>
      </c>
      <c r="R1164" s="13" t="s">
        <v>4242</v>
      </c>
      <c r="S1164" s="13" t="s">
        <v>496</v>
      </c>
      <c r="T1164" s="28">
        <v>21.92</v>
      </c>
      <c r="U1164" s="13" t="s">
        <v>28</v>
      </c>
      <c r="V1164" s="13" t="s">
        <v>89</v>
      </c>
      <c r="W1164" s="13" t="s">
        <v>981</v>
      </c>
      <c r="X1164" s="17">
        <f>DATE(2024,11,16)</f>
        <v>45612</v>
      </c>
    </row>
    <row r="1165" spans="1:25" s="3" customFormat="1" ht="45" customHeight="1">
      <c r="A1165" s="3">
        <v>1163</v>
      </c>
      <c r="B1165" s="13" t="s">
        <v>4243</v>
      </c>
      <c r="C1165" s="13" t="s">
        <v>103</v>
      </c>
      <c r="D1165" s="13" t="s">
        <v>4244</v>
      </c>
      <c r="E1165" s="13" t="s">
        <v>461</v>
      </c>
      <c r="F1165" s="13" t="s">
        <v>1756</v>
      </c>
      <c r="G1165" s="13" t="s">
        <v>1757</v>
      </c>
      <c r="H1165" s="13" t="s">
        <v>1757</v>
      </c>
      <c r="I1165" s="27" t="s">
        <v>4245</v>
      </c>
      <c r="J1165" s="27" t="s">
        <v>33</v>
      </c>
      <c r="K1165" s="27" t="s">
        <v>106</v>
      </c>
      <c r="L1165" s="27" t="s">
        <v>35</v>
      </c>
      <c r="M1165" s="27" t="s">
        <v>36</v>
      </c>
      <c r="N1165" s="17">
        <f>DATE(2024,9,9)</f>
        <v>45544</v>
      </c>
      <c r="O1165" s="13" t="s">
        <v>107</v>
      </c>
      <c r="P1165" s="13" t="s">
        <v>1759</v>
      </c>
      <c r="Q1165" s="13" t="s">
        <v>465</v>
      </c>
      <c r="R1165" s="13" t="s">
        <v>4246</v>
      </c>
      <c r="S1165" s="13" t="s">
        <v>1759</v>
      </c>
      <c r="T1165" s="28">
        <v>43.62</v>
      </c>
      <c r="U1165" s="13" t="s">
        <v>461</v>
      </c>
      <c r="V1165" s="13" t="s">
        <v>413</v>
      </c>
      <c r="W1165" s="13" t="s">
        <v>1757</v>
      </c>
      <c r="X1165" s="17">
        <f>DATE(2024,11,22)</f>
        <v>45618</v>
      </c>
    </row>
    <row r="1166" spans="1:25" s="3" customFormat="1" ht="45" customHeight="1">
      <c r="A1166" s="3">
        <v>1164</v>
      </c>
      <c r="B1166" s="13" t="s">
        <v>4247</v>
      </c>
      <c r="C1166" s="13" t="s">
        <v>26</v>
      </c>
      <c r="D1166" s="13" t="s">
        <v>4248</v>
      </c>
      <c r="E1166" s="13" t="s">
        <v>765</v>
      </c>
      <c r="F1166" s="13" t="s">
        <v>706</v>
      </c>
      <c r="G1166" s="13" t="s">
        <v>707</v>
      </c>
      <c r="H1166" s="13" t="s">
        <v>706</v>
      </c>
      <c r="I1166" s="27" t="s">
        <v>4249</v>
      </c>
      <c r="J1166" s="27" t="s">
        <v>33</v>
      </c>
      <c r="K1166" s="27" t="s">
        <v>34</v>
      </c>
      <c r="L1166" s="27" t="s">
        <v>35</v>
      </c>
      <c r="M1166" s="27" t="s">
        <v>36</v>
      </c>
      <c r="N1166" s="17">
        <f>DATE(2024,9,9)</f>
        <v>45544</v>
      </c>
      <c r="O1166" s="13" t="s">
        <v>107</v>
      </c>
      <c r="P1166" s="13" t="s">
        <v>709</v>
      </c>
      <c r="Q1166" s="13" t="s">
        <v>670</v>
      </c>
      <c r="R1166" s="13" t="s">
        <v>4250</v>
      </c>
      <c r="S1166" s="13" t="s">
        <v>458</v>
      </c>
      <c r="T1166" s="28">
        <v>32.159999999999997</v>
      </c>
      <c r="U1166" s="13" t="s">
        <v>765</v>
      </c>
      <c r="V1166" s="13" t="s">
        <v>53</v>
      </c>
      <c r="W1166" s="13" t="s">
        <v>711</v>
      </c>
      <c r="X1166" s="17">
        <f>DATE(2024,12,6)</f>
        <v>45632</v>
      </c>
    </row>
    <row r="1167" spans="1:25" s="3" customFormat="1" ht="45" customHeight="1">
      <c r="A1167" s="3">
        <v>1165</v>
      </c>
      <c r="B1167" s="13" t="s">
        <v>4251</v>
      </c>
      <c r="C1167" s="13" t="s">
        <v>26</v>
      </c>
      <c r="D1167" s="13" t="s">
        <v>4252</v>
      </c>
      <c r="E1167" s="13" t="s">
        <v>427</v>
      </c>
      <c r="F1167" s="13" t="s">
        <v>744</v>
      </c>
      <c r="G1167" s="13" t="s">
        <v>38</v>
      </c>
      <c r="H1167" s="13" t="s">
        <v>744</v>
      </c>
      <c r="I1167" s="27" t="s">
        <v>4253</v>
      </c>
      <c r="J1167" s="27" t="s">
        <v>33</v>
      </c>
      <c r="K1167" s="27" t="s">
        <v>34</v>
      </c>
      <c r="L1167" s="27" t="s">
        <v>208</v>
      </c>
      <c r="M1167" s="27" t="s">
        <v>209</v>
      </c>
      <c r="N1167" s="17">
        <f>DATE(2024,9,17)</f>
        <v>45552</v>
      </c>
      <c r="O1167" s="13" t="s">
        <v>107</v>
      </c>
      <c r="P1167" s="13" t="s">
        <v>456</v>
      </c>
      <c r="Q1167" s="13" t="s">
        <v>431</v>
      </c>
      <c r="R1167" s="13" t="s">
        <v>4254</v>
      </c>
      <c r="S1167" s="13" t="s">
        <v>458</v>
      </c>
      <c r="T1167" s="28">
        <v>29.58</v>
      </c>
      <c r="U1167" s="13" t="s">
        <v>427</v>
      </c>
      <c r="V1167" s="13" t="s">
        <v>413</v>
      </c>
      <c r="W1167" s="13" t="s">
        <v>778</v>
      </c>
      <c r="X1167" s="17">
        <f>DATE(2024,11,29)</f>
        <v>45625</v>
      </c>
    </row>
    <row r="1168" spans="1:25" s="3" customFormat="1" ht="45" customHeight="1">
      <c r="A1168" s="3">
        <v>1166</v>
      </c>
      <c r="B1168" s="13" t="s">
        <v>4255</v>
      </c>
      <c r="C1168" s="13" t="s">
        <v>103</v>
      </c>
      <c r="D1168" s="13" t="s">
        <v>4256</v>
      </c>
      <c r="E1168" s="13" t="s">
        <v>28</v>
      </c>
      <c r="F1168" s="13" t="s">
        <v>491</v>
      </c>
      <c r="G1168" s="13" t="s">
        <v>1042</v>
      </c>
      <c r="H1168" s="13" t="s">
        <v>406</v>
      </c>
      <c r="I1168" s="27" t="s">
        <v>4257</v>
      </c>
      <c r="J1168" s="27" t="s">
        <v>33</v>
      </c>
      <c r="K1168" s="27" t="s">
        <v>106</v>
      </c>
      <c r="L1168" s="27" t="s">
        <v>35</v>
      </c>
      <c r="M1168" s="27" t="s">
        <v>36</v>
      </c>
      <c r="N1168" s="17">
        <f>DATE(2024,9,11)</f>
        <v>45546</v>
      </c>
      <c r="O1168" s="13" t="s">
        <v>107</v>
      </c>
      <c r="P1168" s="13" t="s">
        <v>717</v>
      </c>
      <c r="Q1168" s="13" t="s">
        <v>38</v>
      </c>
      <c r="R1168" s="13" t="s">
        <v>4258</v>
      </c>
      <c r="S1168" s="13" t="s">
        <v>496</v>
      </c>
      <c r="T1168" s="28">
        <v>29.48</v>
      </c>
      <c r="U1168" s="13" t="s">
        <v>28</v>
      </c>
      <c r="V1168" s="13" t="s">
        <v>53</v>
      </c>
      <c r="W1168" s="13" t="s">
        <v>1042</v>
      </c>
      <c r="X1168" s="17">
        <f>DATE(2024,12,11)</f>
        <v>45637</v>
      </c>
    </row>
    <row r="1169" spans="1:24" s="3" customFormat="1" ht="45" customHeight="1">
      <c r="A1169" s="3">
        <v>1167</v>
      </c>
      <c r="B1169" s="13" t="s">
        <v>4259</v>
      </c>
      <c r="C1169" s="13" t="s">
        <v>26</v>
      </c>
      <c r="D1169" s="13" t="s">
        <v>4260</v>
      </c>
      <c r="E1169" s="13" t="s">
        <v>28</v>
      </c>
      <c r="F1169" s="13" t="s">
        <v>29</v>
      </c>
      <c r="G1169" s="13" t="s">
        <v>79</v>
      </c>
      <c r="H1169" s="13" t="s">
        <v>1031</v>
      </c>
      <c r="I1169" s="27" t="s">
        <v>4261</v>
      </c>
      <c r="J1169" s="27" t="s">
        <v>33</v>
      </c>
      <c r="K1169" s="27" t="s">
        <v>34</v>
      </c>
      <c r="L1169" s="27" t="s">
        <v>35</v>
      </c>
      <c r="M1169" s="27" t="s">
        <v>36</v>
      </c>
      <c r="N1169" s="17">
        <f t="shared" ref="N1169:N1176" si="83">DATE(2024,9,17)</f>
        <v>45552</v>
      </c>
      <c r="O1169" s="13" t="s">
        <v>34</v>
      </c>
      <c r="P1169" s="13" t="s">
        <v>498</v>
      </c>
      <c r="Q1169" s="13" t="s">
        <v>38</v>
      </c>
      <c r="R1169" s="13" t="s">
        <v>4262</v>
      </c>
      <c r="S1169" s="13" t="s">
        <v>81</v>
      </c>
      <c r="T1169" s="28">
        <v>36.82</v>
      </c>
      <c r="U1169" s="13" t="s">
        <v>28</v>
      </c>
      <c r="V1169" s="13" t="s">
        <v>146</v>
      </c>
      <c r="W1169" s="13" t="s">
        <v>79</v>
      </c>
      <c r="X1169" s="17">
        <f>DATE(2024,12,17)</f>
        <v>45643</v>
      </c>
    </row>
    <row r="1170" spans="1:24" s="3" customFormat="1" ht="45" customHeight="1">
      <c r="A1170" s="3">
        <v>1168</v>
      </c>
      <c r="B1170" s="13" t="s">
        <v>4263</v>
      </c>
      <c r="C1170" s="13" t="s">
        <v>26</v>
      </c>
      <c r="D1170" s="13" t="s">
        <v>4264</v>
      </c>
      <c r="E1170" s="13" t="s">
        <v>28</v>
      </c>
      <c r="F1170" s="13" t="s">
        <v>29</v>
      </c>
      <c r="G1170" s="13" t="s">
        <v>537</v>
      </c>
      <c r="H1170" s="13" t="s">
        <v>1031</v>
      </c>
      <c r="I1170" s="27" t="s">
        <v>4265</v>
      </c>
      <c r="J1170" s="27" t="s">
        <v>33</v>
      </c>
      <c r="K1170" s="27" t="s">
        <v>34</v>
      </c>
      <c r="L1170" s="27" t="s">
        <v>35</v>
      </c>
      <c r="M1170" s="27" t="s">
        <v>36</v>
      </c>
      <c r="N1170" s="17">
        <f t="shared" si="83"/>
        <v>45552</v>
      </c>
      <c r="O1170" s="13" t="s">
        <v>34</v>
      </c>
      <c r="P1170" s="13" t="s">
        <v>64</v>
      </c>
      <c r="Q1170" s="13" t="s">
        <v>38</v>
      </c>
      <c r="R1170" s="13" t="s">
        <v>4266</v>
      </c>
      <c r="S1170" s="13" t="s">
        <v>64</v>
      </c>
      <c r="T1170" s="28">
        <v>27.5</v>
      </c>
      <c r="U1170" s="13" t="s">
        <v>28</v>
      </c>
      <c r="V1170" s="13" t="s">
        <v>146</v>
      </c>
      <c r="W1170" s="13" t="s">
        <v>537</v>
      </c>
      <c r="X1170" s="17">
        <f>DATE(2024,12,17)</f>
        <v>45643</v>
      </c>
    </row>
    <row r="1171" spans="1:24" s="3" customFormat="1" ht="45" customHeight="1">
      <c r="A1171" s="3">
        <v>1169</v>
      </c>
      <c r="B1171" s="13" t="s">
        <v>4267</v>
      </c>
      <c r="C1171" s="13" t="s">
        <v>26</v>
      </c>
      <c r="D1171" s="13" t="s">
        <v>4268</v>
      </c>
      <c r="E1171" s="13" t="s">
        <v>28</v>
      </c>
      <c r="F1171" s="13" t="s">
        <v>29</v>
      </c>
      <c r="G1171" s="13" t="s">
        <v>537</v>
      </c>
      <c r="H1171" s="13" t="s">
        <v>1031</v>
      </c>
      <c r="I1171" s="27" t="s">
        <v>4269</v>
      </c>
      <c r="J1171" s="27" t="s">
        <v>33</v>
      </c>
      <c r="K1171" s="27" t="s">
        <v>34</v>
      </c>
      <c r="L1171" s="27" t="s">
        <v>35</v>
      </c>
      <c r="M1171" s="27" t="s">
        <v>36</v>
      </c>
      <c r="N1171" s="17">
        <f t="shared" si="83"/>
        <v>45552</v>
      </c>
      <c r="O1171" s="13" t="s">
        <v>34</v>
      </c>
      <c r="P1171" s="13" t="s">
        <v>549</v>
      </c>
      <c r="Q1171" s="13" t="s">
        <v>38</v>
      </c>
      <c r="R1171" s="13" t="s">
        <v>4270</v>
      </c>
      <c r="S1171" s="13" t="s">
        <v>64</v>
      </c>
      <c r="T1171" s="28">
        <v>23.56</v>
      </c>
      <c r="U1171" s="13" t="s">
        <v>28</v>
      </c>
      <c r="V1171" s="13" t="s">
        <v>53</v>
      </c>
      <c r="W1171" s="13" t="s">
        <v>537</v>
      </c>
      <c r="X1171" s="17">
        <f>DATE(2024,12,17)</f>
        <v>45643</v>
      </c>
    </row>
    <row r="1172" spans="1:24" s="3" customFormat="1" ht="45" customHeight="1">
      <c r="A1172" s="3">
        <v>1170</v>
      </c>
      <c r="B1172" s="13" t="s">
        <v>4271</v>
      </c>
      <c r="C1172" s="13" t="s">
        <v>26</v>
      </c>
      <c r="D1172" s="13" t="s">
        <v>4272</v>
      </c>
      <c r="E1172" s="13" t="s">
        <v>28</v>
      </c>
      <c r="F1172" s="13" t="s">
        <v>29</v>
      </c>
      <c r="G1172" s="13" t="s">
        <v>537</v>
      </c>
      <c r="H1172" s="13" t="s">
        <v>1031</v>
      </c>
      <c r="I1172" s="27" t="s">
        <v>4273</v>
      </c>
      <c r="J1172" s="27" t="s">
        <v>33</v>
      </c>
      <c r="K1172" s="27" t="s">
        <v>34</v>
      </c>
      <c r="L1172" s="27" t="s">
        <v>35</v>
      </c>
      <c r="M1172" s="27" t="s">
        <v>36</v>
      </c>
      <c r="N1172" s="17">
        <f t="shared" si="83"/>
        <v>45552</v>
      </c>
      <c r="O1172" s="13" t="s">
        <v>34</v>
      </c>
      <c r="P1172" s="13" t="s">
        <v>64</v>
      </c>
      <c r="Q1172" s="13" t="s">
        <v>38</v>
      </c>
      <c r="R1172" s="13" t="s">
        <v>4274</v>
      </c>
      <c r="S1172" s="13" t="s">
        <v>64</v>
      </c>
      <c r="T1172" s="28">
        <v>21.95</v>
      </c>
      <c r="U1172" s="13" t="s">
        <v>28</v>
      </c>
      <c r="V1172" s="13" t="s">
        <v>89</v>
      </c>
      <c r="W1172" s="13" t="s">
        <v>537</v>
      </c>
      <c r="X1172" s="17">
        <f>DATE(2024,12,17)</f>
        <v>45643</v>
      </c>
    </row>
    <row r="1173" spans="1:24" s="3" customFormat="1" ht="45" customHeight="1">
      <c r="A1173" s="3">
        <v>1171</v>
      </c>
      <c r="B1173" s="13" t="s">
        <v>4275</v>
      </c>
      <c r="C1173" s="13" t="s">
        <v>26</v>
      </c>
      <c r="D1173" s="13" t="s">
        <v>4276</v>
      </c>
      <c r="E1173" s="13" t="s">
        <v>28</v>
      </c>
      <c r="F1173" s="13" t="s">
        <v>29</v>
      </c>
      <c r="G1173" s="13" t="s">
        <v>48</v>
      </c>
      <c r="H1173" s="13" t="s">
        <v>31</v>
      </c>
      <c r="I1173" s="27" t="s">
        <v>4277</v>
      </c>
      <c r="J1173" s="27" t="s">
        <v>33</v>
      </c>
      <c r="K1173" s="27" t="s">
        <v>34</v>
      </c>
      <c r="L1173" s="27" t="s">
        <v>35</v>
      </c>
      <c r="M1173" s="27" t="s">
        <v>36</v>
      </c>
      <c r="N1173" s="17">
        <f t="shared" si="83"/>
        <v>45552</v>
      </c>
      <c r="O1173" s="13" t="s">
        <v>34</v>
      </c>
      <c r="P1173" s="13" t="s">
        <v>182</v>
      </c>
      <c r="Q1173" s="13" t="s">
        <v>38</v>
      </c>
      <c r="R1173" s="13" t="s">
        <v>4278</v>
      </c>
      <c r="S1173" s="13" t="s">
        <v>52</v>
      </c>
      <c r="T1173" s="28">
        <v>44.92</v>
      </c>
      <c r="U1173" s="13" t="s">
        <v>28</v>
      </c>
      <c r="V1173" s="13" t="s">
        <v>89</v>
      </c>
      <c r="W1173" s="13" t="s">
        <v>48</v>
      </c>
      <c r="X1173" s="17">
        <f>DATE(2024,12,3)</f>
        <v>45629</v>
      </c>
    </row>
    <row r="1174" spans="1:24" s="3" customFormat="1" ht="45" customHeight="1">
      <c r="A1174" s="3">
        <v>1172</v>
      </c>
      <c r="B1174" s="13" t="s">
        <v>4279</v>
      </c>
      <c r="C1174" s="13" t="s">
        <v>103</v>
      </c>
      <c r="D1174" s="13" t="s">
        <v>4280</v>
      </c>
      <c r="E1174" s="13" t="s">
        <v>28</v>
      </c>
      <c r="F1174" s="13" t="s">
        <v>29</v>
      </c>
      <c r="G1174" s="13" t="s">
        <v>56</v>
      </c>
      <c r="H1174" s="13" t="s">
        <v>1031</v>
      </c>
      <c r="I1174" s="27" t="s">
        <v>4281</v>
      </c>
      <c r="J1174" s="27" t="s">
        <v>33</v>
      </c>
      <c r="K1174" s="27" t="s">
        <v>106</v>
      </c>
      <c r="L1174" s="27" t="s">
        <v>35</v>
      </c>
      <c r="M1174" s="27" t="s">
        <v>36</v>
      </c>
      <c r="N1174" s="17">
        <f t="shared" si="83"/>
        <v>45552</v>
      </c>
      <c r="O1174" s="13" t="s">
        <v>107</v>
      </c>
      <c r="P1174" s="13" t="s">
        <v>203</v>
      </c>
      <c r="Q1174" s="13" t="s">
        <v>38</v>
      </c>
      <c r="R1174" s="13" t="s">
        <v>4282</v>
      </c>
      <c r="S1174" s="13" t="s">
        <v>58</v>
      </c>
      <c r="T1174" s="28">
        <v>20.45</v>
      </c>
      <c r="U1174" s="13" t="s">
        <v>28</v>
      </c>
      <c r="V1174" s="13" t="s">
        <v>89</v>
      </c>
      <c r="W1174" s="13" t="s">
        <v>56</v>
      </c>
      <c r="X1174" s="17">
        <f>DATE(2024,12,17)</f>
        <v>45643</v>
      </c>
    </row>
    <row r="1175" spans="1:24" s="3" customFormat="1" ht="45" customHeight="1">
      <c r="A1175" s="3">
        <v>1173</v>
      </c>
      <c r="B1175" s="13" t="s">
        <v>4283</v>
      </c>
      <c r="C1175" s="13" t="s">
        <v>103</v>
      </c>
      <c r="D1175" s="13" t="s">
        <v>4284</v>
      </c>
      <c r="E1175" s="13" t="s">
        <v>28</v>
      </c>
      <c r="F1175" s="13" t="s">
        <v>29</v>
      </c>
      <c r="G1175" s="13" t="s">
        <v>56</v>
      </c>
      <c r="H1175" s="13" t="s">
        <v>1031</v>
      </c>
      <c r="I1175" s="27" t="s">
        <v>4285</v>
      </c>
      <c r="J1175" s="27" t="s">
        <v>33</v>
      </c>
      <c r="K1175" s="27" t="s">
        <v>106</v>
      </c>
      <c r="L1175" s="27" t="s">
        <v>35</v>
      </c>
      <c r="M1175" s="27" t="s">
        <v>36</v>
      </c>
      <c r="N1175" s="17">
        <f t="shared" si="83"/>
        <v>45552</v>
      </c>
      <c r="O1175" s="13" t="s">
        <v>34</v>
      </c>
      <c r="P1175" s="13" t="s">
        <v>1033</v>
      </c>
      <c r="Q1175" s="13" t="s">
        <v>38</v>
      </c>
      <c r="R1175" s="13" t="s">
        <v>4286</v>
      </c>
      <c r="S1175" s="13" t="s">
        <v>58</v>
      </c>
      <c r="T1175" s="28">
        <v>22.2</v>
      </c>
      <c r="U1175" s="13" t="s">
        <v>28</v>
      </c>
      <c r="V1175" s="13" t="s">
        <v>146</v>
      </c>
      <c r="W1175" s="13" t="s">
        <v>56</v>
      </c>
      <c r="X1175" s="17">
        <f>DATE(2024,12,17)</f>
        <v>45643</v>
      </c>
    </row>
    <row r="1176" spans="1:24" s="3" customFormat="1" ht="45" customHeight="1">
      <c r="A1176" s="3">
        <v>1174</v>
      </c>
      <c r="B1176" s="13" t="s">
        <v>4287</v>
      </c>
      <c r="C1176" s="13" t="s">
        <v>103</v>
      </c>
      <c r="D1176" s="13" t="s">
        <v>4288</v>
      </c>
      <c r="E1176" s="13" t="s">
        <v>28</v>
      </c>
      <c r="F1176" s="13" t="s">
        <v>29</v>
      </c>
      <c r="G1176" s="13" t="s">
        <v>72</v>
      </c>
      <c r="H1176" s="13" t="s">
        <v>1031</v>
      </c>
      <c r="I1176" s="27" t="s">
        <v>4289</v>
      </c>
      <c r="J1176" s="27" t="s">
        <v>33</v>
      </c>
      <c r="K1176" s="27" t="s">
        <v>106</v>
      </c>
      <c r="L1176" s="27" t="s">
        <v>35</v>
      </c>
      <c r="M1176" s="27" t="s">
        <v>36</v>
      </c>
      <c r="N1176" s="17">
        <f t="shared" si="83"/>
        <v>45552</v>
      </c>
      <c r="O1176" s="13" t="s">
        <v>107</v>
      </c>
      <c r="P1176" s="13" t="s">
        <v>1144</v>
      </c>
      <c r="Q1176" s="13" t="s">
        <v>38</v>
      </c>
      <c r="R1176" s="13" t="s">
        <v>4290</v>
      </c>
      <c r="S1176" s="13" t="s">
        <v>74</v>
      </c>
      <c r="T1176" s="28">
        <v>29.22</v>
      </c>
      <c r="U1176" s="13" t="s">
        <v>28</v>
      </c>
      <c r="V1176" s="13" t="s">
        <v>53</v>
      </c>
      <c r="W1176" s="13" t="s">
        <v>72</v>
      </c>
      <c r="X1176" s="17">
        <f>DATE(2024,11,26)</f>
        <v>45622</v>
      </c>
    </row>
    <row r="1177" spans="1:24" s="3" customFormat="1" ht="45" customHeight="1">
      <c r="A1177" s="3">
        <v>1175</v>
      </c>
      <c r="B1177" s="13" t="s">
        <v>4291</v>
      </c>
      <c r="C1177" s="13" t="s">
        <v>103</v>
      </c>
      <c r="D1177" s="13" t="s">
        <v>4292</v>
      </c>
      <c r="E1177" s="13" t="s">
        <v>28</v>
      </c>
      <c r="F1177" s="13" t="s">
        <v>29</v>
      </c>
      <c r="G1177" s="13" t="s">
        <v>56</v>
      </c>
      <c r="H1177" s="13" t="s">
        <v>1031</v>
      </c>
      <c r="I1177" s="27" t="s">
        <v>4293</v>
      </c>
      <c r="J1177" s="27" t="s">
        <v>33</v>
      </c>
      <c r="K1177" s="27" t="s">
        <v>106</v>
      </c>
      <c r="L1177" s="27" t="s">
        <v>35</v>
      </c>
      <c r="M1177" s="27" t="s">
        <v>36</v>
      </c>
      <c r="N1177" s="17">
        <f>DATE(2024,10,9)</f>
        <v>45574</v>
      </c>
      <c r="O1177" s="13" t="s">
        <v>107</v>
      </c>
      <c r="P1177" s="13" t="s">
        <v>58</v>
      </c>
      <c r="Q1177" s="13" t="s">
        <v>38</v>
      </c>
      <c r="R1177" s="13" t="s">
        <v>4294</v>
      </c>
      <c r="S1177" s="13" t="s">
        <v>58</v>
      </c>
      <c r="T1177" s="28">
        <v>31.46</v>
      </c>
      <c r="U1177" s="13" t="s">
        <v>28</v>
      </c>
      <c r="V1177" s="13" t="s">
        <v>53</v>
      </c>
      <c r="W1177" s="13" t="s">
        <v>56</v>
      </c>
      <c r="X1177" s="17">
        <f>DATE(2024,12,30)</f>
        <v>45656</v>
      </c>
    </row>
    <row r="1178" spans="1:24" s="3" customFormat="1" ht="45" customHeight="1">
      <c r="A1178" s="3">
        <v>1176</v>
      </c>
      <c r="B1178" s="13" t="s">
        <v>4295</v>
      </c>
      <c r="C1178" s="13" t="s">
        <v>26</v>
      </c>
      <c r="D1178" s="13" t="s">
        <v>4296</v>
      </c>
      <c r="E1178" s="13" t="s">
        <v>28</v>
      </c>
      <c r="F1178" s="13" t="s">
        <v>29</v>
      </c>
      <c r="G1178" s="13" t="s">
        <v>537</v>
      </c>
      <c r="H1178" s="13" t="s">
        <v>1031</v>
      </c>
      <c r="I1178" s="27" t="s">
        <v>4297</v>
      </c>
      <c r="J1178" s="27" t="s">
        <v>33</v>
      </c>
      <c r="K1178" s="27" t="s">
        <v>34</v>
      </c>
      <c r="L1178" s="27" t="s">
        <v>35</v>
      </c>
      <c r="M1178" s="27" t="s">
        <v>36</v>
      </c>
      <c r="N1178" s="17">
        <f>DATE(2024,10,9)</f>
        <v>45574</v>
      </c>
      <c r="O1178" s="13" t="s">
        <v>34</v>
      </c>
      <c r="P1178" s="13" t="s">
        <v>549</v>
      </c>
      <c r="Q1178" s="13" t="s">
        <v>38</v>
      </c>
      <c r="R1178" s="13" t="s">
        <v>4298</v>
      </c>
      <c r="S1178" s="13" t="s">
        <v>64</v>
      </c>
      <c r="T1178" s="28">
        <v>28.97</v>
      </c>
      <c r="U1178" s="13" t="s">
        <v>28</v>
      </c>
      <c r="V1178" s="13" t="s">
        <v>53</v>
      </c>
      <c r="W1178" s="13" t="s">
        <v>537</v>
      </c>
      <c r="X1178" s="17">
        <f>DATE(2025,1,9)</f>
        <v>45666</v>
      </c>
    </row>
    <row r="1179" spans="1:24" s="3" customFormat="1" ht="45" customHeight="1">
      <c r="A1179" s="3">
        <v>1177</v>
      </c>
      <c r="B1179" s="13" t="s">
        <v>4299</v>
      </c>
      <c r="C1179" s="13" t="s">
        <v>103</v>
      </c>
      <c r="D1179" s="13" t="s">
        <v>4300</v>
      </c>
      <c r="E1179" s="13" t="s">
        <v>28</v>
      </c>
      <c r="F1179" s="13" t="s">
        <v>29</v>
      </c>
      <c r="G1179" s="13" t="s">
        <v>72</v>
      </c>
      <c r="H1179" s="13" t="s">
        <v>1031</v>
      </c>
      <c r="I1179" s="27" t="s">
        <v>4301</v>
      </c>
      <c r="J1179" s="27" t="s">
        <v>33</v>
      </c>
      <c r="K1179" s="27" t="s">
        <v>106</v>
      </c>
      <c r="L1179" s="27" t="s">
        <v>35</v>
      </c>
      <c r="M1179" s="27" t="s">
        <v>36</v>
      </c>
      <c r="N1179" s="17">
        <f>DATE(2024,10,16)</f>
        <v>45581</v>
      </c>
      <c r="O1179" s="13" t="s">
        <v>107</v>
      </c>
      <c r="P1179" s="13" t="s">
        <v>1149</v>
      </c>
      <c r="Q1179" s="13" t="s">
        <v>38</v>
      </c>
      <c r="R1179" s="13" t="s">
        <v>4302</v>
      </c>
      <c r="S1179" s="13" t="s">
        <v>74</v>
      </c>
      <c r="T1179" s="28">
        <v>24.57</v>
      </c>
      <c r="U1179" s="13" t="s">
        <v>28</v>
      </c>
      <c r="V1179" s="13" t="s">
        <v>146</v>
      </c>
      <c r="W1179" s="13" t="s">
        <v>72</v>
      </c>
      <c r="X1179" s="17">
        <f>DATE(2024,12,31)</f>
        <v>45657</v>
      </c>
    </row>
    <row r="1180" spans="1:24" s="3" customFormat="1" ht="45" customHeight="1">
      <c r="A1180" s="3">
        <v>1178</v>
      </c>
      <c r="B1180" s="13" t="s">
        <v>4303</v>
      </c>
      <c r="C1180" s="13" t="s">
        <v>26</v>
      </c>
      <c r="D1180" s="13" t="s">
        <v>4304</v>
      </c>
      <c r="E1180" s="13" t="s">
        <v>28</v>
      </c>
      <c r="F1180" s="13" t="s">
        <v>29</v>
      </c>
      <c r="G1180" s="13" t="s">
        <v>123</v>
      </c>
      <c r="H1180" s="13" t="s">
        <v>1031</v>
      </c>
      <c r="I1180" s="27" t="s">
        <v>4305</v>
      </c>
      <c r="J1180" s="27" t="s">
        <v>33</v>
      </c>
      <c r="K1180" s="27" t="s">
        <v>34</v>
      </c>
      <c r="L1180" s="27" t="s">
        <v>35</v>
      </c>
      <c r="M1180" s="27" t="s">
        <v>36</v>
      </c>
      <c r="N1180" s="17">
        <f t="shared" ref="N1180:N1191" si="84">DATE(2024,10,9)</f>
        <v>45574</v>
      </c>
      <c r="O1180" s="13" t="s">
        <v>34</v>
      </c>
      <c r="P1180" s="13" t="s">
        <v>1199</v>
      </c>
      <c r="Q1180" s="13" t="s">
        <v>38</v>
      </c>
      <c r="R1180" s="13" t="s">
        <v>4306</v>
      </c>
      <c r="S1180" s="13" t="s">
        <v>127</v>
      </c>
      <c r="T1180" s="28">
        <v>21.19</v>
      </c>
      <c r="U1180" s="13" t="s">
        <v>28</v>
      </c>
      <c r="V1180" s="13" t="s">
        <v>53</v>
      </c>
      <c r="W1180" s="13" t="s">
        <v>128</v>
      </c>
      <c r="X1180" s="17">
        <f>DATE(2024,12,31)</f>
        <v>45657</v>
      </c>
    </row>
    <row r="1181" spans="1:24" s="3" customFormat="1" ht="45" customHeight="1">
      <c r="A1181" s="3">
        <v>1179</v>
      </c>
      <c r="B1181" s="13" t="s">
        <v>4307</v>
      </c>
      <c r="C1181" s="13" t="s">
        <v>26</v>
      </c>
      <c r="D1181" s="13" t="s">
        <v>4308</v>
      </c>
      <c r="E1181" s="13" t="s">
        <v>28</v>
      </c>
      <c r="F1181" s="13" t="s">
        <v>29</v>
      </c>
      <c r="G1181" s="13" t="s">
        <v>72</v>
      </c>
      <c r="H1181" s="13" t="s">
        <v>1031</v>
      </c>
      <c r="I1181" s="27" t="s">
        <v>4309</v>
      </c>
      <c r="J1181" s="27" t="s">
        <v>33</v>
      </c>
      <c r="K1181" s="27" t="s">
        <v>34</v>
      </c>
      <c r="L1181" s="27" t="s">
        <v>35</v>
      </c>
      <c r="M1181" s="27" t="s">
        <v>36</v>
      </c>
      <c r="N1181" s="17">
        <f t="shared" si="84"/>
        <v>45574</v>
      </c>
      <c r="O1181" s="13" t="s">
        <v>34</v>
      </c>
      <c r="P1181" s="13" t="s">
        <v>1144</v>
      </c>
      <c r="Q1181" s="13" t="s">
        <v>38</v>
      </c>
      <c r="R1181" s="13" t="s">
        <v>4310</v>
      </c>
      <c r="S1181" s="13" t="s">
        <v>74</v>
      </c>
      <c r="T1181" s="28">
        <v>25.26</v>
      </c>
      <c r="U1181" s="13" t="s">
        <v>28</v>
      </c>
      <c r="V1181" s="13" t="s">
        <v>53</v>
      </c>
      <c r="W1181" s="13" t="s">
        <v>72</v>
      </c>
      <c r="X1181" s="17">
        <f>DATE(2024,12,31)</f>
        <v>45657</v>
      </c>
    </row>
    <row r="1182" spans="1:24" ht="45" customHeight="1">
      <c r="A1182" s="3">
        <v>1180</v>
      </c>
      <c r="B1182" s="13" t="s">
        <v>4311</v>
      </c>
      <c r="C1182" s="13" t="s">
        <v>26</v>
      </c>
      <c r="D1182" s="13" t="s">
        <v>4312</v>
      </c>
      <c r="E1182" s="13" t="s">
        <v>28</v>
      </c>
      <c r="F1182" s="13" t="s">
        <v>29</v>
      </c>
      <c r="G1182" s="13" t="s">
        <v>56</v>
      </c>
      <c r="H1182" s="13" t="s">
        <v>1031</v>
      </c>
      <c r="I1182" s="27" t="s">
        <v>4313</v>
      </c>
      <c r="J1182" s="27" t="s">
        <v>33</v>
      </c>
      <c r="K1182" s="27" t="s">
        <v>34</v>
      </c>
      <c r="L1182" s="27" t="s">
        <v>35</v>
      </c>
      <c r="M1182" s="27" t="s">
        <v>36</v>
      </c>
      <c r="N1182" s="17">
        <f t="shared" si="84"/>
        <v>45574</v>
      </c>
      <c r="O1182" s="13" t="s">
        <v>34</v>
      </c>
      <c r="P1182" s="13" t="s">
        <v>58</v>
      </c>
      <c r="Q1182" s="13" t="s">
        <v>38</v>
      </c>
      <c r="R1182" s="13" t="s">
        <v>4314</v>
      </c>
      <c r="S1182" s="13" t="s">
        <v>58</v>
      </c>
      <c r="T1182" s="28">
        <v>27.82</v>
      </c>
      <c r="U1182" s="13" t="s">
        <v>28</v>
      </c>
      <c r="V1182" s="13" t="s">
        <v>53</v>
      </c>
      <c r="W1182" s="13" t="s">
        <v>56</v>
      </c>
      <c r="X1182" s="17">
        <f t="shared" ref="X1182:X1187" si="85">DATE(2024,12,30)</f>
        <v>45656</v>
      </c>
    </row>
    <row r="1183" spans="1:24" ht="45" customHeight="1">
      <c r="A1183" s="3">
        <v>1181</v>
      </c>
      <c r="B1183" s="13" t="s">
        <v>4315</v>
      </c>
      <c r="C1183" s="13" t="s">
        <v>26</v>
      </c>
      <c r="D1183" s="13" t="s">
        <v>4316</v>
      </c>
      <c r="E1183" s="13" t="s">
        <v>28</v>
      </c>
      <c r="F1183" s="13" t="s">
        <v>29</v>
      </c>
      <c r="G1183" s="13" t="s">
        <v>56</v>
      </c>
      <c r="H1183" s="13" t="s">
        <v>1031</v>
      </c>
      <c r="I1183" s="27" t="s">
        <v>4317</v>
      </c>
      <c r="J1183" s="27" t="s">
        <v>33</v>
      </c>
      <c r="K1183" s="27" t="s">
        <v>34</v>
      </c>
      <c r="L1183" s="27" t="s">
        <v>35</v>
      </c>
      <c r="M1183" s="27" t="s">
        <v>36</v>
      </c>
      <c r="N1183" s="17">
        <f t="shared" si="84"/>
        <v>45574</v>
      </c>
      <c r="O1183" s="13" t="s">
        <v>34</v>
      </c>
      <c r="P1183" s="13" t="s">
        <v>203</v>
      </c>
      <c r="Q1183" s="13" t="s">
        <v>38</v>
      </c>
      <c r="R1183" s="13" t="s">
        <v>4318</v>
      </c>
      <c r="S1183" s="13" t="s">
        <v>58</v>
      </c>
      <c r="T1183" s="28">
        <v>32.28</v>
      </c>
      <c r="U1183" s="13" t="s">
        <v>28</v>
      </c>
      <c r="V1183" s="13" t="s">
        <v>89</v>
      </c>
      <c r="W1183" s="13" t="s">
        <v>56</v>
      </c>
      <c r="X1183" s="17">
        <f t="shared" si="85"/>
        <v>45656</v>
      </c>
    </row>
    <row r="1184" spans="1:24" ht="45" customHeight="1">
      <c r="A1184" s="3">
        <v>1182</v>
      </c>
      <c r="B1184" s="13" t="s">
        <v>4319</v>
      </c>
      <c r="C1184" s="13" t="s">
        <v>26</v>
      </c>
      <c r="D1184" s="13" t="s">
        <v>4320</v>
      </c>
      <c r="E1184" s="13" t="s">
        <v>28</v>
      </c>
      <c r="F1184" s="13" t="s">
        <v>29</v>
      </c>
      <c r="G1184" s="13" t="s">
        <v>56</v>
      </c>
      <c r="H1184" s="13" t="s">
        <v>1031</v>
      </c>
      <c r="I1184" s="27" t="s">
        <v>4321</v>
      </c>
      <c r="J1184" s="27" t="s">
        <v>33</v>
      </c>
      <c r="K1184" s="27" t="s">
        <v>34</v>
      </c>
      <c r="L1184" s="27" t="s">
        <v>35</v>
      </c>
      <c r="M1184" s="27" t="s">
        <v>36</v>
      </c>
      <c r="N1184" s="17">
        <f t="shared" si="84"/>
        <v>45574</v>
      </c>
      <c r="O1184" s="13" t="s">
        <v>34</v>
      </c>
      <c r="P1184" s="13" t="s">
        <v>1033</v>
      </c>
      <c r="Q1184" s="13" t="s">
        <v>38</v>
      </c>
      <c r="R1184" s="13" t="s">
        <v>4322</v>
      </c>
      <c r="S1184" s="13" t="s">
        <v>58</v>
      </c>
      <c r="T1184" s="28">
        <v>23.6</v>
      </c>
      <c r="U1184" s="13" t="s">
        <v>28</v>
      </c>
      <c r="V1184" s="13" t="s">
        <v>146</v>
      </c>
      <c r="W1184" s="13" t="s">
        <v>56</v>
      </c>
      <c r="X1184" s="17">
        <f t="shared" si="85"/>
        <v>45656</v>
      </c>
    </row>
    <row r="1185" spans="1:24" ht="45" customHeight="1">
      <c r="A1185" s="3">
        <v>1183</v>
      </c>
      <c r="B1185" s="13" t="s">
        <v>4323</v>
      </c>
      <c r="C1185" s="13" t="s">
        <v>26</v>
      </c>
      <c r="D1185" s="13" t="s">
        <v>4324</v>
      </c>
      <c r="E1185" s="13" t="s">
        <v>28</v>
      </c>
      <c r="F1185" s="13" t="s">
        <v>29</v>
      </c>
      <c r="G1185" s="13" t="s">
        <v>30</v>
      </c>
      <c r="H1185" s="13" t="s">
        <v>31</v>
      </c>
      <c r="I1185" s="27" t="s">
        <v>4325</v>
      </c>
      <c r="J1185" s="27" t="s">
        <v>33</v>
      </c>
      <c r="K1185" s="27" t="s">
        <v>34</v>
      </c>
      <c r="L1185" s="27" t="s">
        <v>35</v>
      </c>
      <c r="M1185" s="27" t="s">
        <v>36</v>
      </c>
      <c r="N1185" s="17">
        <f t="shared" si="84"/>
        <v>45574</v>
      </c>
      <c r="O1185" s="13" t="s">
        <v>34</v>
      </c>
      <c r="P1185" s="13" t="s">
        <v>37</v>
      </c>
      <c r="Q1185" s="13" t="s">
        <v>38</v>
      </c>
      <c r="R1185" s="13" t="s">
        <v>4326</v>
      </c>
      <c r="S1185" s="13" t="s">
        <v>37</v>
      </c>
      <c r="T1185" s="28">
        <v>23</v>
      </c>
      <c r="U1185" s="13" t="s">
        <v>28</v>
      </c>
      <c r="V1185" s="13" t="s">
        <v>76</v>
      </c>
      <c r="W1185" s="13" t="s">
        <v>30</v>
      </c>
      <c r="X1185" s="17">
        <f t="shared" si="85"/>
        <v>45656</v>
      </c>
    </row>
    <row r="1186" spans="1:24" ht="45" customHeight="1">
      <c r="A1186" s="3">
        <v>1184</v>
      </c>
      <c r="B1186" s="13" t="s">
        <v>4327</v>
      </c>
      <c r="C1186" s="13" t="s">
        <v>26</v>
      </c>
      <c r="D1186" s="13" t="s">
        <v>4328</v>
      </c>
      <c r="E1186" s="13" t="s">
        <v>28</v>
      </c>
      <c r="F1186" s="13" t="s">
        <v>29</v>
      </c>
      <c r="G1186" s="13" t="s">
        <v>30</v>
      </c>
      <c r="H1186" s="13" t="s">
        <v>31</v>
      </c>
      <c r="I1186" s="27" t="s">
        <v>4329</v>
      </c>
      <c r="J1186" s="27" t="s">
        <v>33</v>
      </c>
      <c r="K1186" s="27" t="s">
        <v>34</v>
      </c>
      <c r="L1186" s="27" t="s">
        <v>35</v>
      </c>
      <c r="M1186" s="27" t="s">
        <v>36</v>
      </c>
      <c r="N1186" s="17">
        <f t="shared" si="84"/>
        <v>45574</v>
      </c>
      <c r="O1186" s="13" t="s">
        <v>34</v>
      </c>
      <c r="P1186" s="13" t="s">
        <v>37</v>
      </c>
      <c r="Q1186" s="13" t="s">
        <v>38</v>
      </c>
      <c r="R1186" s="13" t="s">
        <v>4330</v>
      </c>
      <c r="S1186" s="13" t="s">
        <v>37</v>
      </c>
      <c r="T1186" s="28">
        <v>20.84</v>
      </c>
      <c r="U1186" s="13" t="s">
        <v>28</v>
      </c>
      <c r="V1186" s="13" t="s">
        <v>40</v>
      </c>
      <c r="W1186" s="13" t="s">
        <v>30</v>
      </c>
      <c r="X1186" s="17">
        <f t="shared" si="85"/>
        <v>45656</v>
      </c>
    </row>
    <row r="1187" spans="1:24" ht="45" customHeight="1">
      <c r="A1187" s="3">
        <v>1185</v>
      </c>
      <c r="B1187" s="13" t="s">
        <v>4331</v>
      </c>
      <c r="C1187" s="13" t="s">
        <v>26</v>
      </c>
      <c r="D1187" s="13" t="s">
        <v>4332</v>
      </c>
      <c r="E1187" s="13" t="s">
        <v>28</v>
      </c>
      <c r="F1187" s="13" t="s">
        <v>29</v>
      </c>
      <c r="G1187" s="13" t="s">
        <v>30</v>
      </c>
      <c r="H1187" s="13" t="s">
        <v>31</v>
      </c>
      <c r="I1187" s="27" t="s">
        <v>4333</v>
      </c>
      <c r="J1187" s="27" t="s">
        <v>33</v>
      </c>
      <c r="K1187" s="27" t="s">
        <v>34</v>
      </c>
      <c r="L1187" s="27" t="s">
        <v>35</v>
      </c>
      <c r="M1187" s="27" t="s">
        <v>36</v>
      </c>
      <c r="N1187" s="17">
        <f t="shared" si="84"/>
        <v>45574</v>
      </c>
      <c r="O1187" s="13" t="s">
        <v>34</v>
      </c>
      <c r="P1187" s="13" t="s">
        <v>37</v>
      </c>
      <c r="Q1187" s="13" t="s">
        <v>38</v>
      </c>
      <c r="R1187" s="13" t="s">
        <v>4334</v>
      </c>
      <c r="S1187" s="13" t="s">
        <v>37</v>
      </c>
      <c r="T1187" s="28">
        <v>26.16</v>
      </c>
      <c r="U1187" s="13" t="s">
        <v>28</v>
      </c>
      <c r="V1187" s="13" t="s">
        <v>76</v>
      </c>
      <c r="W1187" s="13" t="s">
        <v>30</v>
      </c>
      <c r="X1187" s="17">
        <f t="shared" si="85"/>
        <v>45656</v>
      </c>
    </row>
    <row r="1188" spans="1:24" ht="45" customHeight="1">
      <c r="A1188" s="3">
        <v>1186</v>
      </c>
      <c r="B1188" s="13" t="s">
        <v>4335</v>
      </c>
      <c r="C1188" s="13" t="s">
        <v>103</v>
      </c>
      <c r="D1188" s="13" t="s">
        <v>4336</v>
      </c>
      <c r="E1188" s="13" t="s">
        <v>28</v>
      </c>
      <c r="F1188" s="13" t="s">
        <v>29</v>
      </c>
      <c r="G1188" s="13" t="s">
        <v>72</v>
      </c>
      <c r="H1188" s="13" t="s">
        <v>31</v>
      </c>
      <c r="I1188" s="27" t="s">
        <v>4337</v>
      </c>
      <c r="J1188" s="27" t="s">
        <v>33</v>
      </c>
      <c r="K1188" s="27" t="s">
        <v>106</v>
      </c>
      <c r="L1188" s="27" t="s">
        <v>35</v>
      </c>
      <c r="M1188" s="27" t="s">
        <v>36</v>
      </c>
      <c r="N1188" s="17">
        <f t="shared" si="84"/>
        <v>45574</v>
      </c>
      <c r="O1188" s="13" t="s">
        <v>107</v>
      </c>
      <c r="P1188" s="13" t="s">
        <v>74</v>
      </c>
      <c r="Q1188" s="13" t="s">
        <v>38</v>
      </c>
      <c r="R1188" s="13" t="s">
        <v>4338</v>
      </c>
      <c r="S1188" s="13" t="s">
        <v>74</v>
      </c>
      <c r="T1188" s="28">
        <v>26.72</v>
      </c>
      <c r="U1188" s="13" t="s">
        <v>28</v>
      </c>
      <c r="V1188" s="13" t="s">
        <v>40</v>
      </c>
      <c r="W1188" s="13" t="s">
        <v>72</v>
      </c>
      <c r="X1188" s="17">
        <f>DATE(2024,12,31)</f>
        <v>45657</v>
      </c>
    </row>
    <row r="1189" spans="1:24" ht="45" customHeight="1">
      <c r="A1189" s="3">
        <v>1187</v>
      </c>
      <c r="B1189" s="13" t="s">
        <v>4339</v>
      </c>
      <c r="C1189" s="13" t="s">
        <v>103</v>
      </c>
      <c r="D1189" s="13" t="s">
        <v>4340</v>
      </c>
      <c r="E1189" s="13" t="s">
        <v>28</v>
      </c>
      <c r="F1189" s="13" t="s">
        <v>29</v>
      </c>
      <c r="G1189" s="13" t="s">
        <v>56</v>
      </c>
      <c r="H1189" s="13" t="s">
        <v>1031</v>
      </c>
      <c r="I1189" s="27" t="s">
        <v>4341</v>
      </c>
      <c r="J1189" s="27" t="s">
        <v>33</v>
      </c>
      <c r="K1189" s="27" t="s">
        <v>106</v>
      </c>
      <c r="L1189" s="27" t="s">
        <v>35</v>
      </c>
      <c r="M1189" s="27" t="s">
        <v>36</v>
      </c>
      <c r="N1189" s="17">
        <f t="shared" si="84"/>
        <v>45574</v>
      </c>
      <c r="O1189" s="13" t="s">
        <v>107</v>
      </c>
      <c r="P1189" s="13" t="s">
        <v>1033</v>
      </c>
      <c r="Q1189" s="13" t="s">
        <v>38</v>
      </c>
      <c r="R1189" s="13" t="s">
        <v>4342</v>
      </c>
      <c r="S1189" s="13" t="s">
        <v>58</v>
      </c>
      <c r="T1189" s="28">
        <v>24.41</v>
      </c>
      <c r="U1189" s="13" t="s">
        <v>28</v>
      </c>
      <c r="V1189" s="13" t="s">
        <v>146</v>
      </c>
      <c r="W1189" s="13" t="s">
        <v>56</v>
      </c>
      <c r="X1189" s="17">
        <f>DATE(2024,12,30)</f>
        <v>45656</v>
      </c>
    </row>
    <row r="1190" spans="1:24" ht="45" customHeight="1">
      <c r="A1190" s="3">
        <v>1188</v>
      </c>
      <c r="B1190" s="13" t="s">
        <v>4343</v>
      </c>
      <c r="C1190" s="13" t="s">
        <v>103</v>
      </c>
      <c r="D1190" s="13" t="s">
        <v>4344</v>
      </c>
      <c r="E1190" s="13" t="s">
        <v>28</v>
      </c>
      <c r="F1190" s="13" t="s">
        <v>29</v>
      </c>
      <c r="G1190" s="13" t="s">
        <v>56</v>
      </c>
      <c r="H1190" s="13" t="s">
        <v>31</v>
      </c>
      <c r="I1190" s="27" t="s">
        <v>4345</v>
      </c>
      <c r="J1190" s="27" t="s">
        <v>33</v>
      </c>
      <c r="K1190" s="27" t="s">
        <v>106</v>
      </c>
      <c r="L1190" s="27" t="s">
        <v>35</v>
      </c>
      <c r="M1190" s="27" t="s">
        <v>36</v>
      </c>
      <c r="N1190" s="17">
        <f t="shared" si="84"/>
        <v>45574</v>
      </c>
      <c r="O1190" s="13" t="s">
        <v>107</v>
      </c>
      <c r="P1190" s="13" t="s">
        <v>58</v>
      </c>
      <c r="Q1190" s="13" t="s">
        <v>38</v>
      </c>
      <c r="R1190" s="13" t="s">
        <v>4346</v>
      </c>
      <c r="S1190" s="13" t="s">
        <v>58</v>
      </c>
      <c r="T1190" s="28">
        <v>24.42</v>
      </c>
      <c r="U1190" s="13" t="s">
        <v>28</v>
      </c>
      <c r="V1190" s="13" t="s">
        <v>40</v>
      </c>
      <c r="W1190" s="13" t="s">
        <v>56</v>
      </c>
      <c r="X1190" s="17">
        <f>DATE(2024,12,30)</f>
        <v>45656</v>
      </c>
    </row>
    <row r="1191" spans="1:24" ht="45" customHeight="1">
      <c r="A1191" s="3">
        <v>1189</v>
      </c>
      <c r="B1191" s="13" t="s">
        <v>4347</v>
      </c>
      <c r="C1191" s="13" t="s">
        <v>103</v>
      </c>
      <c r="D1191" s="13" t="s">
        <v>4348</v>
      </c>
      <c r="E1191" s="13" t="s">
        <v>28</v>
      </c>
      <c r="F1191" s="13" t="s">
        <v>29</v>
      </c>
      <c r="G1191" s="13" t="s">
        <v>56</v>
      </c>
      <c r="H1191" s="13" t="s">
        <v>1031</v>
      </c>
      <c r="I1191" s="27" t="s">
        <v>4349</v>
      </c>
      <c r="J1191" s="27" t="s">
        <v>33</v>
      </c>
      <c r="K1191" s="27" t="s">
        <v>106</v>
      </c>
      <c r="L1191" s="27" t="s">
        <v>35</v>
      </c>
      <c r="M1191" s="27" t="s">
        <v>36</v>
      </c>
      <c r="N1191" s="17">
        <f t="shared" si="84"/>
        <v>45574</v>
      </c>
      <c r="O1191" s="13" t="s">
        <v>107</v>
      </c>
      <c r="P1191" s="13" t="s">
        <v>1033</v>
      </c>
      <c r="Q1191" s="13" t="s">
        <v>38</v>
      </c>
      <c r="R1191" s="13" t="s">
        <v>4350</v>
      </c>
      <c r="S1191" s="13" t="s">
        <v>58</v>
      </c>
      <c r="T1191" s="28">
        <v>23.28</v>
      </c>
      <c r="U1191" s="13" t="s">
        <v>28</v>
      </c>
      <c r="V1191" s="13" t="s">
        <v>146</v>
      </c>
      <c r="W1191" s="13" t="s">
        <v>56</v>
      </c>
      <c r="X1191" s="17">
        <f>DATE(2024,12,30)</f>
        <v>45656</v>
      </c>
    </row>
    <row r="1192" spans="1:24" ht="45" customHeight="1">
      <c r="A1192" s="3">
        <v>1190</v>
      </c>
      <c r="B1192" s="13" t="s">
        <v>4351</v>
      </c>
      <c r="C1192" s="13" t="s">
        <v>26</v>
      </c>
      <c r="D1192" s="13" t="s">
        <v>4352</v>
      </c>
      <c r="E1192" s="13" t="s">
        <v>765</v>
      </c>
      <c r="F1192" s="13" t="s">
        <v>744</v>
      </c>
      <c r="G1192" s="13" t="s">
        <v>38</v>
      </c>
      <c r="H1192" s="13" t="s">
        <v>744</v>
      </c>
      <c r="I1192" s="27" t="s">
        <v>4353</v>
      </c>
      <c r="J1192" s="27" t="s">
        <v>33</v>
      </c>
      <c r="K1192" s="27" t="s">
        <v>34</v>
      </c>
      <c r="L1192" s="27" t="s">
        <v>35</v>
      </c>
      <c r="M1192" s="27" t="s">
        <v>36</v>
      </c>
      <c r="N1192" s="17">
        <f>DATE(2024,10,7)</f>
        <v>45572</v>
      </c>
      <c r="O1192" s="13" t="s">
        <v>34</v>
      </c>
      <c r="P1192" s="13" t="s">
        <v>456</v>
      </c>
      <c r="Q1192" s="13" t="s">
        <v>670</v>
      </c>
      <c r="R1192" s="13" t="s">
        <v>4354</v>
      </c>
      <c r="S1192" s="13" t="s">
        <v>458</v>
      </c>
      <c r="T1192" s="28">
        <v>25.29</v>
      </c>
      <c r="U1192" s="13" t="s">
        <v>765</v>
      </c>
      <c r="V1192" s="13" t="s">
        <v>146</v>
      </c>
      <c r="W1192" s="13" t="s">
        <v>778</v>
      </c>
      <c r="X1192" s="17">
        <f>DATE(2024,12,31)</f>
        <v>45657</v>
      </c>
    </row>
    <row r="1193" spans="1:24" ht="45" customHeight="1">
      <c r="A1193" s="3">
        <v>1191</v>
      </c>
      <c r="B1193" s="13" t="s">
        <v>4355</v>
      </c>
      <c r="C1193" s="13" t="s">
        <v>103</v>
      </c>
      <c r="D1193" s="13" t="s">
        <v>4356</v>
      </c>
      <c r="E1193" s="13" t="s">
        <v>445</v>
      </c>
      <c r="F1193" s="13" t="s">
        <v>475</v>
      </c>
      <c r="G1193" s="13" t="s">
        <v>476</v>
      </c>
      <c r="H1193" s="13" t="s">
        <v>406</v>
      </c>
      <c r="I1193" s="27" t="s">
        <v>4357</v>
      </c>
      <c r="J1193" s="27" t="s">
        <v>33</v>
      </c>
      <c r="K1193" s="27" t="s">
        <v>106</v>
      </c>
      <c r="L1193" s="27" t="s">
        <v>35</v>
      </c>
      <c r="M1193" s="27" t="s">
        <v>36</v>
      </c>
      <c r="N1193" s="17">
        <f>DATE(2024,11,4)</f>
        <v>45600</v>
      </c>
      <c r="O1193" s="13" t="s">
        <v>107</v>
      </c>
      <c r="P1193" s="13" t="s">
        <v>473</v>
      </c>
      <c r="Q1193" s="13" t="s">
        <v>431</v>
      </c>
      <c r="R1193" s="13" t="s">
        <v>4358</v>
      </c>
      <c r="S1193" s="13" t="s">
        <v>478</v>
      </c>
      <c r="T1193" s="28">
        <v>23.49</v>
      </c>
      <c r="U1193" s="13" t="s">
        <v>445</v>
      </c>
      <c r="V1193" s="13" t="s">
        <v>413</v>
      </c>
      <c r="W1193" s="13" t="s">
        <v>476</v>
      </c>
      <c r="X1193" s="17">
        <f>DATE(2025,1,27)</f>
        <v>45684</v>
      </c>
    </row>
    <row r="1194" spans="1:24" ht="45" customHeight="1">
      <c r="A1194" s="3">
        <v>1192</v>
      </c>
      <c r="B1194" s="13" t="s">
        <v>4359</v>
      </c>
      <c r="C1194" s="13" t="s">
        <v>103</v>
      </c>
      <c r="D1194" s="13" t="s">
        <v>4360</v>
      </c>
      <c r="E1194" s="13" t="s">
        <v>427</v>
      </c>
      <c r="F1194" s="13" t="s">
        <v>744</v>
      </c>
      <c r="G1194" s="13" t="s">
        <v>745</v>
      </c>
      <c r="H1194" s="13" t="s">
        <v>744</v>
      </c>
      <c r="I1194" s="27" t="s">
        <v>4361</v>
      </c>
      <c r="J1194" s="27" t="s">
        <v>33</v>
      </c>
      <c r="K1194" s="27" t="s">
        <v>106</v>
      </c>
      <c r="L1194" s="27" t="s">
        <v>35</v>
      </c>
      <c r="M1194" s="27" t="s">
        <v>36</v>
      </c>
      <c r="N1194" s="17">
        <f>DATE(2024,11,18)</f>
        <v>45614</v>
      </c>
      <c r="O1194" s="13" t="s">
        <v>107</v>
      </c>
      <c r="P1194" s="13" t="s">
        <v>456</v>
      </c>
      <c r="Q1194" s="13" t="s">
        <v>431</v>
      </c>
      <c r="R1194" s="13" t="s">
        <v>4362</v>
      </c>
      <c r="S1194" s="13" t="s">
        <v>458</v>
      </c>
      <c r="T1194" s="28">
        <v>30.61</v>
      </c>
      <c r="U1194" s="13" t="s">
        <v>427</v>
      </c>
      <c r="V1194" s="13" t="s">
        <v>413</v>
      </c>
      <c r="W1194" s="13" t="s">
        <v>745</v>
      </c>
      <c r="X1194" s="17">
        <f>DATE(2025,1,27)</f>
        <v>45684</v>
      </c>
    </row>
    <row r="1195" spans="1:24" ht="45" customHeight="1">
      <c r="A1195" s="3">
        <v>1193</v>
      </c>
      <c r="B1195" s="13" t="s">
        <v>4363</v>
      </c>
      <c r="C1195" s="13" t="s">
        <v>26</v>
      </c>
      <c r="D1195" s="13" t="s">
        <v>4364</v>
      </c>
      <c r="E1195" s="13" t="s">
        <v>765</v>
      </c>
      <c r="F1195" s="13" t="s">
        <v>744</v>
      </c>
      <c r="G1195" s="13" t="s">
        <v>38</v>
      </c>
      <c r="H1195" s="13" t="s">
        <v>744</v>
      </c>
      <c r="I1195" s="27" t="s">
        <v>4365</v>
      </c>
      <c r="J1195" s="27" t="s">
        <v>33</v>
      </c>
      <c r="K1195" s="27" t="s">
        <v>34</v>
      </c>
      <c r="L1195" s="27" t="s">
        <v>35</v>
      </c>
      <c r="M1195" s="27" t="s">
        <v>36</v>
      </c>
      <c r="N1195" s="17">
        <f>DATE(2024,11,18)</f>
        <v>45614</v>
      </c>
      <c r="O1195" s="13" t="s">
        <v>34</v>
      </c>
      <c r="P1195" s="13" t="s">
        <v>456</v>
      </c>
      <c r="Q1195" s="13" t="s">
        <v>670</v>
      </c>
      <c r="R1195" s="13" t="s">
        <v>4366</v>
      </c>
      <c r="S1195" s="13" t="s">
        <v>458</v>
      </c>
      <c r="T1195" s="28">
        <v>22.94</v>
      </c>
      <c r="U1195" s="13" t="s">
        <v>765</v>
      </c>
      <c r="V1195" s="13" t="s">
        <v>53</v>
      </c>
      <c r="W1195" s="13" t="s">
        <v>778</v>
      </c>
      <c r="X1195" s="17">
        <f>DATE(2025,2,7)</f>
        <v>45695</v>
      </c>
    </row>
    <row r="1196" spans="1:24" ht="45" customHeight="1">
      <c r="A1196" s="3">
        <v>1194</v>
      </c>
      <c r="B1196" s="13" t="s">
        <v>4367</v>
      </c>
      <c r="C1196" s="13" t="s">
        <v>103</v>
      </c>
      <c r="D1196" s="13" t="s">
        <v>4368</v>
      </c>
      <c r="E1196" s="13" t="s">
        <v>694</v>
      </c>
      <c r="F1196" s="13" t="s">
        <v>2719</v>
      </c>
      <c r="G1196" s="13" t="s">
        <v>2720</v>
      </c>
      <c r="H1196" s="13" t="s">
        <v>406</v>
      </c>
      <c r="I1196" s="27" t="s">
        <v>4369</v>
      </c>
      <c r="J1196" s="27" t="s">
        <v>33</v>
      </c>
      <c r="K1196" s="27" t="s">
        <v>106</v>
      </c>
      <c r="L1196" s="27" t="s">
        <v>408</v>
      </c>
      <c r="M1196" s="27" t="s">
        <v>409</v>
      </c>
      <c r="N1196" s="17">
        <f>DATE(2024,11,18)</f>
        <v>45614</v>
      </c>
      <c r="O1196" s="13" t="s">
        <v>107</v>
      </c>
      <c r="P1196" s="13" t="s">
        <v>2722</v>
      </c>
      <c r="Q1196" s="13" t="s">
        <v>465</v>
      </c>
      <c r="R1196" s="13" t="s">
        <v>4370</v>
      </c>
      <c r="S1196" s="13" t="s">
        <v>2722</v>
      </c>
      <c r="T1196" s="28">
        <v>25.47</v>
      </c>
      <c r="U1196" s="13" t="s">
        <v>694</v>
      </c>
      <c r="V1196" s="13" t="s">
        <v>76</v>
      </c>
      <c r="W1196" s="13" t="s">
        <v>2724</v>
      </c>
      <c r="X1196" s="17">
        <f>DATE(2025,2,18)</f>
        <v>45706</v>
      </c>
    </row>
    <row r="1197" spans="1:24" ht="45" customHeight="1">
      <c r="A1197" s="3">
        <v>1195</v>
      </c>
      <c r="B1197" s="13" t="s">
        <v>4371</v>
      </c>
      <c r="C1197" s="13" t="s">
        <v>103</v>
      </c>
      <c r="D1197" s="13" t="s">
        <v>4372</v>
      </c>
      <c r="E1197" s="13" t="s">
        <v>445</v>
      </c>
      <c r="F1197" s="13" t="s">
        <v>475</v>
      </c>
      <c r="G1197" s="13" t="s">
        <v>559</v>
      </c>
      <c r="H1197" s="13" t="s">
        <v>406</v>
      </c>
      <c r="I1197" s="27" t="s">
        <v>4373</v>
      </c>
      <c r="J1197" s="27" t="s">
        <v>33</v>
      </c>
      <c r="K1197" s="27" t="s">
        <v>106</v>
      </c>
      <c r="L1197" s="27" t="s">
        <v>208</v>
      </c>
      <c r="M1197" s="27" t="s">
        <v>209</v>
      </c>
      <c r="N1197" s="17">
        <f>DATE(2024,12,2)</f>
        <v>45628</v>
      </c>
      <c r="O1197" s="13" t="s">
        <v>107</v>
      </c>
      <c r="P1197" s="13" t="s">
        <v>478</v>
      </c>
      <c r="Q1197" s="13" t="s">
        <v>431</v>
      </c>
      <c r="R1197" s="13" t="s">
        <v>4374</v>
      </c>
      <c r="S1197" s="13" t="s">
        <v>433</v>
      </c>
      <c r="T1197" s="28">
        <v>26.88</v>
      </c>
      <c r="U1197" s="13" t="s">
        <v>445</v>
      </c>
      <c r="V1197" s="13" t="s">
        <v>413</v>
      </c>
      <c r="W1197" s="13" t="s">
        <v>559</v>
      </c>
      <c r="X1197" s="17">
        <f>DATE(2025,3,2)</f>
        <v>45718</v>
      </c>
    </row>
    <row r="1198" spans="1:24" ht="45" customHeight="1">
      <c r="A1198" s="3">
        <v>1196</v>
      </c>
      <c r="B1198" s="13" t="s">
        <v>4375</v>
      </c>
      <c r="C1198" s="13" t="s">
        <v>26</v>
      </c>
      <c r="D1198" s="13" t="s">
        <v>4376</v>
      </c>
      <c r="E1198" s="13" t="s">
        <v>668</v>
      </c>
      <c r="F1198" s="13" t="s">
        <v>706</v>
      </c>
      <c r="G1198" s="13" t="s">
        <v>707</v>
      </c>
      <c r="H1198" s="13" t="s">
        <v>706</v>
      </c>
      <c r="I1198" s="27" t="s">
        <v>4377</v>
      </c>
      <c r="J1198" s="27" t="s">
        <v>33</v>
      </c>
      <c r="K1198" s="27" t="s">
        <v>34</v>
      </c>
      <c r="L1198" s="27" t="s">
        <v>35</v>
      </c>
      <c r="M1198" s="27" t="s">
        <v>36</v>
      </c>
      <c r="N1198" s="17">
        <f>DATE(2024,12,2)</f>
        <v>45628</v>
      </c>
      <c r="O1198" s="13" t="s">
        <v>34</v>
      </c>
      <c r="P1198" s="13" t="s">
        <v>709</v>
      </c>
      <c r="Q1198" s="13" t="s">
        <v>670</v>
      </c>
      <c r="R1198" s="13" t="s">
        <v>4378</v>
      </c>
      <c r="S1198" s="13" t="s">
        <v>458</v>
      </c>
      <c r="T1198" s="28">
        <v>42.67</v>
      </c>
      <c r="U1198" s="13" t="s">
        <v>668</v>
      </c>
      <c r="V1198" s="13" t="s">
        <v>146</v>
      </c>
      <c r="W1198" s="13" t="s">
        <v>711</v>
      </c>
      <c r="X1198" s="17">
        <f>DATE(2025,3,2)</f>
        <v>45718</v>
      </c>
    </row>
    <row r="1199" spans="1:24" ht="45" customHeight="1">
      <c r="A1199" s="3">
        <v>1197</v>
      </c>
      <c r="B1199" s="13" t="s">
        <v>4379</v>
      </c>
      <c r="C1199" s="13" t="s">
        <v>103</v>
      </c>
      <c r="D1199" s="13" t="s">
        <v>4380</v>
      </c>
      <c r="E1199" s="13" t="s">
        <v>694</v>
      </c>
      <c r="F1199" s="13" t="s">
        <v>2719</v>
      </c>
      <c r="G1199" s="13" t="s">
        <v>2720</v>
      </c>
      <c r="H1199" s="13" t="s">
        <v>406</v>
      </c>
      <c r="I1199" s="27" t="s">
        <v>4381</v>
      </c>
      <c r="J1199" s="27" t="s">
        <v>33</v>
      </c>
      <c r="K1199" s="27" t="s">
        <v>106</v>
      </c>
      <c r="L1199" s="27" t="s">
        <v>35</v>
      </c>
      <c r="M1199" s="27" t="s">
        <v>36</v>
      </c>
      <c r="N1199" s="17">
        <f>DATE(2025,1,6)</f>
        <v>45663</v>
      </c>
      <c r="O1199" s="13" t="s">
        <v>107</v>
      </c>
      <c r="P1199" s="13" t="s">
        <v>2722</v>
      </c>
      <c r="Q1199" s="13" t="s">
        <v>465</v>
      </c>
      <c r="R1199" s="13" t="s">
        <v>4382</v>
      </c>
      <c r="S1199" s="13" t="s">
        <v>2722</v>
      </c>
      <c r="T1199" s="28">
        <v>24.18</v>
      </c>
      <c r="U1199" s="13" t="s">
        <v>694</v>
      </c>
      <c r="V1199" s="13" t="s">
        <v>76</v>
      </c>
      <c r="W1199" s="13" t="s">
        <v>2724</v>
      </c>
      <c r="X1199" s="13"/>
    </row>
    <row r="1200" spans="1:24" ht="45" customHeight="1">
      <c r="A1200" s="3">
        <v>1198</v>
      </c>
      <c r="B1200" s="13" t="s">
        <v>4383</v>
      </c>
      <c r="C1200" s="13" t="s">
        <v>103</v>
      </c>
      <c r="D1200" s="13" t="s">
        <v>689</v>
      </c>
      <c r="E1200" s="13" t="s">
        <v>435</v>
      </c>
      <c r="F1200" s="13" t="s">
        <v>687</v>
      </c>
      <c r="G1200" s="13" t="s">
        <v>687</v>
      </c>
      <c r="H1200" s="13" t="s">
        <v>406</v>
      </c>
      <c r="I1200" s="27" t="s">
        <v>4384</v>
      </c>
      <c r="J1200" s="27" t="s">
        <v>33</v>
      </c>
      <c r="K1200" s="27" t="s">
        <v>106</v>
      </c>
      <c r="L1200" s="27" t="s">
        <v>408</v>
      </c>
      <c r="M1200" s="27" t="s">
        <v>409</v>
      </c>
      <c r="N1200" s="17">
        <f>DATE(2025,1,7)</f>
        <v>45664</v>
      </c>
      <c r="O1200" s="13" t="s">
        <v>107</v>
      </c>
      <c r="P1200" s="13" t="s">
        <v>403</v>
      </c>
      <c r="Q1200" s="13" t="s">
        <v>411</v>
      </c>
      <c r="R1200" s="13" t="s">
        <v>4385</v>
      </c>
      <c r="S1200" s="13" t="s">
        <v>403</v>
      </c>
      <c r="T1200" s="28">
        <v>47.52</v>
      </c>
      <c r="U1200" s="13" t="s">
        <v>435</v>
      </c>
      <c r="V1200" s="13" t="s">
        <v>413</v>
      </c>
      <c r="W1200" s="13" t="s">
        <v>691</v>
      </c>
      <c r="X1200" s="17">
        <f>DATE(2025,1,7)</f>
        <v>45664</v>
      </c>
    </row>
    <row r="1201" spans="1:24" ht="45" customHeight="1">
      <c r="A1201" s="3">
        <v>1199</v>
      </c>
      <c r="B1201" s="13" t="s">
        <v>4386</v>
      </c>
      <c r="C1201" s="13" t="s">
        <v>103</v>
      </c>
      <c r="D1201" s="13" t="s">
        <v>4387</v>
      </c>
      <c r="E1201" s="13" t="s">
        <v>474</v>
      </c>
      <c r="F1201" s="13" t="s">
        <v>491</v>
      </c>
      <c r="G1201" s="13" t="s">
        <v>1022</v>
      </c>
      <c r="H1201" s="13" t="s">
        <v>406</v>
      </c>
      <c r="I1201" s="27" t="s">
        <v>4388</v>
      </c>
      <c r="J1201" s="27" t="s">
        <v>33</v>
      </c>
      <c r="K1201" s="27" t="s">
        <v>106</v>
      </c>
      <c r="L1201" s="27" t="s">
        <v>35</v>
      </c>
      <c r="M1201" s="27" t="s">
        <v>36</v>
      </c>
      <c r="N1201" s="17">
        <f>DATE(2025,1,20)</f>
        <v>45677</v>
      </c>
      <c r="O1201" s="13" t="s">
        <v>107</v>
      </c>
      <c r="P1201" s="13" t="s">
        <v>1021</v>
      </c>
      <c r="Q1201" s="13" t="s">
        <v>431</v>
      </c>
      <c r="R1201" s="13" t="s">
        <v>4389</v>
      </c>
      <c r="S1201" s="13" t="s">
        <v>496</v>
      </c>
      <c r="T1201" s="28">
        <v>39.54</v>
      </c>
      <c r="U1201" s="13" t="s">
        <v>474</v>
      </c>
      <c r="V1201" s="13" t="s">
        <v>413</v>
      </c>
      <c r="W1201" s="13" t="s">
        <v>1022</v>
      </c>
      <c r="X1201" s="17">
        <f>DATE(2025,4,3)</f>
        <v>45750</v>
      </c>
    </row>
    <row r="1202" spans="1:24" ht="45" customHeight="1">
      <c r="A1202" s="3">
        <v>1200</v>
      </c>
      <c r="B1202" s="13" t="s">
        <v>4390</v>
      </c>
      <c r="C1202" s="13" t="s">
        <v>26</v>
      </c>
      <c r="D1202" s="13" t="s">
        <v>1885</v>
      </c>
      <c r="E1202" s="13" t="s">
        <v>416</v>
      </c>
      <c r="F1202" s="13" t="s">
        <v>1882</v>
      </c>
      <c r="G1202" s="13" t="s">
        <v>1882</v>
      </c>
      <c r="H1202" s="13" t="s">
        <v>1883</v>
      </c>
      <c r="I1202" s="27" t="s">
        <v>4391</v>
      </c>
      <c r="J1202" s="27" t="s">
        <v>33</v>
      </c>
      <c r="K1202" s="27" t="s">
        <v>34</v>
      </c>
      <c r="L1202" s="27" t="s">
        <v>408</v>
      </c>
      <c r="M1202" s="27" t="s">
        <v>409</v>
      </c>
      <c r="N1202" s="17">
        <f>DATE(2025,1,27)</f>
        <v>45684</v>
      </c>
      <c r="O1202" s="13" t="s">
        <v>107</v>
      </c>
      <c r="P1202" s="13" t="s">
        <v>570</v>
      </c>
      <c r="Q1202" s="13" t="s">
        <v>411</v>
      </c>
      <c r="R1202" s="13" t="s">
        <v>4392</v>
      </c>
      <c r="S1202" s="13" t="s">
        <v>570</v>
      </c>
      <c r="T1202" s="28">
        <v>46.95</v>
      </c>
      <c r="U1202" s="13" t="s">
        <v>416</v>
      </c>
      <c r="V1202" s="13" t="s">
        <v>413</v>
      </c>
      <c r="W1202" s="13" t="s">
        <v>1887</v>
      </c>
      <c r="X1202" s="13"/>
    </row>
    <row r="1203" spans="1:24" ht="45" customHeight="1">
      <c r="A1203" s="3">
        <v>1201</v>
      </c>
      <c r="B1203" s="13" t="s">
        <v>4393</v>
      </c>
      <c r="C1203" s="13" t="s">
        <v>26</v>
      </c>
      <c r="D1203" s="13" t="s">
        <v>4394</v>
      </c>
      <c r="E1203" s="13" t="s">
        <v>733</v>
      </c>
      <c r="F1203" s="13" t="s">
        <v>706</v>
      </c>
      <c r="G1203" s="13" t="s">
        <v>707</v>
      </c>
      <c r="H1203" s="13" t="s">
        <v>706</v>
      </c>
      <c r="I1203" s="27" t="s">
        <v>4395</v>
      </c>
      <c r="J1203" s="27" t="s">
        <v>33</v>
      </c>
      <c r="K1203" s="27" t="s">
        <v>34</v>
      </c>
      <c r="L1203" s="27" t="s">
        <v>35</v>
      </c>
      <c r="M1203" s="27" t="s">
        <v>36</v>
      </c>
      <c r="N1203" s="17">
        <f>DATE(2025,2,3)</f>
        <v>45691</v>
      </c>
      <c r="O1203" s="13" t="s">
        <v>34</v>
      </c>
      <c r="P1203" s="13" t="s">
        <v>709</v>
      </c>
      <c r="Q1203" s="13" t="s">
        <v>670</v>
      </c>
      <c r="R1203" s="13" t="s">
        <v>4396</v>
      </c>
      <c r="S1203" s="13" t="s">
        <v>458</v>
      </c>
      <c r="T1203" s="28">
        <v>29.05</v>
      </c>
      <c r="U1203" s="13" t="s">
        <v>733</v>
      </c>
      <c r="V1203" s="13" t="s">
        <v>53</v>
      </c>
      <c r="W1203" s="13" t="s">
        <v>711</v>
      </c>
      <c r="X1203" s="13"/>
    </row>
    <row r="1204" spans="1:24" ht="45" customHeight="1">
      <c r="A1204" s="3">
        <v>1202</v>
      </c>
      <c r="B1204" s="13" t="s">
        <v>4397</v>
      </c>
      <c r="C1204" s="13" t="s">
        <v>26</v>
      </c>
      <c r="D1204" s="13" t="s">
        <v>4398</v>
      </c>
      <c r="E1204" s="13" t="s">
        <v>445</v>
      </c>
      <c r="F1204" s="13" t="s">
        <v>521</v>
      </c>
      <c r="G1204" s="13" t="s">
        <v>79</v>
      </c>
      <c r="H1204" s="13" t="s">
        <v>406</v>
      </c>
      <c r="I1204" s="27" t="s">
        <v>4399</v>
      </c>
      <c r="J1204" s="27" t="s">
        <v>33</v>
      </c>
      <c r="K1204" s="27" t="s">
        <v>34</v>
      </c>
      <c r="L1204" s="27" t="s">
        <v>35</v>
      </c>
      <c r="M1204" s="27" t="s">
        <v>36</v>
      </c>
      <c r="N1204" s="17">
        <f>DATE(2025,2,10)</f>
        <v>45698</v>
      </c>
      <c r="O1204" s="13" t="s">
        <v>34</v>
      </c>
      <c r="P1204" s="13" t="s">
        <v>574</v>
      </c>
      <c r="Q1204" s="13" t="s">
        <v>431</v>
      </c>
      <c r="R1204" s="13" t="s">
        <v>4400</v>
      </c>
      <c r="S1204" s="13" t="s">
        <v>525</v>
      </c>
      <c r="T1204" s="28">
        <v>24.88</v>
      </c>
      <c r="U1204" s="13" t="s">
        <v>445</v>
      </c>
      <c r="V1204" s="13" t="s">
        <v>413</v>
      </c>
      <c r="W1204" s="13" t="s">
        <v>79</v>
      </c>
      <c r="X1204" s="13"/>
    </row>
    <row r="1205" spans="1:24" ht="45" customHeight="1">
      <c r="A1205" s="3">
        <v>1203</v>
      </c>
      <c r="B1205" s="13" t="s">
        <v>4401</v>
      </c>
      <c r="C1205" s="13" t="s">
        <v>103</v>
      </c>
      <c r="D1205" s="13" t="s">
        <v>4402</v>
      </c>
      <c r="E1205" s="13" t="s">
        <v>445</v>
      </c>
      <c r="F1205" s="13" t="s">
        <v>521</v>
      </c>
      <c r="G1205" s="13" t="s">
        <v>79</v>
      </c>
      <c r="H1205" s="13" t="s">
        <v>406</v>
      </c>
      <c r="I1205" s="27" t="s">
        <v>4403</v>
      </c>
      <c r="J1205" s="27" t="s">
        <v>33</v>
      </c>
      <c r="K1205" s="27" t="s">
        <v>106</v>
      </c>
      <c r="L1205" s="27" t="s">
        <v>35</v>
      </c>
      <c r="M1205" s="27" t="s">
        <v>36</v>
      </c>
      <c r="N1205" s="17">
        <f>DATE(2025,2,10)</f>
        <v>45698</v>
      </c>
      <c r="O1205" s="13" t="s">
        <v>107</v>
      </c>
      <c r="P1205" s="13" t="s">
        <v>574</v>
      </c>
      <c r="Q1205" s="13" t="s">
        <v>431</v>
      </c>
      <c r="R1205" s="13" t="s">
        <v>4404</v>
      </c>
      <c r="S1205" s="13" t="s">
        <v>525</v>
      </c>
      <c r="T1205" s="28">
        <v>24.7</v>
      </c>
      <c r="U1205" s="13" t="s">
        <v>445</v>
      </c>
      <c r="V1205" s="13" t="s">
        <v>413</v>
      </c>
      <c r="W1205" s="13" t="s">
        <v>79</v>
      </c>
      <c r="X1205" s="13"/>
    </row>
    <row r="1206" spans="1:24" ht="45" customHeight="1">
      <c r="A1206" s="3">
        <v>1204</v>
      </c>
      <c r="B1206" s="13" t="s">
        <v>4405</v>
      </c>
      <c r="C1206" s="13" t="s">
        <v>103</v>
      </c>
      <c r="D1206" s="13" t="s">
        <v>4406</v>
      </c>
      <c r="E1206" s="13" t="s">
        <v>427</v>
      </c>
      <c r="F1206" s="13" t="s">
        <v>521</v>
      </c>
      <c r="G1206" s="13" t="s">
        <v>79</v>
      </c>
      <c r="H1206" s="13" t="s">
        <v>406</v>
      </c>
      <c r="I1206" s="27" t="s">
        <v>4407</v>
      </c>
      <c r="J1206" s="27" t="s">
        <v>33</v>
      </c>
      <c r="K1206" s="27" t="s">
        <v>106</v>
      </c>
      <c r="L1206" s="27" t="s">
        <v>35</v>
      </c>
      <c r="M1206" s="27" t="s">
        <v>36</v>
      </c>
      <c r="N1206" s="17">
        <f>DATE(2025,2,10)</f>
        <v>45698</v>
      </c>
      <c r="O1206" s="13" t="s">
        <v>107</v>
      </c>
      <c r="P1206" s="13" t="s">
        <v>574</v>
      </c>
      <c r="Q1206" s="13" t="s">
        <v>431</v>
      </c>
      <c r="R1206" s="13" t="s">
        <v>4408</v>
      </c>
      <c r="S1206" s="13" t="s">
        <v>525</v>
      </c>
      <c r="T1206" s="28">
        <v>30.32</v>
      </c>
      <c r="U1206" s="13" t="s">
        <v>427</v>
      </c>
      <c r="V1206" s="13" t="s">
        <v>413</v>
      </c>
      <c r="W1206" s="13" t="s">
        <v>79</v>
      </c>
      <c r="X1206" s="13"/>
    </row>
    <row r="1207" spans="1:24" ht="45" customHeight="1">
      <c r="A1207" s="3">
        <v>1205</v>
      </c>
      <c r="B1207" s="13" t="s">
        <v>4409</v>
      </c>
      <c r="C1207" s="13" t="s">
        <v>26</v>
      </c>
      <c r="D1207" s="13" t="s">
        <v>4410</v>
      </c>
      <c r="E1207" s="13" t="s">
        <v>427</v>
      </c>
      <c r="F1207" s="13" t="s">
        <v>521</v>
      </c>
      <c r="G1207" s="13" t="s">
        <v>79</v>
      </c>
      <c r="H1207" s="13" t="s">
        <v>406</v>
      </c>
      <c r="I1207" s="27" t="s">
        <v>4411</v>
      </c>
      <c r="J1207" s="27" t="s">
        <v>33</v>
      </c>
      <c r="K1207" s="27" t="s">
        <v>34</v>
      </c>
      <c r="L1207" s="27" t="s">
        <v>35</v>
      </c>
      <c r="M1207" s="27" t="s">
        <v>36</v>
      </c>
      <c r="N1207" s="17">
        <f>DATE(2025,2,17)</f>
        <v>45705</v>
      </c>
      <c r="O1207" s="13" t="s">
        <v>107</v>
      </c>
      <c r="P1207" s="13" t="s">
        <v>574</v>
      </c>
      <c r="Q1207" s="13" t="s">
        <v>431</v>
      </c>
      <c r="R1207" s="13" t="s">
        <v>4412</v>
      </c>
      <c r="S1207" s="13" t="s">
        <v>525</v>
      </c>
      <c r="T1207" s="28">
        <v>27.36</v>
      </c>
      <c r="U1207" s="13" t="s">
        <v>427</v>
      </c>
      <c r="V1207" s="13" t="s">
        <v>413</v>
      </c>
      <c r="W1207" s="13" t="s">
        <v>79</v>
      </c>
      <c r="X1207" s="13"/>
    </row>
    <row r="1208" spans="1:24" ht="45" customHeight="1">
      <c r="A1208" s="3">
        <v>1206</v>
      </c>
      <c r="B1208" s="13" t="s">
        <v>4413</v>
      </c>
      <c r="C1208" s="13" t="s">
        <v>26</v>
      </c>
      <c r="D1208" s="13" t="s">
        <v>4414</v>
      </c>
      <c r="E1208" s="13" t="s">
        <v>733</v>
      </c>
      <c r="F1208" s="13" t="s">
        <v>744</v>
      </c>
      <c r="G1208" s="13" t="s">
        <v>745</v>
      </c>
      <c r="H1208" s="13" t="s">
        <v>744</v>
      </c>
      <c r="I1208" s="27" t="s">
        <v>4415</v>
      </c>
      <c r="J1208" s="27" t="s">
        <v>33</v>
      </c>
      <c r="K1208" s="27" t="s">
        <v>34</v>
      </c>
      <c r="L1208" s="27" t="s">
        <v>35</v>
      </c>
      <c r="M1208" s="27" t="s">
        <v>36</v>
      </c>
      <c r="N1208" s="17">
        <f>DATE(2025,2,17)</f>
        <v>45705</v>
      </c>
      <c r="O1208" s="13" t="s">
        <v>34</v>
      </c>
      <c r="P1208" s="13" t="s">
        <v>456</v>
      </c>
      <c r="Q1208" s="13" t="s">
        <v>670</v>
      </c>
      <c r="R1208" s="13" t="s">
        <v>4416</v>
      </c>
      <c r="S1208" s="13" t="s">
        <v>458</v>
      </c>
      <c r="T1208" s="28">
        <v>27.77</v>
      </c>
      <c r="U1208" s="13" t="s">
        <v>733</v>
      </c>
      <c r="V1208" s="13" t="s">
        <v>53</v>
      </c>
      <c r="W1208" s="13" t="s">
        <v>745</v>
      </c>
      <c r="X1208" s="13"/>
    </row>
    <row r="1209" spans="1:24" ht="45" customHeight="1">
      <c r="A1209" s="3">
        <v>1207</v>
      </c>
      <c r="B1209" s="13" t="s">
        <v>4417</v>
      </c>
      <c r="C1209" s="13" t="s">
        <v>103</v>
      </c>
      <c r="D1209" s="13" t="s">
        <v>4418</v>
      </c>
      <c r="E1209" s="13" t="s">
        <v>28</v>
      </c>
      <c r="F1209" s="13" t="s">
        <v>417</v>
      </c>
      <c r="G1209" s="13" t="s">
        <v>674</v>
      </c>
      <c r="H1209" s="13" t="s">
        <v>419</v>
      </c>
      <c r="I1209" s="27" t="s">
        <v>4419</v>
      </c>
      <c r="J1209" s="27" t="s">
        <v>33</v>
      </c>
      <c r="K1209" s="27" t="s">
        <v>106</v>
      </c>
      <c r="L1209" s="27" t="s">
        <v>35</v>
      </c>
      <c r="M1209" s="27" t="s">
        <v>36</v>
      </c>
      <c r="N1209" s="17">
        <f>DATE(2025,2,26)</f>
        <v>45714</v>
      </c>
      <c r="O1209" s="13" t="s">
        <v>107</v>
      </c>
      <c r="P1209" s="13" t="s">
        <v>676</v>
      </c>
      <c r="Q1209" s="13" t="s">
        <v>38</v>
      </c>
      <c r="R1209" s="13" t="s">
        <v>4420</v>
      </c>
      <c r="S1209" s="13" t="s">
        <v>423</v>
      </c>
      <c r="T1209" s="28">
        <v>28.62</v>
      </c>
      <c r="U1209" s="13" t="s">
        <v>28</v>
      </c>
      <c r="V1209" s="13" t="s">
        <v>146</v>
      </c>
      <c r="W1209" s="13" t="s">
        <v>678</v>
      </c>
      <c r="X1209" s="13"/>
    </row>
    <row r="1210" spans="1:24" ht="45" customHeight="1">
      <c r="A1210" s="3">
        <v>1208</v>
      </c>
      <c r="B1210" s="13" t="s">
        <v>4421</v>
      </c>
      <c r="C1210" s="13" t="s">
        <v>103</v>
      </c>
      <c r="D1210" s="13" t="s">
        <v>4422</v>
      </c>
      <c r="E1210" s="13" t="s">
        <v>445</v>
      </c>
      <c r="F1210" s="13" t="s">
        <v>491</v>
      </c>
      <c r="G1210" s="13" t="s">
        <v>899</v>
      </c>
      <c r="H1210" s="13" t="s">
        <v>406</v>
      </c>
      <c r="I1210" s="27" t="s">
        <v>4423</v>
      </c>
      <c r="J1210" s="27" t="s">
        <v>33</v>
      </c>
      <c r="K1210" s="27" t="s">
        <v>106</v>
      </c>
      <c r="L1210" s="27" t="s">
        <v>35</v>
      </c>
      <c r="M1210" s="27" t="s">
        <v>36</v>
      </c>
      <c r="N1210" s="17">
        <f>DATE(2025,2,28)</f>
        <v>45716</v>
      </c>
      <c r="O1210" s="13" t="s">
        <v>107</v>
      </c>
      <c r="P1210" s="13" t="s">
        <v>898</v>
      </c>
      <c r="Q1210" s="13" t="s">
        <v>431</v>
      </c>
      <c r="R1210" s="13" t="s">
        <v>4424</v>
      </c>
      <c r="S1210" s="13" t="s">
        <v>496</v>
      </c>
      <c r="T1210" s="28">
        <v>29.72</v>
      </c>
      <c r="U1210" s="13" t="s">
        <v>445</v>
      </c>
      <c r="V1210" s="13" t="s">
        <v>413</v>
      </c>
      <c r="W1210" s="13" t="s">
        <v>899</v>
      </c>
      <c r="X1210" s="13"/>
    </row>
    <row r="1211" spans="1:24" ht="45" customHeight="1">
      <c r="A1211" s="3">
        <v>1209</v>
      </c>
      <c r="B1211" s="13" t="s">
        <v>4425</v>
      </c>
      <c r="C1211" s="13" t="s">
        <v>103</v>
      </c>
      <c r="D1211" s="13" t="s">
        <v>4426</v>
      </c>
      <c r="E1211" s="13" t="s">
        <v>694</v>
      </c>
      <c r="F1211" s="13" t="s">
        <v>2719</v>
      </c>
      <c r="G1211" s="13" t="s">
        <v>2720</v>
      </c>
      <c r="H1211" s="13" t="s">
        <v>406</v>
      </c>
      <c r="I1211" s="27" t="s">
        <v>4427</v>
      </c>
      <c r="J1211" s="27" t="s">
        <v>33</v>
      </c>
      <c r="K1211" s="27" t="s">
        <v>106</v>
      </c>
      <c r="L1211" s="27" t="s">
        <v>35</v>
      </c>
      <c r="M1211" s="27" t="s">
        <v>36</v>
      </c>
      <c r="N1211" s="17">
        <f>DATE(2025,3,3)</f>
        <v>45719</v>
      </c>
      <c r="O1211" s="13" t="s">
        <v>107</v>
      </c>
      <c r="P1211" s="13" t="s">
        <v>2722</v>
      </c>
      <c r="Q1211" s="13" t="s">
        <v>465</v>
      </c>
      <c r="R1211" s="13" t="s">
        <v>4428</v>
      </c>
      <c r="S1211" s="13" t="s">
        <v>2722</v>
      </c>
      <c r="T1211" s="28">
        <v>29.12</v>
      </c>
      <c r="U1211" s="13" t="s">
        <v>694</v>
      </c>
      <c r="V1211" s="13" t="s">
        <v>40</v>
      </c>
      <c r="W1211" s="13" t="s">
        <v>2724</v>
      </c>
      <c r="X1211" s="13"/>
    </row>
    <row r="1212" spans="1:24" ht="45" customHeight="1">
      <c r="A1212" s="3">
        <v>1210</v>
      </c>
      <c r="B1212" s="13" t="s">
        <v>4429</v>
      </c>
      <c r="C1212" s="13" t="s">
        <v>26</v>
      </c>
      <c r="D1212" s="13" t="s">
        <v>4430</v>
      </c>
      <c r="E1212" s="13" t="s">
        <v>427</v>
      </c>
      <c r="F1212" s="13" t="s">
        <v>706</v>
      </c>
      <c r="G1212" s="13" t="s">
        <v>707</v>
      </c>
      <c r="H1212" s="13" t="s">
        <v>706</v>
      </c>
      <c r="I1212" s="27" t="s">
        <v>4431</v>
      </c>
      <c r="J1212" s="27" t="s">
        <v>33</v>
      </c>
      <c r="K1212" s="27" t="s">
        <v>34</v>
      </c>
      <c r="L1212" s="27" t="s">
        <v>408</v>
      </c>
      <c r="M1212" s="27" t="s">
        <v>409</v>
      </c>
      <c r="N1212" s="17">
        <f>DATE(2025,3,3)</f>
        <v>45719</v>
      </c>
      <c r="O1212" s="13" t="s">
        <v>107</v>
      </c>
      <c r="P1212" s="13" t="s">
        <v>709</v>
      </c>
      <c r="Q1212" s="13" t="s">
        <v>431</v>
      </c>
      <c r="R1212" s="13" t="s">
        <v>4432</v>
      </c>
      <c r="S1212" s="13" t="s">
        <v>458</v>
      </c>
      <c r="T1212" s="28">
        <v>55.91</v>
      </c>
      <c r="U1212" s="13" t="s">
        <v>427</v>
      </c>
      <c r="V1212" s="13" t="s">
        <v>413</v>
      </c>
      <c r="W1212" s="13" t="s">
        <v>711</v>
      </c>
      <c r="X1212" s="13"/>
    </row>
    <row r="1213" spans="1:24" ht="45" customHeight="1">
      <c r="A1213" s="3">
        <v>1211</v>
      </c>
      <c r="B1213" s="13" t="s">
        <v>4433</v>
      </c>
      <c r="C1213" s="13" t="s">
        <v>26</v>
      </c>
      <c r="D1213" s="13" t="s">
        <v>4434</v>
      </c>
      <c r="E1213" s="13" t="s">
        <v>445</v>
      </c>
      <c r="F1213" s="13" t="s">
        <v>521</v>
      </c>
      <c r="G1213" s="13" t="s">
        <v>43</v>
      </c>
      <c r="H1213" s="13" t="s">
        <v>406</v>
      </c>
      <c r="I1213" s="27" t="s">
        <v>4435</v>
      </c>
      <c r="J1213" s="27" t="s">
        <v>33</v>
      </c>
      <c r="K1213" s="27" t="s">
        <v>34</v>
      </c>
      <c r="L1213" s="27" t="s">
        <v>35</v>
      </c>
      <c r="M1213" s="27" t="s">
        <v>36</v>
      </c>
      <c r="N1213" s="17">
        <f>DATE(2025,3,3)</f>
        <v>45719</v>
      </c>
      <c r="O1213" s="13" t="s">
        <v>107</v>
      </c>
      <c r="P1213" s="13" t="s">
        <v>574</v>
      </c>
      <c r="Q1213" s="13" t="s">
        <v>431</v>
      </c>
      <c r="R1213" s="13" t="s">
        <v>4436</v>
      </c>
      <c r="S1213" s="13" t="s">
        <v>525</v>
      </c>
      <c r="T1213" s="28">
        <v>28.69</v>
      </c>
      <c r="U1213" s="13" t="s">
        <v>445</v>
      </c>
      <c r="V1213" s="13" t="s">
        <v>413</v>
      </c>
      <c r="W1213" s="13" t="s">
        <v>43</v>
      </c>
      <c r="X1213" s="13"/>
    </row>
    <row r="1214" spans="1:24" ht="45" customHeight="1">
      <c r="A1214" s="3">
        <v>1212</v>
      </c>
      <c r="B1214" s="13" t="s">
        <v>4437</v>
      </c>
      <c r="C1214" s="13" t="s">
        <v>103</v>
      </c>
      <c r="D1214" s="13" t="s">
        <v>4438</v>
      </c>
      <c r="E1214" s="13" t="s">
        <v>4439</v>
      </c>
      <c r="F1214" s="13" t="s">
        <v>475</v>
      </c>
      <c r="G1214" s="13" t="s">
        <v>4440</v>
      </c>
      <c r="H1214" s="13" t="s">
        <v>406</v>
      </c>
      <c r="I1214" s="27" t="s">
        <v>365</v>
      </c>
      <c r="J1214" s="27" t="s">
        <v>4441</v>
      </c>
      <c r="K1214" s="27" t="s">
        <v>106</v>
      </c>
      <c r="L1214" s="27" t="s">
        <v>4442</v>
      </c>
      <c r="M1214" s="27" t="s">
        <v>1681</v>
      </c>
      <c r="N1214" s="17">
        <f>DATE(2025,3,17)</f>
        <v>45733</v>
      </c>
      <c r="O1214" s="13" t="s">
        <v>1776</v>
      </c>
      <c r="P1214" s="13" t="s">
        <v>557</v>
      </c>
      <c r="Q1214" s="13" t="s">
        <v>431</v>
      </c>
      <c r="R1214" s="13" t="s">
        <v>4443</v>
      </c>
      <c r="S1214" s="13" t="s">
        <v>478</v>
      </c>
      <c r="T1214" s="28">
        <v>29.53</v>
      </c>
      <c r="U1214" s="13" t="s">
        <v>365</v>
      </c>
      <c r="V1214" s="13" t="s">
        <v>413</v>
      </c>
      <c r="W1214" s="13" t="s">
        <v>4444</v>
      </c>
      <c r="X1214" s="13"/>
    </row>
    <row r="1215" spans="1:24" ht="45" customHeight="1">
      <c r="A1215" s="3">
        <v>1213</v>
      </c>
      <c r="B1215" s="13" t="s">
        <v>4445</v>
      </c>
      <c r="C1215" s="13" t="s">
        <v>103</v>
      </c>
      <c r="D1215" s="13" t="s">
        <v>4446</v>
      </c>
      <c r="E1215" s="13" t="s">
        <v>445</v>
      </c>
      <c r="F1215" s="13" t="s">
        <v>521</v>
      </c>
      <c r="G1215" s="13" t="s">
        <v>43</v>
      </c>
      <c r="H1215" s="13" t="s">
        <v>406</v>
      </c>
      <c r="I1215" s="27" t="s">
        <v>365</v>
      </c>
      <c r="J1215" s="27" t="s">
        <v>4441</v>
      </c>
      <c r="K1215" s="27" t="s">
        <v>106</v>
      </c>
      <c r="L1215" s="27" t="s">
        <v>4442</v>
      </c>
      <c r="M1215" s="27" t="s">
        <v>1775</v>
      </c>
      <c r="N1215" s="17">
        <f>DATE(2025,3,17)</f>
        <v>45733</v>
      </c>
      <c r="O1215" s="13" t="s">
        <v>1776</v>
      </c>
      <c r="P1215" s="13" t="s">
        <v>525</v>
      </c>
      <c r="Q1215" s="13" t="s">
        <v>431</v>
      </c>
      <c r="R1215" s="13" t="s">
        <v>4447</v>
      </c>
      <c r="S1215" s="13" t="s">
        <v>525</v>
      </c>
      <c r="T1215" s="28">
        <v>29.6</v>
      </c>
      <c r="U1215" s="13" t="s">
        <v>445</v>
      </c>
      <c r="V1215" s="13" t="s">
        <v>413</v>
      </c>
      <c r="W1215" s="13" t="s">
        <v>43</v>
      </c>
      <c r="X1215" s="13"/>
    </row>
    <row r="1216" spans="1:24" ht="45" customHeight="1">
      <c r="A1216" s="3">
        <v>1214</v>
      </c>
      <c r="B1216" s="13" t="s">
        <v>4448</v>
      </c>
      <c r="C1216" s="13" t="s">
        <v>103</v>
      </c>
      <c r="D1216" s="13" t="s">
        <v>4449</v>
      </c>
      <c r="E1216" s="13" t="s">
        <v>445</v>
      </c>
      <c r="F1216" s="13" t="s">
        <v>744</v>
      </c>
      <c r="G1216" s="13" t="s">
        <v>745</v>
      </c>
      <c r="H1216" s="13" t="s">
        <v>744</v>
      </c>
      <c r="I1216" s="27" t="s">
        <v>4450</v>
      </c>
      <c r="J1216" s="27" t="s">
        <v>33</v>
      </c>
      <c r="K1216" s="27" t="s">
        <v>106</v>
      </c>
      <c r="L1216" s="27" t="s">
        <v>35</v>
      </c>
      <c r="M1216" s="27" t="s">
        <v>36</v>
      </c>
      <c r="N1216" s="17">
        <f>DATE(2025,3,24)</f>
        <v>45740</v>
      </c>
      <c r="O1216" s="13" t="s">
        <v>107</v>
      </c>
      <c r="P1216" s="13" t="s">
        <v>456</v>
      </c>
      <c r="Q1216" s="13" t="s">
        <v>431</v>
      </c>
      <c r="R1216" s="13" t="s">
        <v>4451</v>
      </c>
      <c r="S1216" s="13" t="s">
        <v>458</v>
      </c>
      <c r="T1216" s="28">
        <v>27.42</v>
      </c>
      <c r="U1216" s="13" t="s">
        <v>445</v>
      </c>
      <c r="V1216" s="13" t="s">
        <v>413</v>
      </c>
      <c r="W1216" s="13" t="s">
        <v>745</v>
      </c>
      <c r="X1216" s="13"/>
    </row>
    <row r="1217" spans="1:24" ht="45" customHeight="1">
      <c r="A1217" s="3">
        <v>1215</v>
      </c>
      <c r="B1217" s="13" t="s">
        <v>4452</v>
      </c>
      <c r="C1217" s="13" t="s">
        <v>26</v>
      </c>
      <c r="D1217" s="13" t="s">
        <v>4453</v>
      </c>
      <c r="E1217" s="13" t="s">
        <v>445</v>
      </c>
      <c r="F1217" s="13" t="s">
        <v>428</v>
      </c>
      <c r="G1217" s="13" t="s">
        <v>62</v>
      </c>
      <c r="H1217" s="13" t="s">
        <v>406</v>
      </c>
      <c r="I1217" s="27" t="s">
        <v>4454</v>
      </c>
      <c r="J1217" s="27" t="s">
        <v>33</v>
      </c>
      <c r="K1217" s="27" t="s">
        <v>34</v>
      </c>
      <c r="L1217" s="27" t="s">
        <v>35</v>
      </c>
      <c r="M1217" s="27" t="s">
        <v>36</v>
      </c>
      <c r="N1217" s="17">
        <f>DATE(2025,3,24)</f>
        <v>45740</v>
      </c>
      <c r="O1217" s="13" t="s">
        <v>107</v>
      </c>
      <c r="P1217" s="13" t="s">
        <v>430</v>
      </c>
      <c r="Q1217" s="13" t="s">
        <v>431</v>
      </c>
      <c r="R1217" s="13" t="s">
        <v>4455</v>
      </c>
      <c r="S1217" s="13" t="s">
        <v>433</v>
      </c>
      <c r="T1217" s="28">
        <v>26.06</v>
      </c>
      <c r="U1217" s="13" t="s">
        <v>445</v>
      </c>
      <c r="V1217" s="13" t="s">
        <v>413</v>
      </c>
      <c r="W1217" s="13" t="s">
        <v>62</v>
      </c>
      <c r="X1217" s="13"/>
    </row>
    <row r="1218" spans="1:24" ht="45" customHeight="1">
      <c r="A1218" s="3">
        <v>1216</v>
      </c>
      <c r="B1218" s="13" t="s">
        <v>4456</v>
      </c>
      <c r="C1218" s="13" t="s">
        <v>103</v>
      </c>
      <c r="D1218" s="13" t="s">
        <v>4457</v>
      </c>
      <c r="E1218" s="13" t="s">
        <v>461</v>
      </c>
      <c r="F1218" s="13" t="s">
        <v>2719</v>
      </c>
      <c r="G1218" s="13" t="s">
        <v>2720</v>
      </c>
      <c r="H1218" s="13" t="s">
        <v>406</v>
      </c>
      <c r="I1218" s="27" t="s">
        <v>4458</v>
      </c>
      <c r="J1218" s="27" t="s">
        <v>33</v>
      </c>
      <c r="K1218" s="27" t="s">
        <v>106</v>
      </c>
      <c r="L1218" s="27" t="s">
        <v>35</v>
      </c>
      <c r="M1218" s="27" t="s">
        <v>36</v>
      </c>
      <c r="N1218" s="17">
        <f>DATE(2025,3,24)</f>
        <v>45740</v>
      </c>
      <c r="O1218" s="13" t="s">
        <v>107</v>
      </c>
      <c r="P1218" s="13" t="s">
        <v>2722</v>
      </c>
      <c r="Q1218" s="13" t="s">
        <v>465</v>
      </c>
      <c r="R1218" s="13" t="s">
        <v>4459</v>
      </c>
      <c r="S1218" s="13" t="s">
        <v>2722</v>
      </c>
      <c r="T1218" s="28">
        <v>32.76</v>
      </c>
      <c r="U1218" s="13" t="s">
        <v>461</v>
      </c>
      <c r="V1218" s="13" t="s">
        <v>40</v>
      </c>
      <c r="W1218" s="13" t="s">
        <v>2724</v>
      </c>
      <c r="X1218" s="13"/>
    </row>
    <row r="1219" spans="1:24" ht="45" customHeight="1">
      <c r="A1219" s="3">
        <v>1217</v>
      </c>
      <c r="B1219" s="13" t="s">
        <v>4460</v>
      </c>
      <c r="C1219" s="13" t="s">
        <v>103</v>
      </c>
      <c r="D1219" s="13" t="s">
        <v>4461</v>
      </c>
      <c r="E1219" s="13" t="s">
        <v>445</v>
      </c>
      <c r="F1219" s="13" t="s">
        <v>744</v>
      </c>
      <c r="G1219" s="13" t="s">
        <v>38</v>
      </c>
      <c r="H1219" s="13" t="s">
        <v>744</v>
      </c>
      <c r="I1219" s="27" t="s">
        <v>4462</v>
      </c>
      <c r="J1219" s="27" t="s">
        <v>33</v>
      </c>
      <c r="K1219" s="27" t="s">
        <v>106</v>
      </c>
      <c r="L1219" s="27" t="s">
        <v>35</v>
      </c>
      <c r="M1219" s="27" t="s">
        <v>36</v>
      </c>
      <c r="N1219" s="17">
        <f>DATE(2025,4,7)</f>
        <v>45754</v>
      </c>
      <c r="O1219" s="13" t="s">
        <v>107</v>
      </c>
      <c r="P1219" s="13" t="s">
        <v>456</v>
      </c>
      <c r="Q1219" s="13" t="s">
        <v>431</v>
      </c>
      <c r="R1219" s="13" t="s">
        <v>4463</v>
      </c>
      <c r="S1219" s="13" t="s">
        <v>458</v>
      </c>
      <c r="T1219" s="28">
        <v>24.26</v>
      </c>
      <c r="U1219" s="13" t="s">
        <v>445</v>
      </c>
      <c r="V1219" s="13" t="s">
        <v>413</v>
      </c>
      <c r="W1219" s="13" t="s">
        <v>778</v>
      </c>
      <c r="X1219" s="13"/>
    </row>
    <row r="1220" spans="1:24" ht="45" customHeight="1">
      <c r="A1220" s="3">
        <v>1218</v>
      </c>
      <c r="B1220" s="13" t="s">
        <v>4464</v>
      </c>
      <c r="C1220" s="13" t="s">
        <v>26</v>
      </c>
      <c r="D1220" s="13" t="s">
        <v>4465</v>
      </c>
      <c r="E1220" s="13" t="s">
        <v>733</v>
      </c>
      <c r="F1220" s="13" t="s">
        <v>706</v>
      </c>
      <c r="G1220" s="13" t="s">
        <v>707</v>
      </c>
      <c r="H1220" s="13" t="s">
        <v>706</v>
      </c>
      <c r="I1220" s="27" t="s">
        <v>4466</v>
      </c>
      <c r="J1220" s="27" t="s">
        <v>33</v>
      </c>
      <c r="K1220" s="27" t="s">
        <v>34</v>
      </c>
      <c r="L1220" s="27" t="s">
        <v>408</v>
      </c>
      <c r="M1220" s="27" t="s">
        <v>409</v>
      </c>
      <c r="N1220" s="17">
        <f>DATE(2025,4,7)</f>
        <v>45754</v>
      </c>
      <c r="O1220" s="13" t="s">
        <v>34</v>
      </c>
      <c r="P1220" s="13" t="s">
        <v>709</v>
      </c>
      <c r="Q1220" s="13" t="s">
        <v>670</v>
      </c>
      <c r="R1220" s="13" t="s">
        <v>4467</v>
      </c>
      <c r="S1220" s="13" t="s">
        <v>458</v>
      </c>
      <c r="T1220" s="28">
        <v>39.36</v>
      </c>
      <c r="U1220" s="13" t="s">
        <v>733</v>
      </c>
      <c r="V1220" s="13" t="s">
        <v>799</v>
      </c>
      <c r="W1220" s="13" t="s">
        <v>711</v>
      </c>
      <c r="X1220" s="13"/>
    </row>
    <row r="1221" spans="1:24" ht="45" customHeight="1">
      <c r="A1221" s="3">
        <v>1219</v>
      </c>
      <c r="B1221" s="13" t="s">
        <v>4468</v>
      </c>
      <c r="C1221" s="13" t="s">
        <v>26</v>
      </c>
      <c r="D1221" s="13" t="s">
        <v>4469</v>
      </c>
      <c r="E1221" s="13" t="s">
        <v>427</v>
      </c>
      <c r="F1221" s="13" t="s">
        <v>706</v>
      </c>
      <c r="G1221" s="13" t="s">
        <v>870</v>
      </c>
      <c r="H1221" s="13" t="s">
        <v>706</v>
      </c>
      <c r="I1221" s="27" t="s">
        <v>4470</v>
      </c>
      <c r="J1221" s="27" t="s">
        <v>33</v>
      </c>
      <c r="K1221" s="27" t="s">
        <v>34</v>
      </c>
      <c r="L1221" s="27" t="s">
        <v>208</v>
      </c>
      <c r="M1221" s="27" t="s">
        <v>209</v>
      </c>
      <c r="N1221" s="17">
        <f>DATE(2025,4,7)</f>
        <v>45754</v>
      </c>
      <c r="O1221" s="13" t="s">
        <v>107</v>
      </c>
      <c r="P1221" s="13" t="s">
        <v>709</v>
      </c>
      <c r="Q1221" s="13" t="s">
        <v>431</v>
      </c>
      <c r="R1221" s="13" t="s">
        <v>4471</v>
      </c>
      <c r="S1221" s="13" t="s">
        <v>458</v>
      </c>
      <c r="T1221" s="28">
        <v>28.54</v>
      </c>
      <c r="U1221" s="13" t="s">
        <v>427</v>
      </c>
      <c r="V1221" s="13" t="s">
        <v>413</v>
      </c>
      <c r="W1221" s="13" t="s">
        <v>873</v>
      </c>
      <c r="X1221" s="13"/>
    </row>
    <row r="1222" spans="1:24" ht="45" customHeight="1">
      <c r="A1222" s="3">
        <v>1220</v>
      </c>
      <c r="B1222" s="13" t="s">
        <v>4472</v>
      </c>
      <c r="C1222" s="13" t="s">
        <v>26</v>
      </c>
      <c r="D1222" s="13" t="s">
        <v>4473</v>
      </c>
      <c r="E1222" s="13" t="s">
        <v>499</v>
      </c>
      <c r="F1222" s="13" t="s">
        <v>29</v>
      </c>
      <c r="G1222" s="13" t="s">
        <v>62</v>
      </c>
      <c r="H1222" s="13" t="s">
        <v>406</v>
      </c>
      <c r="I1222" s="27" t="s">
        <v>4474</v>
      </c>
      <c r="J1222" s="27" t="s">
        <v>33</v>
      </c>
      <c r="K1222" s="27" t="s">
        <v>34</v>
      </c>
      <c r="L1222" s="27" t="s">
        <v>35</v>
      </c>
      <c r="M1222" s="27" t="s">
        <v>36</v>
      </c>
      <c r="N1222" s="17">
        <f>DATE(2025,4,21)</f>
        <v>45768</v>
      </c>
      <c r="O1222" s="13" t="s">
        <v>34</v>
      </c>
      <c r="P1222" s="13" t="s">
        <v>64</v>
      </c>
      <c r="Q1222" s="13" t="s">
        <v>501</v>
      </c>
      <c r="R1222" s="13" t="s">
        <v>4475</v>
      </c>
      <c r="S1222" s="13" t="s">
        <v>441</v>
      </c>
      <c r="T1222" s="28">
        <v>25.86</v>
      </c>
      <c r="U1222" s="13" t="s">
        <v>499</v>
      </c>
      <c r="V1222" s="13" t="s">
        <v>799</v>
      </c>
      <c r="W1222" s="13" t="s">
        <v>62</v>
      </c>
      <c r="X1222" s="13"/>
    </row>
    <row r="1223" spans="1:24" ht="45" customHeight="1">
      <c r="A1223" s="3">
        <v>1221</v>
      </c>
      <c r="B1223" s="13" t="s">
        <v>4476</v>
      </c>
      <c r="C1223" s="13" t="s">
        <v>26</v>
      </c>
      <c r="D1223" s="13" t="s">
        <v>4477</v>
      </c>
      <c r="E1223" s="13" t="s">
        <v>499</v>
      </c>
      <c r="F1223" s="13" t="s">
        <v>29</v>
      </c>
      <c r="G1223" s="13" t="s">
        <v>30</v>
      </c>
      <c r="H1223" s="13" t="s">
        <v>406</v>
      </c>
      <c r="I1223" s="27" t="s">
        <v>4478</v>
      </c>
      <c r="J1223" s="27" t="s">
        <v>33</v>
      </c>
      <c r="K1223" s="27" t="s">
        <v>34</v>
      </c>
      <c r="L1223" s="27" t="s">
        <v>35</v>
      </c>
      <c r="M1223" s="27" t="s">
        <v>36</v>
      </c>
      <c r="N1223" s="17">
        <f>DATE(2025,4,21)</f>
        <v>45768</v>
      </c>
      <c r="O1223" s="13" t="s">
        <v>34</v>
      </c>
      <c r="P1223" s="13" t="s">
        <v>37</v>
      </c>
      <c r="Q1223" s="13" t="s">
        <v>501</v>
      </c>
      <c r="R1223" s="13" t="s">
        <v>4479</v>
      </c>
      <c r="S1223" s="13" t="s">
        <v>441</v>
      </c>
      <c r="T1223" s="28">
        <v>29.05</v>
      </c>
      <c r="U1223" s="13" t="s">
        <v>499</v>
      </c>
      <c r="V1223" s="13" t="s">
        <v>799</v>
      </c>
      <c r="W1223" s="13" t="s">
        <v>30</v>
      </c>
      <c r="X1223" s="13"/>
    </row>
    <row r="1224" spans="1:24" ht="45" customHeight="1">
      <c r="A1224" s="3">
        <v>1222</v>
      </c>
      <c r="B1224" s="13" t="s">
        <v>4480</v>
      </c>
      <c r="C1224" s="13" t="s">
        <v>103</v>
      </c>
      <c r="D1224" s="13" t="s">
        <v>4481</v>
      </c>
      <c r="E1224" s="13" t="s">
        <v>765</v>
      </c>
      <c r="F1224" s="13" t="s">
        <v>687</v>
      </c>
      <c r="G1224" s="13" t="s">
        <v>687</v>
      </c>
      <c r="H1224" s="13" t="s">
        <v>406</v>
      </c>
      <c r="I1224" s="27" t="s">
        <v>4482</v>
      </c>
      <c r="J1224" s="27" t="s">
        <v>33</v>
      </c>
      <c r="K1224" s="27" t="s">
        <v>106</v>
      </c>
      <c r="L1224" s="27" t="s">
        <v>35</v>
      </c>
      <c r="M1224" s="27" t="s">
        <v>36</v>
      </c>
      <c r="N1224" s="17">
        <f>DATE(2025,4,21)</f>
        <v>45768</v>
      </c>
      <c r="O1224" s="13" t="s">
        <v>107</v>
      </c>
      <c r="P1224" s="13" t="s">
        <v>689</v>
      </c>
      <c r="Q1224" s="13" t="s">
        <v>670</v>
      </c>
      <c r="R1224" s="13" t="s">
        <v>4483</v>
      </c>
      <c r="S1224" s="13" t="s">
        <v>403</v>
      </c>
      <c r="T1224" s="28">
        <v>30.76</v>
      </c>
      <c r="U1224" s="13" t="s">
        <v>765</v>
      </c>
      <c r="V1224" s="13" t="s">
        <v>799</v>
      </c>
      <c r="W1224" s="13" t="s">
        <v>691</v>
      </c>
      <c r="X1224" s="13"/>
    </row>
    <row r="1225" spans="1:24" ht="45" customHeight="1">
      <c r="A1225" s="3">
        <v>1223</v>
      </c>
      <c r="B1225" s="13" t="s">
        <v>4484</v>
      </c>
      <c r="C1225" s="13" t="s">
        <v>103</v>
      </c>
      <c r="D1225" s="13" t="s">
        <v>4485</v>
      </c>
      <c r="E1225" s="13" t="s">
        <v>28</v>
      </c>
      <c r="F1225" s="13" t="s">
        <v>29</v>
      </c>
      <c r="G1225" s="13" t="s">
        <v>1216</v>
      </c>
      <c r="H1225" s="13" t="s">
        <v>31</v>
      </c>
      <c r="I1225" s="27" t="s">
        <v>4486</v>
      </c>
      <c r="J1225" s="27" t="s">
        <v>33</v>
      </c>
      <c r="K1225" s="27" t="s">
        <v>106</v>
      </c>
      <c r="L1225" s="27" t="s">
        <v>35</v>
      </c>
      <c r="M1225" s="27" t="s">
        <v>36</v>
      </c>
      <c r="N1225" s="17">
        <f t="shared" ref="N1225:N1267" si="86">DATE(2025,4,7)</f>
        <v>45754</v>
      </c>
      <c r="O1225" s="13" t="s">
        <v>107</v>
      </c>
      <c r="P1225" s="13" t="s">
        <v>1231</v>
      </c>
      <c r="Q1225" s="13" t="s">
        <v>38</v>
      </c>
      <c r="R1225" s="13" t="s">
        <v>4487</v>
      </c>
      <c r="S1225" s="13" t="s">
        <v>1215</v>
      </c>
      <c r="T1225" s="28">
        <v>24.71</v>
      </c>
      <c r="U1225" s="13" t="s">
        <v>28</v>
      </c>
      <c r="V1225" s="13" t="s">
        <v>89</v>
      </c>
      <c r="W1225" s="13" t="s">
        <v>1219</v>
      </c>
      <c r="X1225" s="17">
        <f t="shared" ref="X1225:X1267" si="87">DATE(2025,4,7)</f>
        <v>45754</v>
      </c>
    </row>
    <row r="1226" spans="1:24" ht="45" customHeight="1">
      <c r="A1226" s="3">
        <v>1224</v>
      </c>
      <c r="B1226" s="13" t="s">
        <v>4488</v>
      </c>
      <c r="C1226" s="13" t="s">
        <v>103</v>
      </c>
      <c r="D1226" s="13" t="s">
        <v>4489</v>
      </c>
      <c r="E1226" s="13" t="s">
        <v>28</v>
      </c>
      <c r="F1226" s="13" t="s">
        <v>29</v>
      </c>
      <c r="G1226" s="13" t="s">
        <v>85</v>
      </c>
      <c r="H1226" s="13" t="s">
        <v>31</v>
      </c>
      <c r="I1226" s="27" t="s">
        <v>4490</v>
      </c>
      <c r="J1226" s="27" t="s">
        <v>33</v>
      </c>
      <c r="K1226" s="27" t="s">
        <v>106</v>
      </c>
      <c r="L1226" s="27" t="s">
        <v>35</v>
      </c>
      <c r="M1226" s="27" t="s">
        <v>36</v>
      </c>
      <c r="N1226" s="17">
        <f t="shared" si="86"/>
        <v>45754</v>
      </c>
      <c r="O1226" s="13" t="s">
        <v>107</v>
      </c>
      <c r="P1226" s="13" t="s">
        <v>230</v>
      </c>
      <c r="Q1226" s="13" t="s">
        <v>38</v>
      </c>
      <c r="R1226" s="13" t="s">
        <v>4491</v>
      </c>
      <c r="S1226" s="13" t="s">
        <v>87</v>
      </c>
      <c r="T1226" s="28">
        <v>35.380000000000003</v>
      </c>
      <c r="U1226" s="13" t="s">
        <v>28</v>
      </c>
      <c r="V1226" s="13" t="s">
        <v>146</v>
      </c>
      <c r="W1226" s="13" t="s">
        <v>85</v>
      </c>
      <c r="X1226" s="17">
        <f t="shared" si="87"/>
        <v>45754</v>
      </c>
    </row>
    <row r="1227" spans="1:24" ht="45" customHeight="1">
      <c r="A1227" s="3">
        <v>1225</v>
      </c>
      <c r="B1227" s="13" t="s">
        <v>4492</v>
      </c>
      <c r="C1227" s="13" t="s">
        <v>103</v>
      </c>
      <c r="D1227" s="13" t="s">
        <v>4493</v>
      </c>
      <c r="E1227" s="13" t="s">
        <v>28</v>
      </c>
      <c r="F1227" s="13" t="s">
        <v>29</v>
      </c>
      <c r="G1227" s="13" t="s">
        <v>85</v>
      </c>
      <c r="H1227" s="13" t="s">
        <v>31</v>
      </c>
      <c r="I1227" s="27" t="s">
        <v>4494</v>
      </c>
      <c r="J1227" s="27" t="s">
        <v>33</v>
      </c>
      <c r="K1227" s="27" t="s">
        <v>106</v>
      </c>
      <c r="L1227" s="27" t="s">
        <v>35</v>
      </c>
      <c r="M1227" s="27" t="s">
        <v>36</v>
      </c>
      <c r="N1227" s="17">
        <f t="shared" si="86"/>
        <v>45754</v>
      </c>
      <c r="O1227" s="13" t="s">
        <v>107</v>
      </c>
      <c r="P1227" s="13" t="s">
        <v>230</v>
      </c>
      <c r="Q1227" s="13" t="s">
        <v>38</v>
      </c>
      <c r="R1227" s="13" t="s">
        <v>4495</v>
      </c>
      <c r="S1227" s="13" t="s">
        <v>87</v>
      </c>
      <c r="T1227" s="28">
        <v>26.93</v>
      </c>
      <c r="U1227" s="13" t="s">
        <v>28</v>
      </c>
      <c r="V1227" s="13" t="s">
        <v>146</v>
      </c>
      <c r="W1227" s="13" t="s">
        <v>85</v>
      </c>
      <c r="X1227" s="17">
        <f t="shared" si="87"/>
        <v>45754</v>
      </c>
    </row>
    <row r="1228" spans="1:24" ht="45" customHeight="1">
      <c r="A1228" s="3">
        <v>1226</v>
      </c>
      <c r="B1228" s="13" t="s">
        <v>4496</v>
      </c>
      <c r="C1228" s="13" t="s">
        <v>103</v>
      </c>
      <c r="D1228" s="13" t="s">
        <v>4497</v>
      </c>
      <c r="E1228" s="13" t="s">
        <v>28</v>
      </c>
      <c r="F1228" s="13" t="s">
        <v>29</v>
      </c>
      <c r="G1228" s="13" t="s">
        <v>85</v>
      </c>
      <c r="H1228" s="13" t="s">
        <v>31</v>
      </c>
      <c r="I1228" s="27" t="s">
        <v>4498</v>
      </c>
      <c r="J1228" s="27" t="s">
        <v>33</v>
      </c>
      <c r="K1228" s="27" t="s">
        <v>106</v>
      </c>
      <c r="L1228" s="27" t="s">
        <v>35</v>
      </c>
      <c r="M1228" s="27" t="s">
        <v>36</v>
      </c>
      <c r="N1228" s="17">
        <f t="shared" si="86"/>
        <v>45754</v>
      </c>
      <c r="O1228" s="13" t="s">
        <v>107</v>
      </c>
      <c r="P1228" s="13" t="s">
        <v>87</v>
      </c>
      <c r="Q1228" s="13" t="s">
        <v>38</v>
      </c>
      <c r="R1228" s="13" t="s">
        <v>4499</v>
      </c>
      <c r="S1228" s="13" t="s">
        <v>87</v>
      </c>
      <c r="T1228" s="28">
        <v>22.56</v>
      </c>
      <c r="U1228" s="13" t="s">
        <v>28</v>
      </c>
      <c r="V1228" s="13" t="s">
        <v>53</v>
      </c>
      <c r="W1228" s="13" t="s">
        <v>85</v>
      </c>
      <c r="X1228" s="17">
        <f t="shared" si="87"/>
        <v>45754</v>
      </c>
    </row>
    <row r="1229" spans="1:24" ht="45" customHeight="1">
      <c r="A1229" s="3">
        <v>1227</v>
      </c>
      <c r="B1229" s="13" t="s">
        <v>4500</v>
      </c>
      <c r="C1229" s="13" t="s">
        <v>103</v>
      </c>
      <c r="D1229" s="13" t="s">
        <v>4501</v>
      </c>
      <c r="E1229" s="13" t="s">
        <v>28</v>
      </c>
      <c r="F1229" s="13" t="s">
        <v>29</v>
      </c>
      <c r="G1229" s="13" t="s">
        <v>123</v>
      </c>
      <c r="H1229" s="13" t="s">
        <v>31</v>
      </c>
      <c r="I1229" s="27" t="s">
        <v>4502</v>
      </c>
      <c r="J1229" s="27" t="s">
        <v>33</v>
      </c>
      <c r="K1229" s="27" t="s">
        <v>106</v>
      </c>
      <c r="L1229" s="27" t="s">
        <v>35</v>
      </c>
      <c r="M1229" s="27" t="s">
        <v>36</v>
      </c>
      <c r="N1229" s="17">
        <f t="shared" si="86"/>
        <v>45754</v>
      </c>
      <c r="O1229" s="13" t="s">
        <v>107</v>
      </c>
      <c r="P1229" s="13" t="s">
        <v>125</v>
      </c>
      <c r="Q1229" s="13" t="s">
        <v>38</v>
      </c>
      <c r="R1229" s="13" t="s">
        <v>4503</v>
      </c>
      <c r="S1229" s="13" t="s">
        <v>127</v>
      </c>
      <c r="T1229" s="28">
        <v>29.52</v>
      </c>
      <c r="U1229" s="13" t="s">
        <v>28</v>
      </c>
      <c r="V1229" s="13" t="s">
        <v>89</v>
      </c>
      <c r="W1229" s="13" t="s">
        <v>128</v>
      </c>
      <c r="X1229" s="17">
        <f t="shared" si="87"/>
        <v>45754</v>
      </c>
    </row>
    <row r="1230" spans="1:24" ht="45" customHeight="1">
      <c r="A1230" s="3">
        <v>1228</v>
      </c>
      <c r="B1230" s="13" t="s">
        <v>4504</v>
      </c>
      <c r="C1230" s="13" t="s">
        <v>103</v>
      </c>
      <c r="D1230" s="13" t="s">
        <v>4505</v>
      </c>
      <c r="E1230" s="13" t="s">
        <v>28</v>
      </c>
      <c r="F1230" s="13" t="s">
        <v>29</v>
      </c>
      <c r="G1230" s="13" t="s">
        <v>85</v>
      </c>
      <c r="H1230" s="13" t="s">
        <v>31</v>
      </c>
      <c r="I1230" s="27" t="s">
        <v>4506</v>
      </c>
      <c r="J1230" s="27" t="s">
        <v>33</v>
      </c>
      <c r="K1230" s="27" t="s">
        <v>106</v>
      </c>
      <c r="L1230" s="27" t="s">
        <v>35</v>
      </c>
      <c r="M1230" s="27" t="s">
        <v>36</v>
      </c>
      <c r="N1230" s="17">
        <f t="shared" si="86"/>
        <v>45754</v>
      </c>
      <c r="O1230" s="13" t="s">
        <v>107</v>
      </c>
      <c r="P1230" s="13" t="s">
        <v>87</v>
      </c>
      <c r="Q1230" s="13" t="s">
        <v>38</v>
      </c>
      <c r="R1230" s="13" t="s">
        <v>4507</v>
      </c>
      <c r="S1230" s="13" t="s">
        <v>87</v>
      </c>
      <c r="T1230" s="28">
        <v>21.54</v>
      </c>
      <c r="U1230" s="13" t="s">
        <v>28</v>
      </c>
      <c r="V1230" s="13" t="s">
        <v>89</v>
      </c>
      <c r="W1230" s="13" t="s">
        <v>85</v>
      </c>
      <c r="X1230" s="17">
        <f t="shared" si="87"/>
        <v>45754</v>
      </c>
    </row>
    <row r="1231" spans="1:24" ht="45" customHeight="1">
      <c r="A1231" s="3">
        <v>1229</v>
      </c>
      <c r="B1231" s="13" t="s">
        <v>4508</v>
      </c>
      <c r="C1231" s="13" t="s">
        <v>103</v>
      </c>
      <c r="D1231" s="13" t="s">
        <v>4509</v>
      </c>
      <c r="E1231" s="13" t="s">
        <v>28</v>
      </c>
      <c r="F1231" s="13" t="s">
        <v>29</v>
      </c>
      <c r="G1231" s="13" t="s">
        <v>56</v>
      </c>
      <c r="H1231" s="13" t="s">
        <v>31</v>
      </c>
      <c r="I1231" s="27" t="s">
        <v>4510</v>
      </c>
      <c r="J1231" s="27" t="s">
        <v>33</v>
      </c>
      <c r="K1231" s="27" t="s">
        <v>106</v>
      </c>
      <c r="L1231" s="27" t="s">
        <v>35</v>
      </c>
      <c r="M1231" s="27" t="s">
        <v>36</v>
      </c>
      <c r="N1231" s="17">
        <f t="shared" si="86"/>
        <v>45754</v>
      </c>
      <c r="O1231" s="13" t="s">
        <v>107</v>
      </c>
      <c r="P1231" s="13" t="s">
        <v>58</v>
      </c>
      <c r="Q1231" s="13" t="s">
        <v>38</v>
      </c>
      <c r="R1231" s="13" t="s">
        <v>4511</v>
      </c>
      <c r="S1231" s="13" t="s">
        <v>58</v>
      </c>
      <c r="T1231" s="28">
        <v>18.62</v>
      </c>
      <c r="U1231" s="13" t="s">
        <v>28</v>
      </c>
      <c r="V1231" s="13" t="s">
        <v>40</v>
      </c>
      <c r="W1231" s="13" t="s">
        <v>56</v>
      </c>
      <c r="X1231" s="17">
        <f t="shared" si="87"/>
        <v>45754</v>
      </c>
    </row>
    <row r="1232" spans="1:24" ht="45" customHeight="1">
      <c r="A1232" s="3">
        <v>1230</v>
      </c>
      <c r="B1232" s="13" t="s">
        <v>4512</v>
      </c>
      <c r="C1232" s="13" t="s">
        <v>103</v>
      </c>
      <c r="D1232" s="13" t="s">
        <v>4513</v>
      </c>
      <c r="E1232" s="13" t="s">
        <v>28</v>
      </c>
      <c r="F1232" s="13" t="s">
        <v>29</v>
      </c>
      <c r="G1232" s="13" t="s">
        <v>123</v>
      </c>
      <c r="H1232" s="13" t="s">
        <v>31</v>
      </c>
      <c r="I1232" s="27" t="s">
        <v>4514</v>
      </c>
      <c r="J1232" s="27" t="s">
        <v>33</v>
      </c>
      <c r="K1232" s="27" t="s">
        <v>106</v>
      </c>
      <c r="L1232" s="27" t="s">
        <v>35</v>
      </c>
      <c r="M1232" s="27" t="s">
        <v>36</v>
      </c>
      <c r="N1232" s="17">
        <f t="shared" si="86"/>
        <v>45754</v>
      </c>
      <c r="O1232" s="13" t="s">
        <v>107</v>
      </c>
      <c r="P1232" s="13" t="s">
        <v>1199</v>
      </c>
      <c r="Q1232" s="13" t="s">
        <v>38</v>
      </c>
      <c r="R1232" s="13" t="s">
        <v>4515</v>
      </c>
      <c r="S1232" s="13" t="s">
        <v>127</v>
      </c>
      <c r="T1232" s="28">
        <v>23.47</v>
      </c>
      <c r="U1232" s="13" t="s">
        <v>28</v>
      </c>
      <c r="V1232" s="13" t="s">
        <v>53</v>
      </c>
      <c r="W1232" s="13" t="s">
        <v>128</v>
      </c>
      <c r="X1232" s="17">
        <f t="shared" si="87"/>
        <v>45754</v>
      </c>
    </row>
    <row r="1233" spans="1:24" ht="45" customHeight="1">
      <c r="A1233" s="3">
        <v>1231</v>
      </c>
      <c r="B1233" s="13" t="s">
        <v>4516</v>
      </c>
      <c r="C1233" s="13" t="s">
        <v>103</v>
      </c>
      <c r="D1233" s="13" t="s">
        <v>4517</v>
      </c>
      <c r="E1233" s="13" t="s">
        <v>28</v>
      </c>
      <c r="F1233" s="13" t="s">
        <v>29</v>
      </c>
      <c r="G1233" s="13" t="s">
        <v>123</v>
      </c>
      <c r="H1233" s="13" t="s">
        <v>31</v>
      </c>
      <c r="I1233" s="27" t="s">
        <v>4518</v>
      </c>
      <c r="J1233" s="27" t="s">
        <v>33</v>
      </c>
      <c r="K1233" s="27" t="s">
        <v>106</v>
      </c>
      <c r="L1233" s="27" t="s">
        <v>35</v>
      </c>
      <c r="M1233" s="27" t="s">
        <v>36</v>
      </c>
      <c r="N1233" s="17">
        <f t="shared" si="86"/>
        <v>45754</v>
      </c>
      <c r="O1233" s="13" t="s">
        <v>107</v>
      </c>
      <c r="P1233" s="13" t="s">
        <v>1199</v>
      </c>
      <c r="Q1233" s="13" t="s">
        <v>38</v>
      </c>
      <c r="R1233" s="13" t="s">
        <v>4519</v>
      </c>
      <c r="S1233" s="13" t="s">
        <v>127</v>
      </c>
      <c r="T1233" s="28">
        <v>22.05</v>
      </c>
      <c r="U1233" s="13" t="s">
        <v>28</v>
      </c>
      <c r="V1233" s="13" t="s">
        <v>53</v>
      </c>
      <c r="W1233" s="13" t="s">
        <v>128</v>
      </c>
      <c r="X1233" s="17">
        <f t="shared" si="87"/>
        <v>45754</v>
      </c>
    </row>
    <row r="1234" spans="1:24" ht="45" customHeight="1">
      <c r="A1234" s="3">
        <v>1232</v>
      </c>
      <c r="B1234" s="13" t="s">
        <v>4520</v>
      </c>
      <c r="C1234" s="13" t="s">
        <v>103</v>
      </c>
      <c r="D1234" s="13" t="s">
        <v>4521</v>
      </c>
      <c r="E1234" s="13" t="s">
        <v>28</v>
      </c>
      <c r="F1234" s="13" t="s">
        <v>29</v>
      </c>
      <c r="G1234" s="13" t="s">
        <v>1216</v>
      </c>
      <c r="H1234" s="13" t="s">
        <v>31</v>
      </c>
      <c r="I1234" s="27" t="s">
        <v>4522</v>
      </c>
      <c r="J1234" s="27" t="s">
        <v>33</v>
      </c>
      <c r="K1234" s="27" t="s">
        <v>106</v>
      </c>
      <c r="L1234" s="27" t="s">
        <v>35</v>
      </c>
      <c r="M1234" s="27" t="s">
        <v>36</v>
      </c>
      <c r="N1234" s="17">
        <f t="shared" si="86"/>
        <v>45754</v>
      </c>
      <c r="O1234" s="13" t="s">
        <v>107</v>
      </c>
      <c r="P1234" s="13" t="s">
        <v>1215</v>
      </c>
      <c r="Q1234" s="13" t="s">
        <v>38</v>
      </c>
      <c r="R1234" s="13" t="s">
        <v>4523</v>
      </c>
      <c r="S1234" s="13" t="s">
        <v>1215</v>
      </c>
      <c r="T1234" s="28">
        <v>21.7</v>
      </c>
      <c r="U1234" s="13" t="s">
        <v>28</v>
      </c>
      <c r="V1234" s="13" t="s">
        <v>146</v>
      </c>
      <c r="W1234" s="13" t="s">
        <v>1219</v>
      </c>
      <c r="X1234" s="17">
        <f t="shared" si="87"/>
        <v>45754</v>
      </c>
    </row>
    <row r="1235" spans="1:24" ht="45" customHeight="1">
      <c r="A1235" s="3">
        <v>1233</v>
      </c>
      <c r="B1235" s="13" t="s">
        <v>4524</v>
      </c>
      <c r="C1235" s="13" t="s">
        <v>103</v>
      </c>
      <c r="D1235" s="13" t="s">
        <v>4525</v>
      </c>
      <c r="E1235" s="13" t="s">
        <v>28</v>
      </c>
      <c r="F1235" s="13" t="s">
        <v>29</v>
      </c>
      <c r="G1235" s="13" t="s">
        <v>56</v>
      </c>
      <c r="H1235" s="13" t="s">
        <v>31</v>
      </c>
      <c r="I1235" s="27" t="s">
        <v>4526</v>
      </c>
      <c r="J1235" s="27" t="s">
        <v>33</v>
      </c>
      <c r="K1235" s="27" t="s">
        <v>106</v>
      </c>
      <c r="L1235" s="27" t="s">
        <v>35</v>
      </c>
      <c r="M1235" s="27" t="s">
        <v>36</v>
      </c>
      <c r="N1235" s="17">
        <f t="shared" si="86"/>
        <v>45754</v>
      </c>
      <c r="O1235" s="13" t="s">
        <v>107</v>
      </c>
      <c r="P1235" s="13" t="s">
        <v>58</v>
      </c>
      <c r="Q1235" s="13" t="s">
        <v>38</v>
      </c>
      <c r="R1235" s="13" t="s">
        <v>4527</v>
      </c>
      <c r="S1235" s="13" t="s">
        <v>58</v>
      </c>
      <c r="T1235" s="28">
        <v>21.65</v>
      </c>
      <c r="U1235" s="13" t="s">
        <v>28</v>
      </c>
      <c r="V1235" s="13" t="s">
        <v>76</v>
      </c>
      <c r="W1235" s="13" t="s">
        <v>56</v>
      </c>
      <c r="X1235" s="17">
        <f t="shared" si="87"/>
        <v>45754</v>
      </c>
    </row>
    <row r="1236" spans="1:24" ht="45" customHeight="1">
      <c r="A1236" s="3">
        <v>1234</v>
      </c>
      <c r="B1236" s="13" t="s">
        <v>4528</v>
      </c>
      <c r="C1236" s="13" t="s">
        <v>103</v>
      </c>
      <c r="D1236" s="13" t="s">
        <v>4529</v>
      </c>
      <c r="E1236" s="13" t="s">
        <v>28</v>
      </c>
      <c r="F1236" s="13" t="s">
        <v>29</v>
      </c>
      <c r="G1236" s="13" t="s">
        <v>56</v>
      </c>
      <c r="H1236" s="13" t="s">
        <v>31</v>
      </c>
      <c r="I1236" s="27" t="s">
        <v>4530</v>
      </c>
      <c r="J1236" s="27" t="s">
        <v>33</v>
      </c>
      <c r="K1236" s="27" t="s">
        <v>106</v>
      </c>
      <c r="L1236" s="27" t="s">
        <v>35</v>
      </c>
      <c r="M1236" s="27" t="s">
        <v>36</v>
      </c>
      <c r="N1236" s="17">
        <f t="shared" si="86"/>
        <v>45754</v>
      </c>
      <c r="O1236" s="13" t="s">
        <v>107</v>
      </c>
      <c r="P1236" s="13" t="s">
        <v>58</v>
      </c>
      <c r="Q1236" s="13" t="s">
        <v>38</v>
      </c>
      <c r="R1236" s="13" t="s">
        <v>365</v>
      </c>
      <c r="S1236" s="13" t="s">
        <v>58</v>
      </c>
      <c r="T1236" s="28">
        <v>24.93</v>
      </c>
      <c r="U1236" s="13" t="s">
        <v>28</v>
      </c>
      <c r="V1236" s="13" t="s">
        <v>40</v>
      </c>
      <c r="W1236" s="13" t="s">
        <v>56</v>
      </c>
      <c r="X1236" s="17">
        <f t="shared" si="87"/>
        <v>45754</v>
      </c>
    </row>
    <row r="1237" spans="1:24" ht="45" customHeight="1">
      <c r="A1237" s="3">
        <v>1235</v>
      </c>
      <c r="B1237" s="13" t="s">
        <v>4531</v>
      </c>
      <c r="C1237" s="13" t="s">
        <v>26</v>
      </c>
      <c r="D1237" s="13" t="s">
        <v>4532</v>
      </c>
      <c r="E1237" s="13" t="s">
        <v>28</v>
      </c>
      <c r="F1237" s="13" t="s">
        <v>29</v>
      </c>
      <c r="G1237" s="13" t="s">
        <v>30</v>
      </c>
      <c r="H1237" s="13" t="s">
        <v>31</v>
      </c>
      <c r="I1237" s="27" t="s">
        <v>4533</v>
      </c>
      <c r="J1237" s="27" t="s">
        <v>33</v>
      </c>
      <c r="K1237" s="27" t="s">
        <v>34</v>
      </c>
      <c r="L1237" s="27" t="s">
        <v>35</v>
      </c>
      <c r="M1237" s="27" t="s">
        <v>36</v>
      </c>
      <c r="N1237" s="17">
        <f t="shared" si="86"/>
        <v>45754</v>
      </c>
      <c r="O1237" s="13" t="s">
        <v>34</v>
      </c>
      <c r="P1237" s="13" t="s">
        <v>37</v>
      </c>
      <c r="Q1237" s="13" t="s">
        <v>38</v>
      </c>
      <c r="R1237" s="13" t="s">
        <v>4534</v>
      </c>
      <c r="S1237" s="13" t="s">
        <v>37</v>
      </c>
      <c r="T1237" s="28">
        <v>22.23</v>
      </c>
      <c r="U1237" s="13" t="s">
        <v>28</v>
      </c>
      <c r="V1237" s="13" t="s">
        <v>76</v>
      </c>
      <c r="W1237" s="13" t="s">
        <v>30</v>
      </c>
      <c r="X1237" s="17">
        <f t="shared" si="87"/>
        <v>45754</v>
      </c>
    </row>
    <row r="1238" spans="1:24" ht="45" customHeight="1">
      <c r="A1238" s="3">
        <v>1236</v>
      </c>
      <c r="B1238" s="13" t="s">
        <v>4535</v>
      </c>
      <c r="C1238" s="13" t="s">
        <v>26</v>
      </c>
      <c r="D1238" s="13" t="s">
        <v>4536</v>
      </c>
      <c r="E1238" s="13" t="s">
        <v>28</v>
      </c>
      <c r="F1238" s="13" t="s">
        <v>29</v>
      </c>
      <c r="G1238" s="13" t="s">
        <v>48</v>
      </c>
      <c r="H1238" s="13" t="s">
        <v>31</v>
      </c>
      <c r="I1238" s="27" t="s">
        <v>4537</v>
      </c>
      <c r="J1238" s="27" t="s">
        <v>33</v>
      </c>
      <c r="K1238" s="27" t="s">
        <v>34</v>
      </c>
      <c r="L1238" s="27" t="s">
        <v>35</v>
      </c>
      <c r="M1238" s="27" t="s">
        <v>36</v>
      </c>
      <c r="N1238" s="17">
        <f t="shared" si="86"/>
        <v>45754</v>
      </c>
      <c r="O1238" s="13" t="s">
        <v>34</v>
      </c>
      <c r="P1238" s="13" t="s">
        <v>52</v>
      </c>
      <c r="Q1238" s="13" t="s">
        <v>38</v>
      </c>
      <c r="R1238" s="13" t="s">
        <v>4538</v>
      </c>
      <c r="S1238" s="13" t="s">
        <v>52</v>
      </c>
      <c r="T1238" s="28">
        <v>28.81</v>
      </c>
      <c r="U1238" s="13" t="s">
        <v>28</v>
      </c>
      <c r="V1238" s="13" t="s">
        <v>146</v>
      </c>
      <c r="W1238" s="13" t="s">
        <v>48</v>
      </c>
      <c r="X1238" s="17">
        <f t="shared" si="87"/>
        <v>45754</v>
      </c>
    </row>
    <row r="1239" spans="1:24" ht="45" customHeight="1">
      <c r="A1239" s="3">
        <v>1237</v>
      </c>
      <c r="B1239" s="13" t="s">
        <v>4539</v>
      </c>
      <c r="C1239" s="13" t="s">
        <v>26</v>
      </c>
      <c r="D1239" s="13" t="s">
        <v>4540</v>
      </c>
      <c r="E1239" s="13" t="s">
        <v>28</v>
      </c>
      <c r="F1239" s="13" t="s">
        <v>29</v>
      </c>
      <c r="G1239" s="13" t="s">
        <v>85</v>
      </c>
      <c r="H1239" s="13" t="s">
        <v>31</v>
      </c>
      <c r="I1239" s="27" t="s">
        <v>4541</v>
      </c>
      <c r="J1239" s="27" t="s">
        <v>33</v>
      </c>
      <c r="K1239" s="27" t="s">
        <v>34</v>
      </c>
      <c r="L1239" s="27" t="s">
        <v>35</v>
      </c>
      <c r="M1239" s="27" t="s">
        <v>36</v>
      </c>
      <c r="N1239" s="17">
        <f t="shared" si="86"/>
        <v>45754</v>
      </c>
      <c r="O1239" s="13" t="s">
        <v>34</v>
      </c>
      <c r="P1239" s="13" t="s">
        <v>87</v>
      </c>
      <c r="Q1239" s="13" t="s">
        <v>38</v>
      </c>
      <c r="R1239" s="13" t="s">
        <v>4542</v>
      </c>
      <c r="S1239" s="13" t="s">
        <v>87</v>
      </c>
      <c r="T1239" s="28">
        <v>22.43</v>
      </c>
      <c r="U1239" s="13" t="s">
        <v>28</v>
      </c>
      <c r="V1239" s="13" t="s">
        <v>89</v>
      </c>
      <c r="W1239" s="13" t="s">
        <v>85</v>
      </c>
      <c r="X1239" s="17">
        <f t="shared" si="87"/>
        <v>45754</v>
      </c>
    </row>
    <row r="1240" spans="1:24" ht="45" customHeight="1">
      <c r="A1240" s="3">
        <v>1238</v>
      </c>
      <c r="B1240" s="13" t="s">
        <v>4543</v>
      </c>
      <c r="C1240" s="13" t="s">
        <v>26</v>
      </c>
      <c r="D1240" s="13" t="s">
        <v>4544</v>
      </c>
      <c r="E1240" s="13" t="s">
        <v>28</v>
      </c>
      <c r="F1240" s="13" t="s">
        <v>29</v>
      </c>
      <c r="G1240" s="13" t="s">
        <v>43</v>
      </c>
      <c r="H1240" s="13" t="s">
        <v>31</v>
      </c>
      <c r="I1240" s="27" t="s">
        <v>4545</v>
      </c>
      <c r="J1240" s="27" t="s">
        <v>33</v>
      </c>
      <c r="K1240" s="27" t="s">
        <v>34</v>
      </c>
      <c r="L1240" s="27" t="s">
        <v>35</v>
      </c>
      <c r="M1240" s="27" t="s">
        <v>36</v>
      </c>
      <c r="N1240" s="17">
        <f t="shared" si="86"/>
        <v>45754</v>
      </c>
      <c r="O1240" s="13" t="s">
        <v>34</v>
      </c>
      <c r="P1240" s="13" t="s">
        <v>37</v>
      </c>
      <c r="Q1240" s="13" t="s">
        <v>38</v>
      </c>
      <c r="R1240" s="13" t="s">
        <v>4546</v>
      </c>
      <c r="S1240" s="13" t="s">
        <v>37</v>
      </c>
      <c r="T1240" s="28">
        <v>25.16</v>
      </c>
      <c r="U1240" s="13" t="s">
        <v>28</v>
      </c>
      <c r="V1240" s="13" t="s">
        <v>76</v>
      </c>
      <c r="W1240" s="13" t="s">
        <v>43</v>
      </c>
      <c r="X1240" s="17">
        <f t="shared" si="87"/>
        <v>45754</v>
      </c>
    </row>
    <row r="1241" spans="1:24" ht="45" customHeight="1">
      <c r="A1241" s="3">
        <v>1239</v>
      </c>
      <c r="B1241" s="13" t="s">
        <v>4547</v>
      </c>
      <c r="C1241" s="13" t="s">
        <v>26</v>
      </c>
      <c r="D1241" s="13" t="s">
        <v>4548</v>
      </c>
      <c r="E1241" s="13" t="s">
        <v>28</v>
      </c>
      <c r="F1241" s="13" t="s">
        <v>29</v>
      </c>
      <c r="G1241" s="13" t="s">
        <v>30</v>
      </c>
      <c r="H1241" s="13" t="s">
        <v>31</v>
      </c>
      <c r="I1241" s="27" t="s">
        <v>4549</v>
      </c>
      <c r="J1241" s="27" t="s">
        <v>33</v>
      </c>
      <c r="K1241" s="27" t="s">
        <v>34</v>
      </c>
      <c r="L1241" s="27" t="s">
        <v>35</v>
      </c>
      <c r="M1241" s="27" t="s">
        <v>36</v>
      </c>
      <c r="N1241" s="17">
        <f t="shared" si="86"/>
        <v>45754</v>
      </c>
      <c r="O1241" s="13" t="s">
        <v>34</v>
      </c>
      <c r="P1241" s="13" t="s">
        <v>37</v>
      </c>
      <c r="Q1241" s="13" t="s">
        <v>38</v>
      </c>
      <c r="R1241" s="13" t="s">
        <v>365</v>
      </c>
      <c r="S1241" s="13" t="s">
        <v>37</v>
      </c>
      <c r="T1241" s="28">
        <v>22.98</v>
      </c>
      <c r="U1241" s="13" t="s">
        <v>28</v>
      </c>
      <c r="V1241" s="13" t="s">
        <v>40</v>
      </c>
      <c r="W1241" s="13" t="s">
        <v>30</v>
      </c>
      <c r="X1241" s="17">
        <f t="shared" si="87"/>
        <v>45754</v>
      </c>
    </row>
    <row r="1242" spans="1:24" ht="45" customHeight="1">
      <c r="A1242" s="3">
        <v>1240</v>
      </c>
      <c r="B1242" s="13" t="s">
        <v>4550</v>
      </c>
      <c r="C1242" s="13" t="s">
        <v>26</v>
      </c>
      <c r="D1242" s="13" t="s">
        <v>4551</v>
      </c>
      <c r="E1242" s="13" t="s">
        <v>28</v>
      </c>
      <c r="F1242" s="13" t="s">
        <v>29</v>
      </c>
      <c r="G1242" s="13" t="s">
        <v>43</v>
      </c>
      <c r="H1242" s="13" t="s">
        <v>31</v>
      </c>
      <c r="I1242" s="27" t="s">
        <v>4552</v>
      </c>
      <c r="J1242" s="27" t="s">
        <v>33</v>
      </c>
      <c r="K1242" s="27" t="s">
        <v>34</v>
      </c>
      <c r="L1242" s="27" t="s">
        <v>35</v>
      </c>
      <c r="M1242" s="27" t="s">
        <v>36</v>
      </c>
      <c r="N1242" s="17">
        <f t="shared" si="86"/>
        <v>45754</v>
      </c>
      <c r="O1242" s="13" t="s">
        <v>34</v>
      </c>
      <c r="P1242" s="13" t="s">
        <v>37</v>
      </c>
      <c r="Q1242" s="13" t="s">
        <v>38</v>
      </c>
      <c r="R1242" s="13" t="s">
        <v>4553</v>
      </c>
      <c r="S1242" s="13" t="s">
        <v>37</v>
      </c>
      <c r="T1242" s="28">
        <v>28.88</v>
      </c>
      <c r="U1242" s="13" t="s">
        <v>28</v>
      </c>
      <c r="V1242" s="13" t="s">
        <v>40</v>
      </c>
      <c r="W1242" s="13" t="s">
        <v>43</v>
      </c>
      <c r="X1242" s="17">
        <f t="shared" si="87"/>
        <v>45754</v>
      </c>
    </row>
    <row r="1243" spans="1:24" ht="45" customHeight="1">
      <c r="A1243" s="3">
        <v>1241</v>
      </c>
      <c r="B1243" s="13" t="s">
        <v>4554</v>
      </c>
      <c r="C1243" s="13" t="s">
        <v>26</v>
      </c>
      <c r="D1243" s="13" t="s">
        <v>4555</v>
      </c>
      <c r="E1243" s="13" t="s">
        <v>28</v>
      </c>
      <c r="F1243" s="13" t="s">
        <v>29</v>
      </c>
      <c r="G1243" s="13" t="s">
        <v>79</v>
      </c>
      <c r="H1243" s="13" t="s">
        <v>31</v>
      </c>
      <c r="I1243" s="27" t="s">
        <v>4556</v>
      </c>
      <c r="J1243" s="27" t="s">
        <v>33</v>
      </c>
      <c r="K1243" s="27" t="s">
        <v>34</v>
      </c>
      <c r="L1243" s="27" t="s">
        <v>35</v>
      </c>
      <c r="M1243" s="27" t="s">
        <v>36</v>
      </c>
      <c r="N1243" s="17">
        <f t="shared" si="86"/>
        <v>45754</v>
      </c>
      <c r="O1243" s="13" t="s">
        <v>34</v>
      </c>
      <c r="P1243" s="13" t="s">
        <v>81</v>
      </c>
      <c r="Q1243" s="13" t="s">
        <v>38</v>
      </c>
      <c r="R1243" s="13" t="s">
        <v>4557</v>
      </c>
      <c r="S1243" s="13" t="s">
        <v>81</v>
      </c>
      <c r="T1243" s="28">
        <v>21.34</v>
      </c>
      <c r="U1243" s="13" t="s">
        <v>28</v>
      </c>
      <c r="V1243" s="13" t="s">
        <v>40</v>
      </c>
      <c r="W1243" s="13" t="s">
        <v>79</v>
      </c>
      <c r="X1243" s="17">
        <f t="shared" si="87"/>
        <v>45754</v>
      </c>
    </row>
    <row r="1244" spans="1:24" ht="45" customHeight="1">
      <c r="A1244" s="3">
        <v>1242</v>
      </c>
      <c r="B1244" s="13" t="s">
        <v>4558</v>
      </c>
      <c r="C1244" s="13" t="s">
        <v>26</v>
      </c>
      <c r="D1244" s="13" t="s">
        <v>4559</v>
      </c>
      <c r="E1244" s="13" t="s">
        <v>28</v>
      </c>
      <c r="F1244" s="13" t="s">
        <v>29</v>
      </c>
      <c r="G1244" s="13" t="s">
        <v>79</v>
      </c>
      <c r="H1244" s="13" t="s">
        <v>31</v>
      </c>
      <c r="I1244" s="27" t="s">
        <v>4560</v>
      </c>
      <c r="J1244" s="27" t="s">
        <v>33</v>
      </c>
      <c r="K1244" s="27" t="s">
        <v>34</v>
      </c>
      <c r="L1244" s="27" t="s">
        <v>35</v>
      </c>
      <c r="M1244" s="27" t="s">
        <v>36</v>
      </c>
      <c r="N1244" s="17">
        <f t="shared" si="86"/>
        <v>45754</v>
      </c>
      <c r="O1244" s="13" t="s">
        <v>34</v>
      </c>
      <c r="P1244" s="13" t="s">
        <v>81</v>
      </c>
      <c r="Q1244" s="13" t="s">
        <v>38</v>
      </c>
      <c r="R1244" s="13" t="s">
        <v>4561</v>
      </c>
      <c r="S1244" s="13" t="s">
        <v>81</v>
      </c>
      <c r="T1244" s="28">
        <v>21.95</v>
      </c>
      <c r="U1244" s="13" t="s">
        <v>28</v>
      </c>
      <c r="V1244" s="13" t="s">
        <v>40</v>
      </c>
      <c r="W1244" s="13" t="s">
        <v>79</v>
      </c>
      <c r="X1244" s="17">
        <f t="shared" si="87"/>
        <v>45754</v>
      </c>
    </row>
    <row r="1245" spans="1:24" ht="45" customHeight="1">
      <c r="A1245" s="3">
        <v>1243</v>
      </c>
      <c r="B1245" s="13" t="s">
        <v>4562</v>
      </c>
      <c r="C1245" s="13" t="s">
        <v>26</v>
      </c>
      <c r="D1245" s="13" t="s">
        <v>4563</v>
      </c>
      <c r="E1245" s="13" t="s">
        <v>28</v>
      </c>
      <c r="F1245" s="13" t="s">
        <v>29</v>
      </c>
      <c r="G1245" s="13" t="s">
        <v>48</v>
      </c>
      <c r="H1245" s="13" t="s">
        <v>31</v>
      </c>
      <c r="I1245" s="27" t="s">
        <v>4564</v>
      </c>
      <c r="J1245" s="27" t="s">
        <v>33</v>
      </c>
      <c r="K1245" s="27" t="s">
        <v>34</v>
      </c>
      <c r="L1245" s="27" t="s">
        <v>35</v>
      </c>
      <c r="M1245" s="27" t="s">
        <v>36</v>
      </c>
      <c r="N1245" s="17">
        <f t="shared" si="86"/>
        <v>45754</v>
      </c>
      <c r="O1245" s="13" t="s">
        <v>34</v>
      </c>
      <c r="P1245" s="13" t="s">
        <v>182</v>
      </c>
      <c r="Q1245" s="13" t="s">
        <v>38</v>
      </c>
      <c r="R1245" s="13" t="s">
        <v>4565</v>
      </c>
      <c r="S1245" s="13" t="s">
        <v>52</v>
      </c>
      <c r="T1245" s="28">
        <v>33.24</v>
      </c>
      <c r="U1245" s="13" t="s">
        <v>28</v>
      </c>
      <c r="V1245" s="13" t="s">
        <v>89</v>
      </c>
      <c r="W1245" s="13" t="s">
        <v>48</v>
      </c>
      <c r="X1245" s="17">
        <f t="shared" si="87"/>
        <v>45754</v>
      </c>
    </row>
    <row r="1246" spans="1:24" ht="45" customHeight="1">
      <c r="A1246" s="3">
        <v>1244</v>
      </c>
      <c r="B1246" s="13" t="s">
        <v>4566</v>
      </c>
      <c r="C1246" s="13" t="s">
        <v>26</v>
      </c>
      <c r="D1246" s="13" t="s">
        <v>4567</v>
      </c>
      <c r="E1246" s="13" t="s">
        <v>28</v>
      </c>
      <c r="F1246" s="13" t="s">
        <v>29</v>
      </c>
      <c r="G1246" s="13" t="s">
        <v>79</v>
      </c>
      <c r="H1246" s="13" t="s">
        <v>31</v>
      </c>
      <c r="I1246" s="27" t="s">
        <v>4568</v>
      </c>
      <c r="J1246" s="27" t="s">
        <v>33</v>
      </c>
      <c r="K1246" s="27" t="s">
        <v>34</v>
      </c>
      <c r="L1246" s="27" t="s">
        <v>35</v>
      </c>
      <c r="M1246" s="27" t="s">
        <v>36</v>
      </c>
      <c r="N1246" s="17">
        <f t="shared" si="86"/>
        <v>45754</v>
      </c>
      <c r="O1246" s="13" t="s">
        <v>34</v>
      </c>
      <c r="P1246" s="13" t="s">
        <v>81</v>
      </c>
      <c r="Q1246" s="13" t="s">
        <v>38</v>
      </c>
      <c r="R1246" s="13" t="s">
        <v>365</v>
      </c>
      <c r="S1246" s="13" t="s">
        <v>81</v>
      </c>
      <c r="T1246" s="28">
        <v>29.11</v>
      </c>
      <c r="U1246" s="13" t="s">
        <v>28</v>
      </c>
      <c r="V1246" s="13" t="s">
        <v>76</v>
      </c>
      <c r="W1246" s="13" t="s">
        <v>79</v>
      </c>
      <c r="X1246" s="17">
        <f t="shared" si="87"/>
        <v>45754</v>
      </c>
    </row>
    <row r="1247" spans="1:24" ht="45" customHeight="1">
      <c r="A1247" s="3">
        <v>1245</v>
      </c>
      <c r="B1247" s="13" t="s">
        <v>4569</v>
      </c>
      <c r="C1247" s="13" t="s">
        <v>26</v>
      </c>
      <c r="D1247" s="13" t="s">
        <v>4570</v>
      </c>
      <c r="E1247" s="13" t="s">
        <v>28</v>
      </c>
      <c r="F1247" s="13" t="s">
        <v>29</v>
      </c>
      <c r="G1247" s="13" t="s">
        <v>72</v>
      </c>
      <c r="H1247" s="13" t="s">
        <v>31</v>
      </c>
      <c r="I1247" s="27" t="s">
        <v>4571</v>
      </c>
      <c r="J1247" s="27" t="s">
        <v>33</v>
      </c>
      <c r="K1247" s="27" t="s">
        <v>34</v>
      </c>
      <c r="L1247" s="27" t="s">
        <v>35</v>
      </c>
      <c r="M1247" s="27" t="s">
        <v>36</v>
      </c>
      <c r="N1247" s="17">
        <f t="shared" si="86"/>
        <v>45754</v>
      </c>
      <c r="O1247" s="13" t="s">
        <v>34</v>
      </c>
      <c r="P1247" s="13" t="s">
        <v>74</v>
      </c>
      <c r="Q1247" s="13" t="s">
        <v>38</v>
      </c>
      <c r="R1247" s="13" t="s">
        <v>4572</v>
      </c>
      <c r="S1247" s="13" t="s">
        <v>74</v>
      </c>
      <c r="T1247" s="28">
        <v>31.81</v>
      </c>
      <c r="U1247" s="13" t="s">
        <v>28</v>
      </c>
      <c r="V1247" s="13" t="s">
        <v>40</v>
      </c>
      <c r="W1247" s="13" t="s">
        <v>72</v>
      </c>
      <c r="X1247" s="17">
        <f t="shared" si="87"/>
        <v>45754</v>
      </c>
    </row>
    <row r="1248" spans="1:24" ht="45" customHeight="1">
      <c r="A1248" s="3">
        <v>1246</v>
      </c>
      <c r="B1248" s="13" t="s">
        <v>4573</v>
      </c>
      <c r="C1248" s="13" t="s">
        <v>26</v>
      </c>
      <c r="D1248" s="13" t="s">
        <v>4574</v>
      </c>
      <c r="E1248" s="13" t="s">
        <v>28</v>
      </c>
      <c r="F1248" s="13" t="s">
        <v>29</v>
      </c>
      <c r="G1248" s="13" t="s">
        <v>72</v>
      </c>
      <c r="H1248" s="13" t="s">
        <v>31</v>
      </c>
      <c r="I1248" s="27" t="s">
        <v>4575</v>
      </c>
      <c r="J1248" s="27" t="s">
        <v>33</v>
      </c>
      <c r="K1248" s="27" t="s">
        <v>34</v>
      </c>
      <c r="L1248" s="27" t="s">
        <v>35</v>
      </c>
      <c r="M1248" s="27" t="s">
        <v>36</v>
      </c>
      <c r="N1248" s="17">
        <f t="shared" si="86"/>
        <v>45754</v>
      </c>
      <c r="O1248" s="13" t="s">
        <v>34</v>
      </c>
      <c r="P1248" s="13" t="s">
        <v>74</v>
      </c>
      <c r="Q1248" s="13" t="s">
        <v>38</v>
      </c>
      <c r="R1248" s="13" t="s">
        <v>4576</v>
      </c>
      <c r="S1248" s="13" t="s">
        <v>74</v>
      </c>
      <c r="T1248" s="28">
        <v>20.99</v>
      </c>
      <c r="U1248" s="13" t="s">
        <v>28</v>
      </c>
      <c r="V1248" s="13" t="s">
        <v>76</v>
      </c>
      <c r="W1248" s="13" t="s">
        <v>72</v>
      </c>
      <c r="X1248" s="17">
        <f t="shared" si="87"/>
        <v>45754</v>
      </c>
    </row>
    <row r="1249" spans="1:24" ht="45" customHeight="1">
      <c r="A1249" s="3">
        <v>1247</v>
      </c>
      <c r="B1249" s="13" t="s">
        <v>4577</v>
      </c>
      <c r="C1249" s="13" t="s">
        <v>26</v>
      </c>
      <c r="D1249" s="13" t="s">
        <v>4578</v>
      </c>
      <c r="E1249" s="13" t="s">
        <v>28</v>
      </c>
      <c r="F1249" s="13" t="s">
        <v>29</v>
      </c>
      <c r="G1249" s="13" t="s">
        <v>72</v>
      </c>
      <c r="H1249" s="13" t="s">
        <v>31</v>
      </c>
      <c r="I1249" s="27" t="s">
        <v>4579</v>
      </c>
      <c r="J1249" s="27" t="s">
        <v>33</v>
      </c>
      <c r="K1249" s="27" t="s">
        <v>34</v>
      </c>
      <c r="L1249" s="27" t="s">
        <v>35</v>
      </c>
      <c r="M1249" s="27" t="s">
        <v>36</v>
      </c>
      <c r="N1249" s="17">
        <f t="shared" si="86"/>
        <v>45754</v>
      </c>
      <c r="O1249" s="13" t="s">
        <v>34</v>
      </c>
      <c r="P1249" s="13" t="s">
        <v>74</v>
      </c>
      <c r="Q1249" s="13" t="s">
        <v>38</v>
      </c>
      <c r="R1249" s="13" t="s">
        <v>4580</v>
      </c>
      <c r="S1249" s="13" t="s">
        <v>74</v>
      </c>
      <c r="T1249" s="28">
        <v>20.95</v>
      </c>
      <c r="U1249" s="13" t="s">
        <v>28</v>
      </c>
      <c r="V1249" s="13" t="s">
        <v>76</v>
      </c>
      <c r="W1249" s="13" t="s">
        <v>72</v>
      </c>
      <c r="X1249" s="17">
        <f t="shared" si="87"/>
        <v>45754</v>
      </c>
    </row>
    <row r="1250" spans="1:24" ht="45" customHeight="1">
      <c r="A1250" s="3">
        <v>1248</v>
      </c>
      <c r="B1250" s="13" t="s">
        <v>4581</v>
      </c>
      <c r="C1250" s="13" t="s">
        <v>26</v>
      </c>
      <c r="D1250" s="13" t="s">
        <v>4582</v>
      </c>
      <c r="E1250" s="13" t="s">
        <v>28</v>
      </c>
      <c r="F1250" s="13" t="s">
        <v>29</v>
      </c>
      <c r="G1250" s="13" t="s">
        <v>48</v>
      </c>
      <c r="H1250" s="13" t="s">
        <v>31</v>
      </c>
      <c r="I1250" s="27" t="s">
        <v>4583</v>
      </c>
      <c r="J1250" s="27" t="s">
        <v>33</v>
      </c>
      <c r="K1250" s="27" t="s">
        <v>34</v>
      </c>
      <c r="L1250" s="27" t="s">
        <v>35</v>
      </c>
      <c r="M1250" s="27" t="s">
        <v>36</v>
      </c>
      <c r="N1250" s="17">
        <f t="shared" si="86"/>
        <v>45754</v>
      </c>
      <c r="O1250" s="13" t="s">
        <v>34</v>
      </c>
      <c r="P1250" s="13" t="s">
        <v>182</v>
      </c>
      <c r="Q1250" s="13" t="s">
        <v>38</v>
      </c>
      <c r="R1250" s="13" t="s">
        <v>4584</v>
      </c>
      <c r="S1250" s="13" t="s">
        <v>52</v>
      </c>
      <c r="T1250" s="28">
        <v>21.34</v>
      </c>
      <c r="U1250" s="13" t="s">
        <v>28</v>
      </c>
      <c r="V1250" s="13" t="s">
        <v>89</v>
      </c>
      <c r="W1250" s="13" t="s">
        <v>48</v>
      </c>
      <c r="X1250" s="17">
        <f t="shared" si="87"/>
        <v>45754</v>
      </c>
    </row>
    <row r="1251" spans="1:24" ht="45" customHeight="1">
      <c r="A1251" s="3">
        <v>1249</v>
      </c>
      <c r="B1251" s="13" t="s">
        <v>4585</v>
      </c>
      <c r="C1251" s="13" t="s">
        <v>26</v>
      </c>
      <c r="D1251" s="13" t="s">
        <v>4586</v>
      </c>
      <c r="E1251" s="13" t="s">
        <v>28</v>
      </c>
      <c r="F1251" s="13" t="s">
        <v>29</v>
      </c>
      <c r="G1251" s="13" t="s">
        <v>79</v>
      </c>
      <c r="H1251" s="13" t="s">
        <v>31</v>
      </c>
      <c r="I1251" s="27" t="s">
        <v>4587</v>
      </c>
      <c r="J1251" s="27" t="s">
        <v>33</v>
      </c>
      <c r="K1251" s="27" t="s">
        <v>34</v>
      </c>
      <c r="L1251" s="27" t="s">
        <v>35</v>
      </c>
      <c r="M1251" s="27" t="s">
        <v>36</v>
      </c>
      <c r="N1251" s="17">
        <f t="shared" si="86"/>
        <v>45754</v>
      </c>
      <c r="O1251" s="13" t="s">
        <v>34</v>
      </c>
      <c r="P1251" s="13" t="s">
        <v>81</v>
      </c>
      <c r="Q1251" s="13" t="s">
        <v>38</v>
      </c>
      <c r="R1251" s="13" t="s">
        <v>365</v>
      </c>
      <c r="S1251" s="13" t="s">
        <v>81</v>
      </c>
      <c r="T1251" s="28">
        <v>21.44</v>
      </c>
      <c r="U1251" s="13" t="s">
        <v>28</v>
      </c>
      <c r="V1251" s="13" t="s">
        <v>76</v>
      </c>
      <c r="W1251" s="13" t="s">
        <v>79</v>
      </c>
      <c r="X1251" s="17">
        <f t="shared" si="87"/>
        <v>45754</v>
      </c>
    </row>
    <row r="1252" spans="1:24" ht="45" customHeight="1">
      <c r="A1252" s="3">
        <v>1250</v>
      </c>
      <c r="B1252" s="13" t="s">
        <v>4588</v>
      </c>
      <c r="C1252" s="13" t="s">
        <v>26</v>
      </c>
      <c r="D1252" s="13" t="s">
        <v>4589</v>
      </c>
      <c r="E1252" s="13" t="s">
        <v>28</v>
      </c>
      <c r="F1252" s="13" t="s">
        <v>29</v>
      </c>
      <c r="G1252" s="13" t="s">
        <v>48</v>
      </c>
      <c r="H1252" s="13" t="s">
        <v>31</v>
      </c>
      <c r="I1252" s="27" t="s">
        <v>4590</v>
      </c>
      <c r="J1252" s="27" t="s">
        <v>33</v>
      </c>
      <c r="K1252" s="27" t="s">
        <v>34</v>
      </c>
      <c r="L1252" s="27" t="s">
        <v>35</v>
      </c>
      <c r="M1252" s="27" t="s">
        <v>36</v>
      </c>
      <c r="N1252" s="17">
        <f t="shared" si="86"/>
        <v>45754</v>
      </c>
      <c r="O1252" s="13" t="s">
        <v>34</v>
      </c>
      <c r="P1252" s="13" t="s">
        <v>50</v>
      </c>
      <c r="Q1252" s="13" t="s">
        <v>38</v>
      </c>
      <c r="R1252" s="13" t="s">
        <v>4591</v>
      </c>
      <c r="S1252" s="13" t="s">
        <v>52</v>
      </c>
      <c r="T1252" s="28">
        <v>21.55</v>
      </c>
      <c r="U1252" s="13" t="s">
        <v>28</v>
      </c>
      <c r="V1252" s="13" t="s">
        <v>53</v>
      </c>
      <c r="W1252" s="13" t="s">
        <v>48</v>
      </c>
      <c r="X1252" s="17">
        <f t="shared" si="87"/>
        <v>45754</v>
      </c>
    </row>
    <row r="1253" spans="1:24" ht="45" customHeight="1">
      <c r="A1253" s="3">
        <v>1251</v>
      </c>
      <c r="B1253" s="13" t="s">
        <v>4592</v>
      </c>
      <c r="C1253" s="13" t="s">
        <v>26</v>
      </c>
      <c r="D1253" s="13" t="s">
        <v>4593</v>
      </c>
      <c r="E1253" s="13" t="s">
        <v>28</v>
      </c>
      <c r="F1253" s="13" t="s">
        <v>29</v>
      </c>
      <c r="G1253" s="13" t="s">
        <v>85</v>
      </c>
      <c r="H1253" s="13" t="s">
        <v>31</v>
      </c>
      <c r="I1253" s="27" t="s">
        <v>4594</v>
      </c>
      <c r="J1253" s="27" t="s">
        <v>33</v>
      </c>
      <c r="K1253" s="27" t="s">
        <v>34</v>
      </c>
      <c r="L1253" s="27" t="s">
        <v>35</v>
      </c>
      <c r="M1253" s="27" t="s">
        <v>36</v>
      </c>
      <c r="N1253" s="17">
        <f t="shared" si="86"/>
        <v>45754</v>
      </c>
      <c r="O1253" s="13" t="s">
        <v>34</v>
      </c>
      <c r="P1253" s="13" t="s">
        <v>87</v>
      </c>
      <c r="Q1253" s="13" t="s">
        <v>38</v>
      </c>
      <c r="R1253" s="13" t="s">
        <v>365</v>
      </c>
      <c r="S1253" s="13" t="s">
        <v>87</v>
      </c>
      <c r="T1253" s="28">
        <v>23.49</v>
      </c>
      <c r="U1253" s="13" t="s">
        <v>28</v>
      </c>
      <c r="V1253" s="13" t="s">
        <v>89</v>
      </c>
      <c r="W1253" s="13" t="s">
        <v>85</v>
      </c>
      <c r="X1253" s="17">
        <f t="shared" si="87"/>
        <v>45754</v>
      </c>
    </row>
    <row r="1254" spans="1:24" ht="45" customHeight="1">
      <c r="A1254" s="3">
        <v>1252</v>
      </c>
      <c r="B1254" s="13" t="s">
        <v>4595</v>
      </c>
      <c r="C1254" s="13" t="s">
        <v>26</v>
      </c>
      <c r="D1254" s="13" t="s">
        <v>4596</v>
      </c>
      <c r="E1254" s="13" t="s">
        <v>28</v>
      </c>
      <c r="F1254" s="13" t="s">
        <v>29</v>
      </c>
      <c r="G1254" s="13" t="s">
        <v>43</v>
      </c>
      <c r="H1254" s="13" t="s">
        <v>31</v>
      </c>
      <c r="I1254" s="27" t="s">
        <v>4597</v>
      </c>
      <c r="J1254" s="27" t="s">
        <v>33</v>
      </c>
      <c r="K1254" s="27" t="s">
        <v>34</v>
      </c>
      <c r="L1254" s="27" t="s">
        <v>35</v>
      </c>
      <c r="M1254" s="27" t="s">
        <v>36</v>
      </c>
      <c r="N1254" s="17">
        <f t="shared" si="86"/>
        <v>45754</v>
      </c>
      <c r="O1254" s="13" t="s">
        <v>34</v>
      </c>
      <c r="P1254" s="13" t="s">
        <v>37</v>
      </c>
      <c r="Q1254" s="13" t="s">
        <v>38</v>
      </c>
      <c r="R1254" s="13" t="s">
        <v>365</v>
      </c>
      <c r="S1254" s="13" t="s">
        <v>37</v>
      </c>
      <c r="T1254" s="28">
        <v>22.99</v>
      </c>
      <c r="U1254" s="13" t="s">
        <v>28</v>
      </c>
      <c r="V1254" s="13" t="s">
        <v>40</v>
      </c>
      <c r="W1254" s="13" t="s">
        <v>43</v>
      </c>
      <c r="X1254" s="17">
        <f t="shared" si="87"/>
        <v>45754</v>
      </c>
    </row>
    <row r="1255" spans="1:24" ht="45" customHeight="1">
      <c r="A1255" s="3">
        <v>1253</v>
      </c>
      <c r="B1255" s="13" t="s">
        <v>4598</v>
      </c>
      <c r="C1255" s="13" t="s">
        <v>26</v>
      </c>
      <c r="D1255" s="13" t="s">
        <v>4599</v>
      </c>
      <c r="E1255" s="13" t="s">
        <v>28</v>
      </c>
      <c r="F1255" s="13" t="s">
        <v>29</v>
      </c>
      <c r="G1255" s="13" t="s">
        <v>79</v>
      </c>
      <c r="H1255" s="13" t="s">
        <v>31</v>
      </c>
      <c r="I1255" s="27" t="s">
        <v>4600</v>
      </c>
      <c r="J1255" s="27" t="s">
        <v>33</v>
      </c>
      <c r="K1255" s="27" t="s">
        <v>34</v>
      </c>
      <c r="L1255" s="27" t="s">
        <v>35</v>
      </c>
      <c r="M1255" s="27" t="s">
        <v>36</v>
      </c>
      <c r="N1255" s="17">
        <f t="shared" si="86"/>
        <v>45754</v>
      </c>
      <c r="O1255" s="13" t="s">
        <v>34</v>
      </c>
      <c r="P1255" s="13" t="s">
        <v>81</v>
      </c>
      <c r="Q1255" s="13" t="s">
        <v>38</v>
      </c>
      <c r="R1255" s="13" t="s">
        <v>4601</v>
      </c>
      <c r="S1255" s="13" t="s">
        <v>81</v>
      </c>
      <c r="T1255" s="28">
        <v>25.86</v>
      </c>
      <c r="U1255" s="13" t="s">
        <v>28</v>
      </c>
      <c r="V1255" s="13" t="s">
        <v>76</v>
      </c>
      <c r="W1255" s="13" t="s">
        <v>79</v>
      </c>
      <c r="X1255" s="17">
        <f t="shared" si="87"/>
        <v>45754</v>
      </c>
    </row>
    <row r="1256" spans="1:24" ht="45" customHeight="1">
      <c r="A1256" s="3">
        <v>1254</v>
      </c>
      <c r="B1256" s="13" t="s">
        <v>4602</v>
      </c>
      <c r="C1256" s="13" t="s">
        <v>26</v>
      </c>
      <c r="D1256" s="13" t="s">
        <v>4603</v>
      </c>
      <c r="E1256" s="13" t="s">
        <v>28</v>
      </c>
      <c r="F1256" s="13" t="s">
        <v>29</v>
      </c>
      <c r="G1256" s="13" t="s">
        <v>85</v>
      </c>
      <c r="H1256" s="13" t="s">
        <v>31</v>
      </c>
      <c r="I1256" s="27" t="s">
        <v>4604</v>
      </c>
      <c r="J1256" s="27" t="s">
        <v>33</v>
      </c>
      <c r="K1256" s="27" t="s">
        <v>34</v>
      </c>
      <c r="L1256" s="27" t="s">
        <v>35</v>
      </c>
      <c r="M1256" s="27" t="s">
        <v>36</v>
      </c>
      <c r="N1256" s="17">
        <f t="shared" si="86"/>
        <v>45754</v>
      </c>
      <c r="O1256" s="13" t="s">
        <v>34</v>
      </c>
      <c r="P1256" s="13" t="s">
        <v>87</v>
      </c>
      <c r="Q1256" s="13" t="s">
        <v>38</v>
      </c>
      <c r="R1256" s="13" t="s">
        <v>4605</v>
      </c>
      <c r="S1256" s="13" t="s">
        <v>87</v>
      </c>
      <c r="T1256" s="28">
        <v>24.42</v>
      </c>
      <c r="U1256" s="13" t="s">
        <v>28</v>
      </c>
      <c r="V1256" s="13" t="s">
        <v>53</v>
      </c>
      <c r="W1256" s="13" t="s">
        <v>85</v>
      </c>
      <c r="X1256" s="17">
        <f t="shared" si="87"/>
        <v>45754</v>
      </c>
    </row>
    <row r="1257" spans="1:24" ht="45" customHeight="1">
      <c r="A1257" s="3">
        <v>1255</v>
      </c>
      <c r="B1257" s="13" t="s">
        <v>4606</v>
      </c>
      <c r="C1257" s="13" t="s">
        <v>26</v>
      </c>
      <c r="D1257" s="13" t="s">
        <v>4607</v>
      </c>
      <c r="E1257" s="13" t="s">
        <v>28</v>
      </c>
      <c r="F1257" s="13" t="s">
        <v>29</v>
      </c>
      <c r="G1257" s="13" t="s">
        <v>30</v>
      </c>
      <c r="H1257" s="13" t="s">
        <v>31</v>
      </c>
      <c r="I1257" s="27" t="s">
        <v>4608</v>
      </c>
      <c r="J1257" s="27" t="s">
        <v>33</v>
      </c>
      <c r="K1257" s="27" t="s">
        <v>34</v>
      </c>
      <c r="L1257" s="27" t="s">
        <v>35</v>
      </c>
      <c r="M1257" s="27" t="s">
        <v>36</v>
      </c>
      <c r="N1257" s="17">
        <f t="shared" si="86"/>
        <v>45754</v>
      </c>
      <c r="O1257" s="13" t="s">
        <v>34</v>
      </c>
      <c r="P1257" s="13" t="s">
        <v>37</v>
      </c>
      <c r="Q1257" s="13" t="s">
        <v>38</v>
      </c>
      <c r="R1257" s="13" t="s">
        <v>4609</v>
      </c>
      <c r="S1257" s="13" t="s">
        <v>37</v>
      </c>
      <c r="T1257" s="28">
        <v>21.02</v>
      </c>
      <c r="U1257" s="13" t="s">
        <v>28</v>
      </c>
      <c r="V1257" s="13" t="s">
        <v>40</v>
      </c>
      <c r="W1257" s="13" t="s">
        <v>30</v>
      </c>
      <c r="X1257" s="17">
        <f t="shared" si="87"/>
        <v>45754</v>
      </c>
    </row>
    <row r="1258" spans="1:24" ht="45" customHeight="1">
      <c r="A1258" s="3">
        <v>1256</v>
      </c>
      <c r="B1258" s="13" t="s">
        <v>4610</v>
      </c>
      <c r="C1258" s="13" t="s">
        <v>26</v>
      </c>
      <c r="D1258" s="13" t="s">
        <v>4611</v>
      </c>
      <c r="E1258" s="13" t="s">
        <v>28</v>
      </c>
      <c r="F1258" s="13" t="s">
        <v>29</v>
      </c>
      <c r="G1258" s="13" t="s">
        <v>62</v>
      </c>
      <c r="H1258" s="13" t="s">
        <v>31</v>
      </c>
      <c r="I1258" s="27" t="s">
        <v>4612</v>
      </c>
      <c r="J1258" s="27" t="s">
        <v>33</v>
      </c>
      <c r="K1258" s="27" t="s">
        <v>34</v>
      </c>
      <c r="L1258" s="27" t="s">
        <v>35</v>
      </c>
      <c r="M1258" s="27" t="s">
        <v>36</v>
      </c>
      <c r="N1258" s="17">
        <f t="shared" si="86"/>
        <v>45754</v>
      </c>
      <c r="O1258" s="13" t="s">
        <v>34</v>
      </c>
      <c r="P1258" s="13" t="s">
        <v>64</v>
      </c>
      <c r="Q1258" s="13" t="s">
        <v>38</v>
      </c>
      <c r="R1258" s="13" t="s">
        <v>4613</v>
      </c>
      <c r="S1258" s="13" t="s">
        <v>64</v>
      </c>
      <c r="T1258" s="28">
        <v>26.4</v>
      </c>
      <c r="U1258" s="13" t="s">
        <v>28</v>
      </c>
      <c r="V1258" s="13" t="s">
        <v>76</v>
      </c>
      <c r="W1258" s="13" t="s">
        <v>62</v>
      </c>
      <c r="X1258" s="17">
        <f t="shared" si="87"/>
        <v>45754</v>
      </c>
    </row>
    <row r="1259" spans="1:24" ht="45" customHeight="1">
      <c r="A1259" s="3">
        <v>1257</v>
      </c>
      <c r="B1259" s="13" t="s">
        <v>4614</v>
      </c>
      <c r="C1259" s="13" t="s">
        <v>26</v>
      </c>
      <c r="D1259" s="13" t="s">
        <v>4615</v>
      </c>
      <c r="E1259" s="13" t="s">
        <v>28</v>
      </c>
      <c r="F1259" s="13" t="s">
        <v>29</v>
      </c>
      <c r="G1259" s="13" t="s">
        <v>85</v>
      </c>
      <c r="H1259" s="13" t="s">
        <v>31</v>
      </c>
      <c r="I1259" s="27" t="s">
        <v>4616</v>
      </c>
      <c r="J1259" s="27" t="s">
        <v>33</v>
      </c>
      <c r="K1259" s="27" t="s">
        <v>34</v>
      </c>
      <c r="L1259" s="27" t="s">
        <v>35</v>
      </c>
      <c r="M1259" s="27" t="s">
        <v>36</v>
      </c>
      <c r="N1259" s="17">
        <f t="shared" si="86"/>
        <v>45754</v>
      </c>
      <c r="O1259" s="13" t="s">
        <v>34</v>
      </c>
      <c r="P1259" s="13" t="s">
        <v>230</v>
      </c>
      <c r="Q1259" s="13" t="s">
        <v>38</v>
      </c>
      <c r="R1259" s="13" t="s">
        <v>4617</v>
      </c>
      <c r="S1259" s="13" t="s">
        <v>87</v>
      </c>
      <c r="T1259" s="28">
        <v>27.64</v>
      </c>
      <c r="U1259" s="13" t="s">
        <v>28</v>
      </c>
      <c r="V1259" s="13" t="s">
        <v>146</v>
      </c>
      <c r="W1259" s="13" t="s">
        <v>85</v>
      </c>
      <c r="X1259" s="17">
        <f t="shared" si="87"/>
        <v>45754</v>
      </c>
    </row>
    <row r="1260" spans="1:24" ht="45" customHeight="1">
      <c r="A1260" s="3">
        <v>1258</v>
      </c>
      <c r="B1260" s="13" t="s">
        <v>4618</v>
      </c>
      <c r="C1260" s="13" t="s">
        <v>103</v>
      </c>
      <c r="D1260" s="13" t="s">
        <v>4619</v>
      </c>
      <c r="E1260" s="13" t="s">
        <v>28</v>
      </c>
      <c r="F1260" s="13" t="s">
        <v>29</v>
      </c>
      <c r="G1260" s="13" t="s">
        <v>123</v>
      </c>
      <c r="H1260" s="13" t="s">
        <v>31</v>
      </c>
      <c r="I1260" s="27" t="s">
        <v>4620</v>
      </c>
      <c r="J1260" s="27" t="s">
        <v>33</v>
      </c>
      <c r="K1260" s="27" t="s">
        <v>106</v>
      </c>
      <c r="L1260" s="27" t="s">
        <v>35</v>
      </c>
      <c r="M1260" s="27" t="s">
        <v>36</v>
      </c>
      <c r="N1260" s="17">
        <f t="shared" si="86"/>
        <v>45754</v>
      </c>
      <c r="O1260" s="13" t="s">
        <v>107</v>
      </c>
      <c r="P1260" s="13" t="s">
        <v>125</v>
      </c>
      <c r="Q1260" s="13" t="s">
        <v>38</v>
      </c>
      <c r="R1260" s="13" t="s">
        <v>4621</v>
      </c>
      <c r="S1260" s="13" t="s">
        <v>127</v>
      </c>
      <c r="T1260" s="28">
        <v>24.55</v>
      </c>
      <c r="U1260" s="13" t="s">
        <v>28</v>
      </c>
      <c r="V1260" s="13" t="s">
        <v>89</v>
      </c>
      <c r="W1260" s="13" t="s">
        <v>128</v>
      </c>
      <c r="X1260" s="17">
        <f t="shared" si="87"/>
        <v>45754</v>
      </c>
    </row>
    <row r="1261" spans="1:24" ht="45" customHeight="1">
      <c r="A1261" s="3">
        <v>1259</v>
      </c>
      <c r="B1261" s="13" t="s">
        <v>4622</v>
      </c>
      <c r="C1261" s="13" t="s">
        <v>103</v>
      </c>
      <c r="D1261" s="13" t="s">
        <v>4623</v>
      </c>
      <c r="E1261" s="13" t="s">
        <v>28</v>
      </c>
      <c r="F1261" s="13" t="s">
        <v>29</v>
      </c>
      <c r="G1261" s="13" t="s">
        <v>123</v>
      </c>
      <c r="H1261" s="13" t="s">
        <v>31</v>
      </c>
      <c r="I1261" s="27" t="s">
        <v>4624</v>
      </c>
      <c r="J1261" s="27" t="s">
        <v>33</v>
      </c>
      <c r="K1261" s="27" t="s">
        <v>106</v>
      </c>
      <c r="L1261" s="27" t="s">
        <v>35</v>
      </c>
      <c r="M1261" s="27" t="s">
        <v>36</v>
      </c>
      <c r="N1261" s="17">
        <f t="shared" si="86"/>
        <v>45754</v>
      </c>
      <c r="O1261" s="13" t="s">
        <v>107</v>
      </c>
      <c r="P1261" s="13" t="s">
        <v>144</v>
      </c>
      <c r="Q1261" s="13" t="s">
        <v>38</v>
      </c>
      <c r="R1261" s="13" t="s">
        <v>4625</v>
      </c>
      <c r="S1261" s="13" t="s">
        <v>127</v>
      </c>
      <c r="T1261" s="28">
        <v>21.3</v>
      </c>
      <c r="U1261" s="13" t="s">
        <v>28</v>
      </c>
      <c r="V1261" s="13" t="s">
        <v>146</v>
      </c>
      <c r="W1261" s="13" t="s">
        <v>128</v>
      </c>
      <c r="X1261" s="17">
        <f t="shared" si="87"/>
        <v>45754</v>
      </c>
    </row>
    <row r="1262" spans="1:24" ht="45" customHeight="1">
      <c r="A1262" s="3">
        <v>1260</v>
      </c>
      <c r="B1262" s="13" t="s">
        <v>4626</v>
      </c>
      <c r="C1262" s="13" t="s">
        <v>103</v>
      </c>
      <c r="D1262" s="13" t="s">
        <v>4627</v>
      </c>
      <c r="E1262" s="13" t="s">
        <v>28</v>
      </c>
      <c r="F1262" s="13" t="s">
        <v>29</v>
      </c>
      <c r="G1262" s="13" t="s">
        <v>1216</v>
      </c>
      <c r="H1262" s="13" t="s">
        <v>31</v>
      </c>
      <c r="I1262" s="27" t="s">
        <v>4628</v>
      </c>
      <c r="J1262" s="27" t="s">
        <v>33</v>
      </c>
      <c r="K1262" s="27" t="s">
        <v>106</v>
      </c>
      <c r="L1262" s="27" t="s">
        <v>35</v>
      </c>
      <c r="M1262" s="27" t="s">
        <v>36</v>
      </c>
      <c r="N1262" s="17">
        <f t="shared" si="86"/>
        <v>45754</v>
      </c>
      <c r="O1262" s="13" t="s">
        <v>107</v>
      </c>
      <c r="P1262" s="13" t="s">
        <v>1231</v>
      </c>
      <c r="Q1262" s="13" t="s">
        <v>38</v>
      </c>
      <c r="R1262" s="13" t="s">
        <v>4629</v>
      </c>
      <c r="S1262" s="13" t="s">
        <v>1215</v>
      </c>
      <c r="T1262" s="28">
        <v>27.04</v>
      </c>
      <c r="U1262" s="13" t="s">
        <v>28</v>
      </c>
      <c r="V1262" s="13" t="s">
        <v>89</v>
      </c>
      <c r="W1262" s="13" t="s">
        <v>1219</v>
      </c>
      <c r="X1262" s="17">
        <f t="shared" si="87"/>
        <v>45754</v>
      </c>
    </row>
    <row r="1263" spans="1:24" ht="45" customHeight="1">
      <c r="A1263" s="3">
        <v>1261</v>
      </c>
      <c r="B1263" s="13" t="s">
        <v>4630</v>
      </c>
      <c r="C1263" s="13" t="s">
        <v>103</v>
      </c>
      <c r="D1263" s="13" t="s">
        <v>4631</v>
      </c>
      <c r="E1263" s="13" t="s">
        <v>28</v>
      </c>
      <c r="F1263" s="13" t="s">
        <v>29</v>
      </c>
      <c r="G1263" s="13" t="s">
        <v>85</v>
      </c>
      <c r="H1263" s="13" t="s">
        <v>31</v>
      </c>
      <c r="I1263" s="27" t="s">
        <v>4632</v>
      </c>
      <c r="J1263" s="27" t="s">
        <v>33</v>
      </c>
      <c r="K1263" s="27" t="s">
        <v>106</v>
      </c>
      <c r="L1263" s="27" t="s">
        <v>35</v>
      </c>
      <c r="M1263" s="27" t="s">
        <v>36</v>
      </c>
      <c r="N1263" s="17">
        <f t="shared" si="86"/>
        <v>45754</v>
      </c>
      <c r="O1263" s="13" t="s">
        <v>107</v>
      </c>
      <c r="P1263" s="13" t="s">
        <v>87</v>
      </c>
      <c r="Q1263" s="13" t="s">
        <v>38</v>
      </c>
      <c r="R1263" s="13" t="s">
        <v>4633</v>
      </c>
      <c r="S1263" s="13" t="s">
        <v>87</v>
      </c>
      <c r="T1263" s="28">
        <v>29.87</v>
      </c>
      <c r="U1263" s="13" t="s">
        <v>28</v>
      </c>
      <c r="V1263" s="13" t="s">
        <v>89</v>
      </c>
      <c r="W1263" s="13" t="s">
        <v>85</v>
      </c>
      <c r="X1263" s="17">
        <f t="shared" si="87"/>
        <v>45754</v>
      </c>
    </row>
    <row r="1264" spans="1:24" ht="45" customHeight="1">
      <c r="A1264" s="3">
        <v>1262</v>
      </c>
      <c r="B1264" s="13" t="s">
        <v>4634</v>
      </c>
      <c r="C1264" s="13" t="s">
        <v>26</v>
      </c>
      <c r="D1264" s="13" t="s">
        <v>4635</v>
      </c>
      <c r="E1264" s="13" t="s">
        <v>28</v>
      </c>
      <c r="F1264" s="13" t="s">
        <v>29</v>
      </c>
      <c r="G1264" s="13" t="s">
        <v>72</v>
      </c>
      <c r="H1264" s="13" t="s">
        <v>31</v>
      </c>
      <c r="I1264" s="27" t="s">
        <v>4636</v>
      </c>
      <c r="J1264" s="27" t="s">
        <v>33</v>
      </c>
      <c r="K1264" s="27" t="s">
        <v>34</v>
      </c>
      <c r="L1264" s="27" t="s">
        <v>35</v>
      </c>
      <c r="M1264" s="27" t="s">
        <v>36</v>
      </c>
      <c r="N1264" s="17">
        <f t="shared" si="86"/>
        <v>45754</v>
      </c>
      <c r="O1264" s="13" t="s">
        <v>34</v>
      </c>
      <c r="P1264" s="13" t="s">
        <v>74</v>
      </c>
      <c r="Q1264" s="13" t="s">
        <v>38</v>
      </c>
      <c r="R1264" s="13" t="s">
        <v>4637</v>
      </c>
      <c r="S1264" s="13" t="s">
        <v>74</v>
      </c>
      <c r="T1264" s="28">
        <v>26.57</v>
      </c>
      <c r="U1264" s="13" t="s">
        <v>28</v>
      </c>
      <c r="V1264" s="13" t="s">
        <v>40</v>
      </c>
      <c r="W1264" s="13" t="s">
        <v>72</v>
      </c>
      <c r="X1264" s="17">
        <f t="shared" si="87"/>
        <v>45754</v>
      </c>
    </row>
    <row r="1265" spans="1:24" ht="45" customHeight="1">
      <c r="A1265" s="3">
        <v>1263</v>
      </c>
      <c r="B1265" s="13" t="s">
        <v>4638</v>
      </c>
      <c r="C1265" s="13" t="s">
        <v>26</v>
      </c>
      <c r="D1265" s="13" t="s">
        <v>4639</v>
      </c>
      <c r="E1265" s="13" t="s">
        <v>28</v>
      </c>
      <c r="F1265" s="13" t="s">
        <v>29</v>
      </c>
      <c r="G1265" s="13" t="s">
        <v>79</v>
      </c>
      <c r="H1265" s="13" t="s">
        <v>31</v>
      </c>
      <c r="I1265" s="27" t="s">
        <v>4640</v>
      </c>
      <c r="J1265" s="27" t="s">
        <v>33</v>
      </c>
      <c r="K1265" s="27" t="s">
        <v>34</v>
      </c>
      <c r="L1265" s="27" t="s">
        <v>35</v>
      </c>
      <c r="M1265" s="27" t="s">
        <v>36</v>
      </c>
      <c r="N1265" s="17">
        <f t="shared" si="86"/>
        <v>45754</v>
      </c>
      <c r="O1265" s="13" t="s">
        <v>34</v>
      </c>
      <c r="P1265" s="13" t="s">
        <v>81</v>
      </c>
      <c r="Q1265" s="13" t="s">
        <v>38</v>
      </c>
      <c r="R1265" s="13" t="s">
        <v>4641</v>
      </c>
      <c r="S1265" s="13" t="s">
        <v>81</v>
      </c>
      <c r="T1265" s="28">
        <v>22.4</v>
      </c>
      <c r="U1265" s="13" t="s">
        <v>28</v>
      </c>
      <c r="V1265" s="13" t="s">
        <v>40</v>
      </c>
      <c r="W1265" s="13" t="s">
        <v>79</v>
      </c>
      <c r="X1265" s="17">
        <f t="shared" si="87"/>
        <v>45754</v>
      </c>
    </row>
    <row r="1266" spans="1:24" ht="45" customHeight="1">
      <c r="A1266" s="3">
        <v>1264</v>
      </c>
      <c r="B1266" s="13" t="s">
        <v>4642</v>
      </c>
      <c r="C1266" s="13" t="s">
        <v>26</v>
      </c>
      <c r="D1266" s="13" t="s">
        <v>4643</v>
      </c>
      <c r="E1266" s="13" t="s">
        <v>28</v>
      </c>
      <c r="F1266" s="13" t="s">
        <v>29</v>
      </c>
      <c r="G1266" s="13" t="s">
        <v>43</v>
      </c>
      <c r="H1266" s="13" t="s">
        <v>31</v>
      </c>
      <c r="I1266" s="27" t="s">
        <v>4644</v>
      </c>
      <c r="J1266" s="27" t="s">
        <v>33</v>
      </c>
      <c r="K1266" s="27" t="s">
        <v>34</v>
      </c>
      <c r="L1266" s="27" t="s">
        <v>35</v>
      </c>
      <c r="M1266" s="27" t="s">
        <v>36</v>
      </c>
      <c r="N1266" s="17">
        <f t="shared" si="86"/>
        <v>45754</v>
      </c>
      <c r="O1266" s="13" t="s">
        <v>34</v>
      </c>
      <c r="P1266" s="13" t="s">
        <v>37</v>
      </c>
      <c r="Q1266" s="13" t="s">
        <v>38</v>
      </c>
      <c r="R1266" s="13" t="s">
        <v>4645</v>
      </c>
      <c r="S1266" s="13" t="s">
        <v>37</v>
      </c>
      <c r="T1266" s="28">
        <v>22.3</v>
      </c>
      <c r="U1266" s="13" t="s">
        <v>28</v>
      </c>
      <c r="V1266" s="13" t="s">
        <v>76</v>
      </c>
      <c r="W1266" s="13" t="s">
        <v>43</v>
      </c>
      <c r="X1266" s="17">
        <f t="shared" si="87"/>
        <v>45754</v>
      </c>
    </row>
    <row r="1267" spans="1:24" ht="45" customHeight="1">
      <c r="A1267" s="3">
        <v>1265</v>
      </c>
      <c r="B1267" s="13" t="s">
        <v>4646</v>
      </c>
      <c r="C1267" s="13" t="s">
        <v>26</v>
      </c>
      <c r="D1267" s="13" t="s">
        <v>4647</v>
      </c>
      <c r="E1267" s="13" t="s">
        <v>28</v>
      </c>
      <c r="F1267" s="13" t="s">
        <v>29</v>
      </c>
      <c r="G1267" s="13" t="s">
        <v>48</v>
      </c>
      <c r="H1267" s="13" t="s">
        <v>31</v>
      </c>
      <c r="I1267" s="27" t="s">
        <v>4648</v>
      </c>
      <c r="J1267" s="27" t="s">
        <v>33</v>
      </c>
      <c r="K1267" s="27" t="s">
        <v>34</v>
      </c>
      <c r="L1267" s="27" t="s">
        <v>35</v>
      </c>
      <c r="M1267" s="27" t="s">
        <v>36</v>
      </c>
      <c r="N1267" s="17">
        <f t="shared" si="86"/>
        <v>45754</v>
      </c>
      <c r="O1267" s="13" t="s">
        <v>34</v>
      </c>
      <c r="P1267" s="13" t="s">
        <v>52</v>
      </c>
      <c r="Q1267" s="13" t="s">
        <v>38</v>
      </c>
      <c r="R1267" s="13" t="s">
        <v>4649</v>
      </c>
      <c r="S1267" s="13" t="s">
        <v>52</v>
      </c>
      <c r="T1267" s="28">
        <v>26.62</v>
      </c>
      <c r="U1267" s="13" t="s">
        <v>28</v>
      </c>
      <c r="V1267" s="13" t="s">
        <v>146</v>
      </c>
      <c r="W1267" s="13" t="s">
        <v>48</v>
      </c>
      <c r="X1267" s="17">
        <f t="shared" si="87"/>
        <v>45754</v>
      </c>
    </row>
    <row r="1268" spans="1:24" ht="45" customHeight="1">
      <c r="A1268" s="3">
        <v>1266</v>
      </c>
      <c r="B1268" s="13" t="s">
        <v>4650</v>
      </c>
      <c r="C1268" s="13" t="s">
        <v>26</v>
      </c>
      <c r="D1268" s="13" t="s">
        <v>4651</v>
      </c>
      <c r="E1268" s="13" t="s">
        <v>28</v>
      </c>
      <c r="F1268" s="13" t="s">
        <v>29</v>
      </c>
      <c r="G1268" s="13" t="s">
        <v>79</v>
      </c>
      <c r="H1268" s="13" t="s">
        <v>31</v>
      </c>
      <c r="I1268" s="27" t="s">
        <v>4652</v>
      </c>
      <c r="J1268" s="27" t="s">
        <v>33</v>
      </c>
      <c r="K1268" s="27" t="s">
        <v>34</v>
      </c>
      <c r="L1268" s="27" t="s">
        <v>35</v>
      </c>
      <c r="M1268" s="27" t="s">
        <v>36</v>
      </c>
      <c r="N1268" s="17">
        <f t="shared" ref="N1268:N1309" si="88">DATE(2025,4,14)</f>
        <v>45761</v>
      </c>
      <c r="O1268" s="13" t="s">
        <v>34</v>
      </c>
      <c r="P1268" s="13" t="s">
        <v>81</v>
      </c>
      <c r="Q1268" s="13" t="s">
        <v>38</v>
      </c>
      <c r="R1268" s="13" t="s">
        <v>4653</v>
      </c>
      <c r="S1268" s="13" t="s">
        <v>81</v>
      </c>
      <c r="T1268" s="28">
        <v>18.559999999999999</v>
      </c>
      <c r="U1268" s="13" t="s">
        <v>28</v>
      </c>
      <c r="V1268" s="13" t="s">
        <v>799</v>
      </c>
      <c r="W1268" s="13" t="s">
        <v>79</v>
      </c>
      <c r="X1268" s="17">
        <f t="shared" ref="X1268:X1309" si="89">DATE(2025,4,14)</f>
        <v>45761</v>
      </c>
    </row>
    <row r="1269" spans="1:24" ht="45" customHeight="1">
      <c r="A1269" s="3">
        <v>1267</v>
      </c>
      <c r="B1269" s="13" t="s">
        <v>4654</v>
      </c>
      <c r="C1269" s="13" t="s">
        <v>103</v>
      </c>
      <c r="D1269" s="13" t="s">
        <v>4655</v>
      </c>
      <c r="E1269" s="13" t="s">
        <v>28</v>
      </c>
      <c r="F1269" s="13" t="s">
        <v>491</v>
      </c>
      <c r="G1269" s="13" t="s">
        <v>1042</v>
      </c>
      <c r="H1269" s="13" t="s">
        <v>406</v>
      </c>
      <c r="I1269" s="27" t="s">
        <v>4656</v>
      </c>
      <c r="J1269" s="27" t="s">
        <v>33</v>
      </c>
      <c r="K1269" s="27" t="s">
        <v>106</v>
      </c>
      <c r="L1269" s="27" t="s">
        <v>35</v>
      </c>
      <c r="M1269" s="27" t="s">
        <v>36</v>
      </c>
      <c r="N1269" s="17">
        <f t="shared" si="88"/>
        <v>45761</v>
      </c>
      <c r="O1269" s="13" t="s">
        <v>107</v>
      </c>
      <c r="P1269" s="13" t="s">
        <v>494</v>
      </c>
      <c r="Q1269" s="13" t="s">
        <v>38</v>
      </c>
      <c r="R1269" s="13" t="s">
        <v>4657</v>
      </c>
      <c r="S1269" s="13" t="s">
        <v>496</v>
      </c>
      <c r="T1269" s="28">
        <v>23.66</v>
      </c>
      <c r="U1269" s="13" t="s">
        <v>28</v>
      </c>
      <c r="V1269" s="13" t="s">
        <v>53</v>
      </c>
      <c r="W1269" s="13" t="s">
        <v>1042</v>
      </c>
      <c r="X1269" s="17">
        <f t="shared" si="89"/>
        <v>45761</v>
      </c>
    </row>
    <row r="1270" spans="1:24" ht="45" customHeight="1">
      <c r="A1270" s="3">
        <v>1268</v>
      </c>
      <c r="B1270" s="13" t="s">
        <v>4658</v>
      </c>
      <c r="C1270" s="13" t="s">
        <v>26</v>
      </c>
      <c r="D1270" s="13" t="s">
        <v>4659</v>
      </c>
      <c r="E1270" s="13" t="s">
        <v>28</v>
      </c>
      <c r="F1270" s="13" t="s">
        <v>491</v>
      </c>
      <c r="G1270" s="13" t="s">
        <v>950</v>
      </c>
      <c r="H1270" s="13" t="s">
        <v>406</v>
      </c>
      <c r="I1270" s="27" t="s">
        <v>4660</v>
      </c>
      <c r="J1270" s="27" t="s">
        <v>33</v>
      </c>
      <c r="K1270" s="27" t="s">
        <v>34</v>
      </c>
      <c r="L1270" s="27" t="s">
        <v>35</v>
      </c>
      <c r="M1270" s="27" t="s">
        <v>36</v>
      </c>
      <c r="N1270" s="17">
        <f t="shared" si="88"/>
        <v>45761</v>
      </c>
      <c r="O1270" s="13" t="s">
        <v>34</v>
      </c>
      <c r="P1270" s="13" t="s">
        <v>952</v>
      </c>
      <c r="Q1270" s="13" t="s">
        <v>38</v>
      </c>
      <c r="R1270" s="13" t="s">
        <v>4661</v>
      </c>
      <c r="S1270" s="13" t="s">
        <v>496</v>
      </c>
      <c r="T1270" s="28">
        <v>23.73</v>
      </c>
      <c r="U1270" s="13" t="s">
        <v>28</v>
      </c>
      <c r="V1270" s="13" t="s">
        <v>799</v>
      </c>
      <c r="W1270" s="13" t="s">
        <v>954</v>
      </c>
      <c r="X1270" s="17">
        <f t="shared" si="89"/>
        <v>45761</v>
      </c>
    </row>
    <row r="1271" spans="1:24" ht="45" customHeight="1">
      <c r="A1271" s="3">
        <v>1269</v>
      </c>
      <c r="B1271" s="13" t="s">
        <v>4662</v>
      </c>
      <c r="C1271" s="13" t="s">
        <v>103</v>
      </c>
      <c r="D1271" s="13" t="s">
        <v>4663</v>
      </c>
      <c r="E1271" s="13" t="s">
        <v>28</v>
      </c>
      <c r="F1271" s="13" t="s">
        <v>491</v>
      </c>
      <c r="G1271" s="13" t="s">
        <v>1472</v>
      </c>
      <c r="H1271" s="13" t="s">
        <v>406</v>
      </c>
      <c r="I1271" s="27" t="s">
        <v>4664</v>
      </c>
      <c r="J1271" s="27" t="s">
        <v>33</v>
      </c>
      <c r="K1271" s="27" t="s">
        <v>106</v>
      </c>
      <c r="L1271" s="27" t="s">
        <v>35</v>
      </c>
      <c r="M1271" s="27" t="s">
        <v>36</v>
      </c>
      <c r="N1271" s="17">
        <f t="shared" si="88"/>
        <v>45761</v>
      </c>
      <c r="O1271" s="13" t="s">
        <v>107</v>
      </c>
      <c r="P1271" s="13" t="s">
        <v>728</v>
      </c>
      <c r="Q1271" s="13" t="s">
        <v>38</v>
      </c>
      <c r="R1271" s="13" t="s">
        <v>365</v>
      </c>
      <c r="S1271" s="13" t="s">
        <v>496</v>
      </c>
      <c r="T1271" s="28">
        <v>19.489999999999998</v>
      </c>
      <c r="U1271" s="13" t="s">
        <v>28</v>
      </c>
      <c r="V1271" s="13" t="s">
        <v>799</v>
      </c>
      <c r="W1271" s="13" t="s">
        <v>1472</v>
      </c>
      <c r="X1271" s="17">
        <f t="shared" si="89"/>
        <v>45761</v>
      </c>
    </row>
    <row r="1272" spans="1:24" ht="45" customHeight="1">
      <c r="A1272" s="3">
        <v>1270</v>
      </c>
      <c r="B1272" s="13" t="s">
        <v>4665</v>
      </c>
      <c r="C1272" s="13" t="s">
        <v>103</v>
      </c>
      <c r="D1272" s="13" t="s">
        <v>4666</v>
      </c>
      <c r="E1272" s="13" t="s">
        <v>28</v>
      </c>
      <c r="F1272" s="13" t="s">
        <v>29</v>
      </c>
      <c r="G1272" s="13" t="s">
        <v>1216</v>
      </c>
      <c r="H1272" s="13" t="s">
        <v>31</v>
      </c>
      <c r="I1272" s="27" t="s">
        <v>4667</v>
      </c>
      <c r="J1272" s="27" t="s">
        <v>33</v>
      </c>
      <c r="K1272" s="27" t="s">
        <v>106</v>
      </c>
      <c r="L1272" s="27" t="s">
        <v>35</v>
      </c>
      <c r="M1272" s="27" t="s">
        <v>36</v>
      </c>
      <c r="N1272" s="17">
        <f t="shared" si="88"/>
        <v>45761</v>
      </c>
      <c r="O1272" s="13" t="s">
        <v>107</v>
      </c>
      <c r="P1272" s="13" t="s">
        <v>1221</v>
      </c>
      <c r="Q1272" s="13" t="s">
        <v>38</v>
      </c>
      <c r="R1272" s="13" t="s">
        <v>4668</v>
      </c>
      <c r="S1272" s="13" t="s">
        <v>1215</v>
      </c>
      <c r="T1272" s="28">
        <v>19.98</v>
      </c>
      <c r="U1272" s="13" t="s">
        <v>28</v>
      </c>
      <c r="V1272" s="13" t="s">
        <v>53</v>
      </c>
      <c r="W1272" s="13" t="s">
        <v>1219</v>
      </c>
      <c r="X1272" s="17">
        <f t="shared" si="89"/>
        <v>45761</v>
      </c>
    </row>
    <row r="1273" spans="1:24" ht="45" customHeight="1">
      <c r="A1273" s="3">
        <v>1271</v>
      </c>
      <c r="B1273" s="13" t="s">
        <v>4669</v>
      </c>
      <c r="C1273" s="13" t="s">
        <v>26</v>
      </c>
      <c r="D1273" s="13" t="s">
        <v>4670</v>
      </c>
      <c r="E1273" s="13" t="s">
        <v>28</v>
      </c>
      <c r="F1273" s="13" t="s">
        <v>29</v>
      </c>
      <c r="G1273" s="13" t="s">
        <v>85</v>
      </c>
      <c r="H1273" s="13" t="s">
        <v>31</v>
      </c>
      <c r="I1273" s="27" t="s">
        <v>4671</v>
      </c>
      <c r="J1273" s="27" t="s">
        <v>33</v>
      </c>
      <c r="K1273" s="27" t="s">
        <v>34</v>
      </c>
      <c r="L1273" s="27" t="s">
        <v>35</v>
      </c>
      <c r="M1273" s="27" t="s">
        <v>36</v>
      </c>
      <c r="N1273" s="17">
        <f t="shared" si="88"/>
        <v>45761</v>
      </c>
      <c r="O1273" s="13" t="s">
        <v>34</v>
      </c>
      <c r="P1273" s="13" t="s">
        <v>87</v>
      </c>
      <c r="Q1273" s="13" t="s">
        <v>38</v>
      </c>
      <c r="R1273" s="13" t="s">
        <v>365</v>
      </c>
      <c r="S1273" s="13" t="s">
        <v>87</v>
      </c>
      <c r="T1273" s="28">
        <v>22.49</v>
      </c>
      <c r="U1273" s="13" t="s">
        <v>28</v>
      </c>
      <c r="V1273" s="13" t="s">
        <v>752</v>
      </c>
      <c r="W1273" s="13" t="s">
        <v>85</v>
      </c>
      <c r="X1273" s="17">
        <f t="shared" si="89"/>
        <v>45761</v>
      </c>
    </row>
    <row r="1274" spans="1:24" ht="45" customHeight="1">
      <c r="A1274" s="3">
        <v>1272</v>
      </c>
      <c r="B1274" s="13" t="s">
        <v>4672</v>
      </c>
      <c r="C1274" s="13" t="s">
        <v>103</v>
      </c>
      <c r="D1274" s="13" t="s">
        <v>4673</v>
      </c>
      <c r="E1274" s="13" t="s">
        <v>28</v>
      </c>
      <c r="F1274" s="13" t="s">
        <v>491</v>
      </c>
      <c r="G1274" s="13" t="s">
        <v>978</v>
      </c>
      <c r="H1274" s="13" t="s">
        <v>406</v>
      </c>
      <c r="I1274" s="27" t="s">
        <v>4674</v>
      </c>
      <c r="J1274" s="27" t="s">
        <v>33</v>
      </c>
      <c r="K1274" s="27" t="s">
        <v>106</v>
      </c>
      <c r="L1274" s="27" t="s">
        <v>35</v>
      </c>
      <c r="M1274" s="27" t="s">
        <v>36</v>
      </c>
      <c r="N1274" s="17">
        <f t="shared" si="88"/>
        <v>45761</v>
      </c>
      <c r="O1274" s="13" t="s">
        <v>107</v>
      </c>
      <c r="P1274" s="13" t="s">
        <v>494</v>
      </c>
      <c r="Q1274" s="13" t="s">
        <v>38</v>
      </c>
      <c r="R1274" s="13" t="s">
        <v>4675</v>
      </c>
      <c r="S1274" s="13" t="s">
        <v>496</v>
      </c>
      <c r="T1274" s="28">
        <v>24.66</v>
      </c>
      <c r="U1274" s="13" t="s">
        <v>28</v>
      </c>
      <c r="V1274" s="13" t="s">
        <v>53</v>
      </c>
      <c r="W1274" s="13" t="s">
        <v>981</v>
      </c>
      <c r="X1274" s="17">
        <f t="shared" si="89"/>
        <v>45761</v>
      </c>
    </row>
    <row r="1275" spans="1:24" ht="45" customHeight="1">
      <c r="A1275" s="3">
        <v>1273</v>
      </c>
      <c r="B1275" s="13" t="s">
        <v>4676</v>
      </c>
      <c r="C1275" s="13" t="s">
        <v>26</v>
      </c>
      <c r="D1275" s="13" t="s">
        <v>4677</v>
      </c>
      <c r="E1275" s="13" t="s">
        <v>28</v>
      </c>
      <c r="F1275" s="13" t="s">
        <v>29</v>
      </c>
      <c r="G1275" s="13" t="s">
        <v>62</v>
      </c>
      <c r="H1275" s="13" t="s">
        <v>31</v>
      </c>
      <c r="I1275" s="27" t="s">
        <v>4678</v>
      </c>
      <c r="J1275" s="27" t="s">
        <v>33</v>
      </c>
      <c r="K1275" s="27" t="s">
        <v>34</v>
      </c>
      <c r="L1275" s="27" t="s">
        <v>35</v>
      </c>
      <c r="M1275" s="27" t="s">
        <v>36</v>
      </c>
      <c r="N1275" s="17">
        <f t="shared" si="88"/>
        <v>45761</v>
      </c>
      <c r="O1275" s="13" t="s">
        <v>34</v>
      </c>
      <c r="P1275" s="13" t="s">
        <v>64</v>
      </c>
      <c r="Q1275" s="13" t="s">
        <v>38</v>
      </c>
      <c r="R1275" s="13" t="s">
        <v>4679</v>
      </c>
      <c r="S1275" s="13" t="s">
        <v>64</v>
      </c>
      <c r="T1275" s="28">
        <v>20.190000000000001</v>
      </c>
      <c r="U1275" s="13" t="s">
        <v>28</v>
      </c>
      <c r="V1275" s="13" t="s">
        <v>799</v>
      </c>
      <c r="W1275" s="13" t="s">
        <v>62</v>
      </c>
      <c r="X1275" s="17">
        <f t="shared" si="89"/>
        <v>45761</v>
      </c>
    </row>
    <row r="1276" spans="1:24" ht="45" customHeight="1">
      <c r="A1276" s="3">
        <v>1274</v>
      </c>
      <c r="B1276" s="13" t="s">
        <v>4680</v>
      </c>
      <c r="C1276" s="13" t="s">
        <v>26</v>
      </c>
      <c r="D1276" s="13" t="s">
        <v>4681</v>
      </c>
      <c r="E1276" s="13" t="s">
        <v>28</v>
      </c>
      <c r="F1276" s="13" t="s">
        <v>29</v>
      </c>
      <c r="G1276" s="13" t="s">
        <v>56</v>
      </c>
      <c r="H1276" s="13" t="s">
        <v>31</v>
      </c>
      <c r="I1276" s="27" t="s">
        <v>4682</v>
      </c>
      <c r="J1276" s="27" t="s">
        <v>33</v>
      </c>
      <c r="K1276" s="27" t="s">
        <v>34</v>
      </c>
      <c r="L1276" s="27" t="s">
        <v>35</v>
      </c>
      <c r="M1276" s="27" t="s">
        <v>36</v>
      </c>
      <c r="N1276" s="17">
        <f t="shared" si="88"/>
        <v>45761</v>
      </c>
      <c r="O1276" s="13" t="s">
        <v>34</v>
      </c>
      <c r="P1276" s="13" t="s">
        <v>58</v>
      </c>
      <c r="Q1276" s="13" t="s">
        <v>38</v>
      </c>
      <c r="R1276" s="13" t="s">
        <v>4683</v>
      </c>
      <c r="S1276" s="13" t="s">
        <v>58</v>
      </c>
      <c r="T1276" s="28">
        <v>21.83</v>
      </c>
      <c r="U1276" s="13" t="s">
        <v>28</v>
      </c>
      <c r="V1276" s="13" t="s">
        <v>76</v>
      </c>
      <c r="W1276" s="13" t="s">
        <v>56</v>
      </c>
      <c r="X1276" s="17">
        <f t="shared" si="89"/>
        <v>45761</v>
      </c>
    </row>
    <row r="1277" spans="1:24" ht="45" customHeight="1">
      <c r="A1277" s="3">
        <v>1275</v>
      </c>
      <c r="B1277" s="13" t="s">
        <v>4684</v>
      </c>
      <c r="C1277" s="13" t="s">
        <v>26</v>
      </c>
      <c r="D1277" s="13" t="s">
        <v>4685</v>
      </c>
      <c r="E1277" s="13" t="s">
        <v>28</v>
      </c>
      <c r="F1277" s="13" t="s">
        <v>29</v>
      </c>
      <c r="G1277" s="13" t="s">
        <v>30</v>
      </c>
      <c r="H1277" s="13" t="s">
        <v>31</v>
      </c>
      <c r="I1277" s="27" t="s">
        <v>4686</v>
      </c>
      <c r="J1277" s="27" t="s">
        <v>33</v>
      </c>
      <c r="K1277" s="27" t="s">
        <v>34</v>
      </c>
      <c r="L1277" s="27" t="s">
        <v>35</v>
      </c>
      <c r="M1277" s="27" t="s">
        <v>36</v>
      </c>
      <c r="N1277" s="17">
        <f t="shared" si="88"/>
        <v>45761</v>
      </c>
      <c r="O1277" s="13" t="s">
        <v>34</v>
      </c>
      <c r="P1277" s="13" t="s">
        <v>37</v>
      </c>
      <c r="Q1277" s="13" t="s">
        <v>38</v>
      </c>
      <c r="R1277" s="13" t="s">
        <v>4687</v>
      </c>
      <c r="S1277" s="13" t="s">
        <v>37</v>
      </c>
      <c r="T1277" s="28">
        <v>31.41</v>
      </c>
      <c r="U1277" s="13" t="s">
        <v>28</v>
      </c>
      <c r="V1277" s="13" t="s">
        <v>76</v>
      </c>
      <c r="W1277" s="13" t="s">
        <v>30</v>
      </c>
      <c r="X1277" s="17">
        <f t="shared" si="89"/>
        <v>45761</v>
      </c>
    </row>
    <row r="1278" spans="1:24" ht="45" customHeight="1">
      <c r="A1278" s="3">
        <v>1276</v>
      </c>
      <c r="B1278" s="13" t="s">
        <v>4688</v>
      </c>
      <c r="C1278" s="13" t="s">
        <v>26</v>
      </c>
      <c r="D1278" s="13" t="s">
        <v>4689</v>
      </c>
      <c r="E1278" s="13" t="s">
        <v>28</v>
      </c>
      <c r="F1278" s="13" t="s">
        <v>29</v>
      </c>
      <c r="G1278" s="13" t="s">
        <v>48</v>
      </c>
      <c r="H1278" s="13" t="s">
        <v>31</v>
      </c>
      <c r="I1278" s="27" t="s">
        <v>4690</v>
      </c>
      <c r="J1278" s="27" t="s">
        <v>33</v>
      </c>
      <c r="K1278" s="27" t="s">
        <v>34</v>
      </c>
      <c r="L1278" s="27" t="s">
        <v>35</v>
      </c>
      <c r="M1278" s="27" t="s">
        <v>36</v>
      </c>
      <c r="N1278" s="17">
        <f t="shared" si="88"/>
        <v>45761</v>
      </c>
      <c r="O1278" s="13" t="s">
        <v>34</v>
      </c>
      <c r="P1278" s="13" t="s">
        <v>50</v>
      </c>
      <c r="Q1278" s="13" t="s">
        <v>38</v>
      </c>
      <c r="R1278" s="13" t="s">
        <v>365</v>
      </c>
      <c r="S1278" s="13" t="s">
        <v>52</v>
      </c>
      <c r="T1278" s="28">
        <v>26.98</v>
      </c>
      <c r="U1278" s="13" t="s">
        <v>28</v>
      </c>
      <c r="V1278" s="13" t="s">
        <v>53</v>
      </c>
      <c r="W1278" s="13" t="s">
        <v>48</v>
      </c>
      <c r="X1278" s="17">
        <f t="shared" si="89"/>
        <v>45761</v>
      </c>
    </row>
    <row r="1279" spans="1:24" ht="45" customHeight="1">
      <c r="A1279" s="3">
        <v>1277</v>
      </c>
      <c r="B1279" s="13" t="s">
        <v>4691</v>
      </c>
      <c r="C1279" s="13" t="s">
        <v>26</v>
      </c>
      <c r="D1279" s="13" t="s">
        <v>4692</v>
      </c>
      <c r="E1279" s="13" t="s">
        <v>28</v>
      </c>
      <c r="F1279" s="13" t="s">
        <v>29</v>
      </c>
      <c r="G1279" s="13" t="s">
        <v>85</v>
      </c>
      <c r="H1279" s="13" t="s">
        <v>31</v>
      </c>
      <c r="I1279" s="27" t="s">
        <v>4693</v>
      </c>
      <c r="J1279" s="27" t="s">
        <v>33</v>
      </c>
      <c r="K1279" s="27" t="s">
        <v>34</v>
      </c>
      <c r="L1279" s="27" t="s">
        <v>35</v>
      </c>
      <c r="M1279" s="27" t="s">
        <v>36</v>
      </c>
      <c r="N1279" s="17">
        <f t="shared" si="88"/>
        <v>45761</v>
      </c>
      <c r="O1279" s="13" t="s">
        <v>34</v>
      </c>
      <c r="P1279" s="13" t="s">
        <v>87</v>
      </c>
      <c r="Q1279" s="13" t="s">
        <v>38</v>
      </c>
      <c r="R1279" s="13" t="s">
        <v>4694</v>
      </c>
      <c r="S1279" s="13" t="s">
        <v>87</v>
      </c>
      <c r="T1279" s="28">
        <v>21.01</v>
      </c>
      <c r="U1279" s="13" t="s">
        <v>28</v>
      </c>
      <c r="V1279" s="13" t="s">
        <v>752</v>
      </c>
      <c r="W1279" s="13" t="s">
        <v>85</v>
      </c>
      <c r="X1279" s="17">
        <f t="shared" si="89"/>
        <v>45761</v>
      </c>
    </row>
    <row r="1280" spans="1:24" ht="45" customHeight="1">
      <c r="A1280" s="3">
        <v>1278</v>
      </c>
      <c r="B1280" s="13" t="s">
        <v>4695</v>
      </c>
      <c r="C1280" s="13" t="s">
        <v>26</v>
      </c>
      <c r="D1280" s="13" t="s">
        <v>4696</v>
      </c>
      <c r="E1280" s="13" t="s">
        <v>28</v>
      </c>
      <c r="F1280" s="13" t="s">
        <v>29</v>
      </c>
      <c r="G1280" s="13" t="s">
        <v>79</v>
      </c>
      <c r="H1280" s="13" t="s">
        <v>31</v>
      </c>
      <c r="I1280" s="27" t="s">
        <v>4697</v>
      </c>
      <c r="J1280" s="27" t="s">
        <v>33</v>
      </c>
      <c r="K1280" s="27" t="s">
        <v>34</v>
      </c>
      <c r="L1280" s="27" t="s">
        <v>35</v>
      </c>
      <c r="M1280" s="27" t="s">
        <v>36</v>
      </c>
      <c r="N1280" s="17">
        <f t="shared" si="88"/>
        <v>45761</v>
      </c>
      <c r="O1280" s="13" t="s">
        <v>34</v>
      </c>
      <c r="P1280" s="13" t="s">
        <v>81</v>
      </c>
      <c r="Q1280" s="13" t="s">
        <v>38</v>
      </c>
      <c r="R1280" s="13" t="s">
        <v>4698</v>
      </c>
      <c r="S1280" s="13" t="s">
        <v>81</v>
      </c>
      <c r="T1280" s="28">
        <v>23.43</v>
      </c>
      <c r="U1280" s="13" t="s">
        <v>28</v>
      </c>
      <c r="V1280" s="13" t="s">
        <v>799</v>
      </c>
      <c r="W1280" s="13" t="s">
        <v>79</v>
      </c>
      <c r="X1280" s="17">
        <f t="shared" si="89"/>
        <v>45761</v>
      </c>
    </row>
    <row r="1281" spans="1:24" ht="45" customHeight="1">
      <c r="A1281" s="3">
        <v>1279</v>
      </c>
      <c r="B1281" s="13" t="s">
        <v>4699</v>
      </c>
      <c r="C1281" s="13" t="s">
        <v>26</v>
      </c>
      <c r="D1281" s="13" t="s">
        <v>4700</v>
      </c>
      <c r="E1281" s="13" t="s">
        <v>28</v>
      </c>
      <c r="F1281" s="13" t="s">
        <v>29</v>
      </c>
      <c r="G1281" s="13" t="s">
        <v>48</v>
      </c>
      <c r="H1281" s="13" t="s">
        <v>31</v>
      </c>
      <c r="I1281" s="27" t="s">
        <v>4701</v>
      </c>
      <c r="J1281" s="27" t="s">
        <v>33</v>
      </c>
      <c r="K1281" s="27" t="s">
        <v>34</v>
      </c>
      <c r="L1281" s="27" t="s">
        <v>35</v>
      </c>
      <c r="M1281" s="27" t="s">
        <v>36</v>
      </c>
      <c r="N1281" s="17">
        <f t="shared" si="88"/>
        <v>45761</v>
      </c>
      <c r="O1281" s="13" t="s">
        <v>34</v>
      </c>
      <c r="P1281" s="13" t="s">
        <v>52</v>
      </c>
      <c r="Q1281" s="13" t="s">
        <v>38</v>
      </c>
      <c r="R1281" s="13" t="s">
        <v>4702</v>
      </c>
      <c r="S1281" s="13" t="s">
        <v>52</v>
      </c>
      <c r="T1281" s="28">
        <v>24.79</v>
      </c>
      <c r="U1281" s="13" t="s">
        <v>28</v>
      </c>
      <c r="V1281" s="13" t="s">
        <v>146</v>
      </c>
      <c r="W1281" s="13" t="s">
        <v>48</v>
      </c>
      <c r="X1281" s="17">
        <f t="shared" si="89"/>
        <v>45761</v>
      </c>
    </row>
    <row r="1282" spans="1:24" ht="45" customHeight="1">
      <c r="A1282" s="3">
        <v>1280</v>
      </c>
      <c r="B1282" s="13" t="s">
        <v>4703</v>
      </c>
      <c r="C1282" s="13" t="s">
        <v>26</v>
      </c>
      <c r="D1282" s="13" t="s">
        <v>4704</v>
      </c>
      <c r="E1282" s="13" t="s">
        <v>28</v>
      </c>
      <c r="F1282" s="13" t="s">
        <v>491</v>
      </c>
      <c r="G1282" s="13" t="s">
        <v>1042</v>
      </c>
      <c r="H1282" s="13" t="s">
        <v>406</v>
      </c>
      <c r="I1282" s="27" t="s">
        <v>4705</v>
      </c>
      <c r="J1282" s="27" t="s">
        <v>33</v>
      </c>
      <c r="K1282" s="27" t="s">
        <v>34</v>
      </c>
      <c r="L1282" s="27" t="s">
        <v>35</v>
      </c>
      <c r="M1282" s="27" t="s">
        <v>36</v>
      </c>
      <c r="N1282" s="17">
        <f t="shared" si="88"/>
        <v>45761</v>
      </c>
      <c r="O1282" s="13" t="s">
        <v>34</v>
      </c>
      <c r="P1282" s="13" t="s">
        <v>494</v>
      </c>
      <c r="Q1282" s="13" t="s">
        <v>38</v>
      </c>
      <c r="R1282" s="13" t="s">
        <v>4706</v>
      </c>
      <c r="S1282" s="13" t="s">
        <v>496</v>
      </c>
      <c r="T1282" s="28">
        <v>24.31</v>
      </c>
      <c r="U1282" s="13" t="s">
        <v>28</v>
      </c>
      <c r="V1282" s="13" t="s">
        <v>89</v>
      </c>
      <c r="W1282" s="13" t="s">
        <v>1042</v>
      </c>
      <c r="X1282" s="17">
        <f t="shared" si="89"/>
        <v>45761</v>
      </c>
    </row>
    <row r="1283" spans="1:24" ht="45" customHeight="1">
      <c r="A1283" s="3">
        <v>1281</v>
      </c>
      <c r="B1283" s="13" t="s">
        <v>4707</v>
      </c>
      <c r="C1283" s="13" t="s">
        <v>26</v>
      </c>
      <c r="D1283" s="13" t="s">
        <v>4708</v>
      </c>
      <c r="E1283" s="13" t="s">
        <v>28</v>
      </c>
      <c r="F1283" s="13" t="s">
        <v>29</v>
      </c>
      <c r="G1283" s="13" t="s">
        <v>1216</v>
      </c>
      <c r="H1283" s="13" t="s">
        <v>1031</v>
      </c>
      <c r="I1283" s="27" t="s">
        <v>4709</v>
      </c>
      <c r="J1283" s="27" t="s">
        <v>33</v>
      </c>
      <c r="K1283" s="27" t="s">
        <v>34</v>
      </c>
      <c r="L1283" s="27" t="s">
        <v>35</v>
      </c>
      <c r="M1283" s="27" t="s">
        <v>36</v>
      </c>
      <c r="N1283" s="17">
        <f t="shared" si="88"/>
        <v>45761</v>
      </c>
      <c r="O1283" s="13" t="s">
        <v>34</v>
      </c>
      <c r="P1283" s="13" t="s">
        <v>1231</v>
      </c>
      <c r="Q1283" s="13" t="s">
        <v>38</v>
      </c>
      <c r="R1283" s="13" t="s">
        <v>4710</v>
      </c>
      <c r="S1283" s="13" t="s">
        <v>1215</v>
      </c>
      <c r="T1283" s="28">
        <v>19.62</v>
      </c>
      <c r="U1283" s="13" t="s">
        <v>28</v>
      </c>
      <c r="V1283" s="13" t="s">
        <v>89</v>
      </c>
      <c r="W1283" s="13" t="s">
        <v>1219</v>
      </c>
      <c r="X1283" s="17">
        <f t="shared" si="89"/>
        <v>45761</v>
      </c>
    </row>
    <row r="1284" spans="1:24" ht="45" customHeight="1">
      <c r="A1284" s="3">
        <v>1282</v>
      </c>
      <c r="B1284" s="13" t="s">
        <v>4711</v>
      </c>
      <c r="C1284" s="13" t="s">
        <v>26</v>
      </c>
      <c r="D1284" s="13" t="s">
        <v>4712</v>
      </c>
      <c r="E1284" s="13" t="s">
        <v>28</v>
      </c>
      <c r="F1284" s="13" t="s">
        <v>491</v>
      </c>
      <c r="G1284" s="13" t="s">
        <v>978</v>
      </c>
      <c r="H1284" s="13" t="s">
        <v>406</v>
      </c>
      <c r="I1284" s="27" t="s">
        <v>4713</v>
      </c>
      <c r="J1284" s="27" t="s">
        <v>33</v>
      </c>
      <c r="K1284" s="27" t="s">
        <v>34</v>
      </c>
      <c r="L1284" s="27" t="s">
        <v>35</v>
      </c>
      <c r="M1284" s="27" t="s">
        <v>36</v>
      </c>
      <c r="N1284" s="17">
        <f t="shared" si="88"/>
        <v>45761</v>
      </c>
      <c r="O1284" s="13" t="s">
        <v>34</v>
      </c>
      <c r="P1284" s="13" t="s">
        <v>494</v>
      </c>
      <c r="Q1284" s="13" t="s">
        <v>38</v>
      </c>
      <c r="R1284" s="13" t="s">
        <v>4714</v>
      </c>
      <c r="S1284" s="13" t="s">
        <v>496</v>
      </c>
      <c r="T1284" s="28">
        <v>21.65</v>
      </c>
      <c r="U1284" s="13" t="s">
        <v>28</v>
      </c>
      <c r="V1284" s="13" t="s">
        <v>53</v>
      </c>
      <c r="W1284" s="13" t="s">
        <v>981</v>
      </c>
      <c r="X1284" s="17">
        <f t="shared" si="89"/>
        <v>45761</v>
      </c>
    </row>
    <row r="1285" spans="1:24" ht="45" customHeight="1">
      <c r="A1285" s="3">
        <v>1283</v>
      </c>
      <c r="B1285" s="13" t="s">
        <v>4715</v>
      </c>
      <c r="C1285" s="13" t="s">
        <v>26</v>
      </c>
      <c r="D1285" s="13" t="s">
        <v>4716</v>
      </c>
      <c r="E1285" s="13" t="s">
        <v>28</v>
      </c>
      <c r="F1285" s="13" t="s">
        <v>29</v>
      </c>
      <c r="G1285" s="13" t="s">
        <v>30</v>
      </c>
      <c r="H1285" s="13" t="s">
        <v>31</v>
      </c>
      <c r="I1285" s="27" t="s">
        <v>4717</v>
      </c>
      <c r="J1285" s="27" t="s">
        <v>33</v>
      </c>
      <c r="K1285" s="27" t="s">
        <v>34</v>
      </c>
      <c r="L1285" s="27" t="s">
        <v>35</v>
      </c>
      <c r="M1285" s="27" t="s">
        <v>36</v>
      </c>
      <c r="N1285" s="17">
        <f t="shared" si="88"/>
        <v>45761</v>
      </c>
      <c r="O1285" s="13" t="s">
        <v>34</v>
      </c>
      <c r="P1285" s="13" t="s">
        <v>37</v>
      </c>
      <c r="Q1285" s="13" t="s">
        <v>38</v>
      </c>
      <c r="R1285" s="13" t="s">
        <v>365</v>
      </c>
      <c r="S1285" s="13" t="s">
        <v>37</v>
      </c>
      <c r="T1285" s="28">
        <v>27.1</v>
      </c>
      <c r="U1285" s="13" t="s">
        <v>28</v>
      </c>
      <c r="V1285" s="13" t="s">
        <v>40</v>
      </c>
      <c r="W1285" s="13" t="s">
        <v>30</v>
      </c>
      <c r="X1285" s="17">
        <f t="shared" si="89"/>
        <v>45761</v>
      </c>
    </row>
    <row r="1286" spans="1:24" ht="45" customHeight="1">
      <c r="A1286" s="3">
        <v>1284</v>
      </c>
      <c r="B1286" s="13" t="s">
        <v>4718</v>
      </c>
      <c r="C1286" s="13" t="s">
        <v>26</v>
      </c>
      <c r="D1286" s="13" t="s">
        <v>4719</v>
      </c>
      <c r="E1286" s="13" t="s">
        <v>28</v>
      </c>
      <c r="F1286" s="13" t="s">
        <v>29</v>
      </c>
      <c r="G1286" s="13" t="s">
        <v>48</v>
      </c>
      <c r="H1286" s="13" t="s">
        <v>31</v>
      </c>
      <c r="I1286" s="27" t="s">
        <v>4720</v>
      </c>
      <c r="J1286" s="27" t="s">
        <v>33</v>
      </c>
      <c r="K1286" s="27" t="s">
        <v>34</v>
      </c>
      <c r="L1286" s="27" t="s">
        <v>35</v>
      </c>
      <c r="M1286" s="27" t="s">
        <v>36</v>
      </c>
      <c r="N1286" s="17">
        <f t="shared" si="88"/>
        <v>45761</v>
      </c>
      <c r="O1286" s="13" t="s">
        <v>34</v>
      </c>
      <c r="P1286" s="13" t="s">
        <v>50</v>
      </c>
      <c r="Q1286" s="13" t="s">
        <v>38</v>
      </c>
      <c r="R1286" s="13" t="s">
        <v>4721</v>
      </c>
      <c r="S1286" s="13" t="s">
        <v>52</v>
      </c>
      <c r="T1286" s="28">
        <v>26.01</v>
      </c>
      <c r="U1286" s="13" t="s">
        <v>28</v>
      </c>
      <c r="V1286" s="13" t="s">
        <v>53</v>
      </c>
      <c r="W1286" s="13" t="s">
        <v>48</v>
      </c>
      <c r="X1286" s="17">
        <f t="shared" si="89"/>
        <v>45761</v>
      </c>
    </row>
    <row r="1287" spans="1:24" ht="45" customHeight="1">
      <c r="A1287" s="3">
        <v>1285</v>
      </c>
      <c r="B1287" s="13" t="s">
        <v>4722</v>
      </c>
      <c r="C1287" s="13" t="s">
        <v>26</v>
      </c>
      <c r="D1287" s="13" t="s">
        <v>4723</v>
      </c>
      <c r="E1287" s="13" t="s">
        <v>28</v>
      </c>
      <c r="F1287" s="13" t="s">
        <v>491</v>
      </c>
      <c r="G1287" s="13" t="s">
        <v>978</v>
      </c>
      <c r="H1287" s="13" t="s">
        <v>406</v>
      </c>
      <c r="I1287" s="27" t="s">
        <v>4724</v>
      </c>
      <c r="J1287" s="27" t="s">
        <v>33</v>
      </c>
      <c r="K1287" s="27" t="s">
        <v>34</v>
      </c>
      <c r="L1287" s="27" t="s">
        <v>35</v>
      </c>
      <c r="M1287" s="27" t="s">
        <v>36</v>
      </c>
      <c r="N1287" s="17">
        <f t="shared" si="88"/>
        <v>45761</v>
      </c>
      <c r="O1287" s="13" t="s">
        <v>34</v>
      </c>
      <c r="P1287" s="13" t="s">
        <v>494</v>
      </c>
      <c r="Q1287" s="13" t="s">
        <v>38</v>
      </c>
      <c r="R1287" s="13" t="s">
        <v>4725</v>
      </c>
      <c r="S1287" s="13" t="s">
        <v>496</v>
      </c>
      <c r="T1287" s="28">
        <v>22.83</v>
      </c>
      <c r="U1287" s="13" t="s">
        <v>28</v>
      </c>
      <c r="V1287" s="13" t="s">
        <v>89</v>
      </c>
      <c r="W1287" s="13" t="s">
        <v>981</v>
      </c>
      <c r="X1287" s="17">
        <f t="shared" si="89"/>
        <v>45761</v>
      </c>
    </row>
    <row r="1288" spans="1:24" ht="45" customHeight="1">
      <c r="A1288" s="3">
        <v>1286</v>
      </c>
      <c r="B1288" s="13" t="s">
        <v>4726</v>
      </c>
      <c r="C1288" s="13" t="s">
        <v>26</v>
      </c>
      <c r="D1288" s="13" t="s">
        <v>4727</v>
      </c>
      <c r="E1288" s="13" t="s">
        <v>28</v>
      </c>
      <c r="F1288" s="13" t="s">
        <v>29</v>
      </c>
      <c r="G1288" s="13" t="s">
        <v>62</v>
      </c>
      <c r="H1288" s="13" t="s">
        <v>31</v>
      </c>
      <c r="I1288" s="27" t="s">
        <v>4728</v>
      </c>
      <c r="J1288" s="27" t="s">
        <v>33</v>
      </c>
      <c r="K1288" s="27" t="s">
        <v>34</v>
      </c>
      <c r="L1288" s="27" t="s">
        <v>35</v>
      </c>
      <c r="M1288" s="27" t="s">
        <v>36</v>
      </c>
      <c r="N1288" s="17">
        <f t="shared" si="88"/>
        <v>45761</v>
      </c>
      <c r="O1288" s="13" t="s">
        <v>34</v>
      </c>
      <c r="P1288" s="13" t="s">
        <v>64</v>
      </c>
      <c r="Q1288" s="13" t="s">
        <v>38</v>
      </c>
      <c r="R1288" s="13" t="s">
        <v>4729</v>
      </c>
      <c r="S1288" s="13" t="s">
        <v>64</v>
      </c>
      <c r="T1288" s="28">
        <v>31.85</v>
      </c>
      <c r="U1288" s="13" t="s">
        <v>28</v>
      </c>
      <c r="V1288" s="13" t="s">
        <v>799</v>
      </c>
      <c r="W1288" s="13" t="s">
        <v>62</v>
      </c>
      <c r="X1288" s="17">
        <f t="shared" si="89"/>
        <v>45761</v>
      </c>
    </row>
    <row r="1289" spans="1:24" ht="45" customHeight="1">
      <c r="A1289" s="3">
        <v>1287</v>
      </c>
      <c r="B1289" s="13" t="s">
        <v>4730</v>
      </c>
      <c r="C1289" s="13" t="s">
        <v>26</v>
      </c>
      <c r="D1289" s="13" t="s">
        <v>4731</v>
      </c>
      <c r="E1289" s="13" t="s">
        <v>28</v>
      </c>
      <c r="F1289" s="13" t="s">
        <v>491</v>
      </c>
      <c r="G1289" s="13" t="s">
        <v>1042</v>
      </c>
      <c r="H1289" s="13" t="s">
        <v>406</v>
      </c>
      <c r="I1289" s="27" t="s">
        <v>4732</v>
      </c>
      <c r="J1289" s="27" t="s">
        <v>33</v>
      </c>
      <c r="K1289" s="27" t="s">
        <v>34</v>
      </c>
      <c r="L1289" s="27" t="s">
        <v>35</v>
      </c>
      <c r="M1289" s="27" t="s">
        <v>36</v>
      </c>
      <c r="N1289" s="17">
        <f t="shared" si="88"/>
        <v>45761</v>
      </c>
      <c r="O1289" s="13" t="s">
        <v>34</v>
      </c>
      <c r="P1289" s="13" t="s">
        <v>494</v>
      </c>
      <c r="Q1289" s="13" t="s">
        <v>38</v>
      </c>
      <c r="R1289" s="13" t="s">
        <v>4733</v>
      </c>
      <c r="S1289" s="13" t="s">
        <v>496</v>
      </c>
      <c r="T1289" s="28">
        <v>21.74</v>
      </c>
      <c r="U1289" s="13" t="s">
        <v>28</v>
      </c>
      <c r="V1289" s="13" t="s">
        <v>146</v>
      </c>
      <c r="W1289" s="13" t="s">
        <v>1042</v>
      </c>
      <c r="X1289" s="17">
        <f t="shared" si="89"/>
        <v>45761</v>
      </c>
    </row>
    <row r="1290" spans="1:24" ht="45" customHeight="1">
      <c r="A1290" s="3">
        <v>1288</v>
      </c>
      <c r="B1290" s="13" t="s">
        <v>4734</v>
      </c>
      <c r="C1290" s="13" t="s">
        <v>26</v>
      </c>
      <c r="D1290" s="13" t="s">
        <v>4735</v>
      </c>
      <c r="E1290" s="13" t="s">
        <v>28</v>
      </c>
      <c r="F1290" s="13" t="s">
        <v>29</v>
      </c>
      <c r="G1290" s="13" t="s">
        <v>43</v>
      </c>
      <c r="H1290" s="13" t="s">
        <v>31</v>
      </c>
      <c r="I1290" s="27" t="s">
        <v>4736</v>
      </c>
      <c r="J1290" s="27" t="s">
        <v>33</v>
      </c>
      <c r="K1290" s="27" t="s">
        <v>34</v>
      </c>
      <c r="L1290" s="27" t="s">
        <v>35</v>
      </c>
      <c r="M1290" s="27" t="s">
        <v>36</v>
      </c>
      <c r="N1290" s="17">
        <f t="shared" si="88"/>
        <v>45761</v>
      </c>
      <c r="O1290" s="13" t="s">
        <v>34</v>
      </c>
      <c r="P1290" s="13" t="s">
        <v>37</v>
      </c>
      <c r="Q1290" s="13" t="s">
        <v>38</v>
      </c>
      <c r="R1290" s="13" t="s">
        <v>365</v>
      </c>
      <c r="S1290" s="13" t="s">
        <v>37</v>
      </c>
      <c r="T1290" s="28">
        <v>22.4</v>
      </c>
      <c r="U1290" s="13" t="s">
        <v>28</v>
      </c>
      <c r="V1290" s="13" t="s">
        <v>76</v>
      </c>
      <c r="W1290" s="13" t="s">
        <v>43</v>
      </c>
      <c r="X1290" s="17">
        <f t="shared" si="89"/>
        <v>45761</v>
      </c>
    </row>
    <row r="1291" spans="1:24" ht="45" customHeight="1">
      <c r="A1291" s="3">
        <v>1289</v>
      </c>
      <c r="B1291" s="13" t="s">
        <v>4737</v>
      </c>
      <c r="C1291" s="13" t="s">
        <v>26</v>
      </c>
      <c r="D1291" s="13" t="s">
        <v>4738</v>
      </c>
      <c r="E1291" s="13" t="s">
        <v>28</v>
      </c>
      <c r="F1291" s="13" t="s">
        <v>29</v>
      </c>
      <c r="G1291" s="13" t="s">
        <v>72</v>
      </c>
      <c r="H1291" s="13" t="s">
        <v>31</v>
      </c>
      <c r="I1291" s="27" t="s">
        <v>4739</v>
      </c>
      <c r="J1291" s="27" t="s">
        <v>33</v>
      </c>
      <c r="K1291" s="27" t="s">
        <v>34</v>
      </c>
      <c r="L1291" s="27" t="s">
        <v>35</v>
      </c>
      <c r="M1291" s="27" t="s">
        <v>36</v>
      </c>
      <c r="N1291" s="17">
        <f t="shared" si="88"/>
        <v>45761</v>
      </c>
      <c r="O1291" s="13" t="s">
        <v>34</v>
      </c>
      <c r="P1291" s="13" t="s">
        <v>74</v>
      </c>
      <c r="Q1291" s="13" t="s">
        <v>38</v>
      </c>
      <c r="R1291" s="13" t="s">
        <v>4740</v>
      </c>
      <c r="S1291" s="13" t="s">
        <v>74</v>
      </c>
      <c r="T1291" s="28">
        <v>28.78</v>
      </c>
      <c r="U1291" s="13" t="s">
        <v>28</v>
      </c>
      <c r="V1291" s="13" t="s">
        <v>76</v>
      </c>
      <c r="W1291" s="13" t="s">
        <v>72</v>
      </c>
      <c r="X1291" s="17">
        <f t="shared" si="89"/>
        <v>45761</v>
      </c>
    </row>
    <row r="1292" spans="1:24" ht="45" customHeight="1">
      <c r="A1292" s="3">
        <v>1290</v>
      </c>
      <c r="B1292" s="13" t="s">
        <v>4741</v>
      </c>
      <c r="C1292" s="13" t="s">
        <v>26</v>
      </c>
      <c r="D1292" s="13" t="s">
        <v>4742</v>
      </c>
      <c r="E1292" s="13" t="s">
        <v>28</v>
      </c>
      <c r="F1292" s="13" t="s">
        <v>29</v>
      </c>
      <c r="G1292" s="13" t="s">
        <v>79</v>
      </c>
      <c r="H1292" s="13" t="s">
        <v>31</v>
      </c>
      <c r="I1292" s="27" t="s">
        <v>4743</v>
      </c>
      <c r="J1292" s="27" t="s">
        <v>33</v>
      </c>
      <c r="K1292" s="27" t="s">
        <v>34</v>
      </c>
      <c r="L1292" s="27" t="s">
        <v>35</v>
      </c>
      <c r="M1292" s="27" t="s">
        <v>36</v>
      </c>
      <c r="N1292" s="17">
        <f t="shared" si="88"/>
        <v>45761</v>
      </c>
      <c r="O1292" s="13" t="s">
        <v>34</v>
      </c>
      <c r="P1292" s="13" t="s">
        <v>81</v>
      </c>
      <c r="Q1292" s="13" t="s">
        <v>38</v>
      </c>
      <c r="R1292" s="13" t="s">
        <v>365</v>
      </c>
      <c r="S1292" s="13" t="s">
        <v>81</v>
      </c>
      <c r="T1292" s="28">
        <v>20.77</v>
      </c>
      <c r="U1292" s="13" t="s">
        <v>28</v>
      </c>
      <c r="V1292" s="13" t="s">
        <v>799</v>
      </c>
      <c r="W1292" s="13" t="s">
        <v>79</v>
      </c>
      <c r="X1292" s="17">
        <f t="shared" si="89"/>
        <v>45761</v>
      </c>
    </row>
    <row r="1293" spans="1:24" ht="45" customHeight="1">
      <c r="A1293" s="3">
        <v>1291</v>
      </c>
      <c r="B1293" s="13" t="s">
        <v>4744</v>
      </c>
      <c r="C1293" s="13" t="s">
        <v>26</v>
      </c>
      <c r="D1293" s="13" t="s">
        <v>4745</v>
      </c>
      <c r="E1293" s="13" t="s">
        <v>28</v>
      </c>
      <c r="F1293" s="13" t="s">
        <v>29</v>
      </c>
      <c r="G1293" s="13" t="s">
        <v>56</v>
      </c>
      <c r="H1293" s="13" t="s">
        <v>31</v>
      </c>
      <c r="I1293" s="27" t="s">
        <v>4746</v>
      </c>
      <c r="J1293" s="27" t="s">
        <v>33</v>
      </c>
      <c r="K1293" s="27" t="s">
        <v>34</v>
      </c>
      <c r="L1293" s="27" t="s">
        <v>35</v>
      </c>
      <c r="M1293" s="27" t="s">
        <v>36</v>
      </c>
      <c r="N1293" s="17">
        <f t="shared" si="88"/>
        <v>45761</v>
      </c>
      <c r="O1293" s="13" t="s">
        <v>34</v>
      </c>
      <c r="P1293" s="13" t="s">
        <v>58</v>
      </c>
      <c r="Q1293" s="13" t="s">
        <v>38</v>
      </c>
      <c r="R1293" s="13" t="s">
        <v>4747</v>
      </c>
      <c r="S1293" s="13" t="s">
        <v>58</v>
      </c>
      <c r="T1293" s="28">
        <v>27.32</v>
      </c>
      <c r="U1293" s="13" t="s">
        <v>28</v>
      </c>
      <c r="V1293" s="13" t="s">
        <v>40</v>
      </c>
      <c r="W1293" s="13" t="s">
        <v>56</v>
      </c>
      <c r="X1293" s="17">
        <f t="shared" si="89"/>
        <v>45761</v>
      </c>
    </row>
    <row r="1294" spans="1:24" ht="45" customHeight="1">
      <c r="A1294" s="3">
        <v>1292</v>
      </c>
      <c r="B1294" s="13" t="s">
        <v>4748</v>
      </c>
      <c r="C1294" s="13" t="s">
        <v>26</v>
      </c>
      <c r="D1294" s="13" t="s">
        <v>4749</v>
      </c>
      <c r="E1294" s="13" t="s">
        <v>28</v>
      </c>
      <c r="F1294" s="13" t="s">
        <v>608</v>
      </c>
      <c r="G1294" s="13" t="s">
        <v>609</v>
      </c>
      <c r="H1294" s="13" t="s">
        <v>406</v>
      </c>
      <c r="I1294" s="27" t="s">
        <v>4750</v>
      </c>
      <c r="J1294" s="27" t="s">
        <v>33</v>
      </c>
      <c r="K1294" s="27" t="s">
        <v>34</v>
      </c>
      <c r="L1294" s="27" t="s">
        <v>35</v>
      </c>
      <c r="M1294" s="27" t="s">
        <v>36</v>
      </c>
      <c r="N1294" s="17">
        <f t="shared" si="88"/>
        <v>45761</v>
      </c>
      <c r="O1294" s="13" t="s">
        <v>34</v>
      </c>
      <c r="P1294" s="13" t="s">
        <v>607</v>
      </c>
      <c r="Q1294" s="13" t="s">
        <v>38</v>
      </c>
      <c r="R1294" s="13" t="s">
        <v>4751</v>
      </c>
      <c r="S1294" s="13" t="s">
        <v>611</v>
      </c>
      <c r="T1294" s="28">
        <v>22.47</v>
      </c>
      <c r="U1294" s="13" t="s">
        <v>28</v>
      </c>
      <c r="V1294" s="13" t="s">
        <v>799</v>
      </c>
      <c r="W1294" s="13" t="s">
        <v>609</v>
      </c>
      <c r="X1294" s="17">
        <f t="shared" si="89"/>
        <v>45761</v>
      </c>
    </row>
    <row r="1295" spans="1:24" ht="45" customHeight="1">
      <c r="A1295" s="3">
        <v>1293</v>
      </c>
      <c r="B1295" s="13" t="s">
        <v>4752</v>
      </c>
      <c r="C1295" s="13" t="s">
        <v>26</v>
      </c>
      <c r="D1295" s="13" t="s">
        <v>4753</v>
      </c>
      <c r="E1295" s="13" t="s">
        <v>28</v>
      </c>
      <c r="F1295" s="13" t="s">
        <v>29</v>
      </c>
      <c r="G1295" s="13" t="s">
        <v>79</v>
      </c>
      <c r="H1295" s="13" t="s">
        <v>31</v>
      </c>
      <c r="I1295" s="27" t="s">
        <v>4754</v>
      </c>
      <c r="J1295" s="27" t="s">
        <v>33</v>
      </c>
      <c r="K1295" s="27" t="s">
        <v>34</v>
      </c>
      <c r="L1295" s="27" t="s">
        <v>35</v>
      </c>
      <c r="M1295" s="27" t="s">
        <v>36</v>
      </c>
      <c r="N1295" s="17">
        <f t="shared" si="88"/>
        <v>45761</v>
      </c>
      <c r="O1295" s="13" t="s">
        <v>34</v>
      </c>
      <c r="P1295" s="13" t="s">
        <v>81</v>
      </c>
      <c r="Q1295" s="13" t="s">
        <v>38</v>
      </c>
      <c r="R1295" s="13" t="s">
        <v>365</v>
      </c>
      <c r="S1295" s="13" t="s">
        <v>81</v>
      </c>
      <c r="T1295" s="28">
        <v>22.76</v>
      </c>
      <c r="U1295" s="13" t="s">
        <v>28</v>
      </c>
      <c r="V1295" s="13" t="s">
        <v>799</v>
      </c>
      <c r="W1295" s="13" t="s">
        <v>79</v>
      </c>
      <c r="X1295" s="17">
        <f t="shared" si="89"/>
        <v>45761</v>
      </c>
    </row>
    <row r="1296" spans="1:24" ht="45" customHeight="1">
      <c r="A1296" s="3">
        <v>1294</v>
      </c>
      <c r="B1296" s="13" t="s">
        <v>4755</v>
      </c>
      <c r="C1296" s="13" t="s">
        <v>26</v>
      </c>
      <c r="D1296" s="13" t="s">
        <v>4756</v>
      </c>
      <c r="E1296" s="13" t="s">
        <v>28</v>
      </c>
      <c r="F1296" s="13" t="s">
        <v>491</v>
      </c>
      <c r="G1296" s="13" t="s">
        <v>830</v>
      </c>
      <c r="H1296" s="13" t="s">
        <v>406</v>
      </c>
      <c r="I1296" s="27" t="s">
        <v>4757</v>
      </c>
      <c r="J1296" s="27" t="s">
        <v>33</v>
      </c>
      <c r="K1296" s="27" t="s">
        <v>34</v>
      </c>
      <c r="L1296" s="27" t="s">
        <v>35</v>
      </c>
      <c r="M1296" s="27" t="s">
        <v>36</v>
      </c>
      <c r="N1296" s="17">
        <f t="shared" si="88"/>
        <v>45761</v>
      </c>
      <c r="O1296" s="13" t="s">
        <v>34</v>
      </c>
      <c r="P1296" s="13" t="s">
        <v>505</v>
      </c>
      <c r="Q1296" s="13" t="s">
        <v>38</v>
      </c>
      <c r="R1296" s="13" t="s">
        <v>4758</v>
      </c>
      <c r="S1296" s="13" t="s">
        <v>496</v>
      </c>
      <c r="T1296" s="28">
        <v>19.739999999999998</v>
      </c>
      <c r="U1296" s="13" t="s">
        <v>28</v>
      </c>
      <c r="V1296" s="13" t="s">
        <v>53</v>
      </c>
      <c r="W1296" s="13" t="s">
        <v>833</v>
      </c>
      <c r="X1296" s="17">
        <f t="shared" si="89"/>
        <v>45761</v>
      </c>
    </row>
    <row r="1297" spans="1:24" ht="45" customHeight="1">
      <c r="A1297" s="3">
        <v>1295</v>
      </c>
      <c r="B1297" s="13" t="s">
        <v>4759</v>
      </c>
      <c r="C1297" s="13" t="s">
        <v>26</v>
      </c>
      <c r="D1297" s="13" t="s">
        <v>4760</v>
      </c>
      <c r="E1297" s="13" t="s">
        <v>28</v>
      </c>
      <c r="F1297" s="13" t="s">
        <v>29</v>
      </c>
      <c r="G1297" s="13" t="s">
        <v>85</v>
      </c>
      <c r="H1297" s="13" t="s">
        <v>31</v>
      </c>
      <c r="I1297" s="27" t="s">
        <v>4761</v>
      </c>
      <c r="J1297" s="27" t="s">
        <v>33</v>
      </c>
      <c r="K1297" s="27" t="s">
        <v>34</v>
      </c>
      <c r="L1297" s="27" t="s">
        <v>35</v>
      </c>
      <c r="M1297" s="27" t="s">
        <v>36</v>
      </c>
      <c r="N1297" s="17">
        <f t="shared" si="88"/>
        <v>45761</v>
      </c>
      <c r="O1297" s="13" t="s">
        <v>34</v>
      </c>
      <c r="P1297" s="13" t="s">
        <v>87</v>
      </c>
      <c r="Q1297" s="13" t="s">
        <v>38</v>
      </c>
      <c r="R1297" s="13" t="s">
        <v>4762</v>
      </c>
      <c r="S1297" s="13" t="s">
        <v>87</v>
      </c>
      <c r="T1297" s="28">
        <v>23.84</v>
      </c>
      <c r="U1297" s="13" t="s">
        <v>28</v>
      </c>
      <c r="V1297" s="13" t="s">
        <v>752</v>
      </c>
      <c r="W1297" s="13" t="s">
        <v>85</v>
      </c>
      <c r="X1297" s="17">
        <f t="shared" si="89"/>
        <v>45761</v>
      </c>
    </row>
    <row r="1298" spans="1:24" ht="45" customHeight="1">
      <c r="A1298" s="3">
        <v>1296</v>
      </c>
      <c r="B1298" s="13" t="s">
        <v>4763</v>
      </c>
      <c r="C1298" s="13" t="s">
        <v>26</v>
      </c>
      <c r="D1298" s="13" t="s">
        <v>4764</v>
      </c>
      <c r="E1298" s="13" t="s">
        <v>28</v>
      </c>
      <c r="F1298" s="13" t="s">
        <v>29</v>
      </c>
      <c r="G1298" s="13" t="s">
        <v>62</v>
      </c>
      <c r="H1298" s="13" t="s">
        <v>31</v>
      </c>
      <c r="I1298" s="27" t="s">
        <v>4765</v>
      </c>
      <c r="J1298" s="27" t="s">
        <v>33</v>
      </c>
      <c r="K1298" s="27" t="s">
        <v>34</v>
      </c>
      <c r="L1298" s="27" t="s">
        <v>35</v>
      </c>
      <c r="M1298" s="27" t="s">
        <v>36</v>
      </c>
      <c r="N1298" s="17">
        <f t="shared" si="88"/>
        <v>45761</v>
      </c>
      <c r="O1298" s="13" t="s">
        <v>34</v>
      </c>
      <c r="P1298" s="13" t="s">
        <v>64</v>
      </c>
      <c r="Q1298" s="13" t="s">
        <v>38</v>
      </c>
      <c r="R1298" s="13" t="s">
        <v>365</v>
      </c>
      <c r="S1298" s="13" t="s">
        <v>64</v>
      </c>
      <c r="T1298" s="28">
        <v>21.7</v>
      </c>
      <c r="U1298" s="13" t="s">
        <v>28</v>
      </c>
      <c r="V1298" s="13" t="s">
        <v>799</v>
      </c>
      <c r="W1298" s="13" t="s">
        <v>62</v>
      </c>
      <c r="X1298" s="17">
        <f t="shared" si="89"/>
        <v>45761</v>
      </c>
    </row>
    <row r="1299" spans="1:24" ht="45" customHeight="1">
      <c r="A1299" s="3">
        <v>1297</v>
      </c>
      <c r="B1299" s="13" t="s">
        <v>4766</v>
      </c>
      <c r="C1299" s="13" t="s">
        <v>26</v>
      </c>
      <c r="D1299" s="13" t="s">
        <v>4767</v>
      </c>
      <c r="E1299" s="13" t="s">
        <v>28</v>
      </c>
      <c r="F1299" s="13" t="s">
        <v>29</v>
      </c>
      <c r="G1299" s="13" t="s">
        <v>79</v>
      </c>
      <c r="H1299" s="13" t="s">
        <v>31</v>
      </c>
      <c r="I1299" s="27" t="s">
        <v>4768</v>
      </c>
      <c r="J1299" s="27" t="s">
        <v>33</v>
      </c>
      <c r="K1299" s="27" t="s">
        <v>34</v>
      </c>
      <c r="L1299" s="27" t="s">
        <v>35</v>
      </c>
      <c r="M1299" s="27" t="s">
        <v>36</v>
      </c>
      <c r="N1299" s="17">
        <f t="shared" si="88"/>
        <v>45761</v>
      </c>
      <c r="O1299" s="13" t="s">
        <v>34</v>
      </c>
      <c r="P1299" s="13" t="s">
        <v>81</v>
      </c>
      <c r="Q1299" s="13" t="s">
        <v>38</v>
      </c>
      <c r="R1299" s="13" t="s">
        <v>4769</v>
      </c>
      <c r="S1299" s="13" t="s">
        <v>81</v>
      </c>
      <c r="T1299" s="28">
        <v>22.81</v>
      </c>
      <c r="U1299" s="13" t="s">
        <v>28</v>
      </c>
      <c r="V1299" s="13" t="s">
        <v>799</v>
      </c>
      <c r="W1299" s="13" t="s">
        <v>79</v>
      </c>
      <c r="X1299" s="17">
        <f t="shared" si="89"/>
        <v>45761</v>
      </c>
    </row>
    <row r="1300" spans="1:24" ht="45" customHeight="1">
      <c r="A1300" s="3">
        <v>1298</v>
      </c>
      <c r="B1300" s="13" t="s">
        <v>4770</v>
      </c>
      <c r="C1300" s="13" t="s">
        <v>26</v>
      </c>
      <c r="D1300" s="13" t="s">
        <v>4771</v>
      </c>
      <c r="E1300" s="13" t="s">
        <v>28</v>
      </c>
      <c r="F1300" s="13" t="s">
        <v>29</v>
      </c>
      <c r="G1300" s="13" t="s">
        <v>85</v>
      </c>
      <c r="H1300" s="13" t="s">
        <v>31</v>
      </c>
      <c r="I1300" s="27" t="s">
        <v>4772</v>
      </c>
      <c r="J1300" s="27" t="s">
        <v>33</v>
      </c>
      <c r="K1300" s="27" t="s">
        <v>34</v>
      </c>
      <c r="L1300" s="27" t="s">
        <v>35</v>
      </c>
      <c r="M1300" s="27" t="s">
        <v>36</v>
      </c>
      <c r="N1300" s="17">
        <f t="shared" si="88"/>
        <v>45761</v>
      </c>
      <c r="O1300" s="13" t="s">
        <v>34</v>
      </c>
      <c r="P1300" s="13" t="s">
        <v>87</v>
      </c>
      <c r="Q1300" s="13" t="s">
        <v>38</v>
      </c>
      <c r="R1300" s="13" t="s">
        <v>4773</v>
      </c>
      <c r="S1300" s="13" t="s">
        <v>87</v>
      </c>
      <c r="T1300" s="28">
        <v>21.05</v>
      </c>
      <c r="U1300" s="13" t="s">
        <v>28</v>
      </c>
      <c r="V1300" s="13" t="s">
        <v>752</v>
      </c>
      <c r="W1300" s="13" t="s">
        <v>85</v>
      </c>
      <c r="X1300" s="17">
        <f t="shared" si="89"/>
        <v>45761</v>
      </c>
    </row>
    <row r="1301" spans="1:24" ht="45" customHeight="1">
      <c r="A1301" s="3">
        <v>1299</v>
      </c>
      <c r="B1301" s="13" t="s">
        <v>4774</v>
      </c>
      <c r="C1301" s="13" t="s">
        <v>103</v>
      </c>
      <c r="D1301" s="13" t="s">
        <v>4775</v>
      </c>
      <c r="E1301" s="13" t="s">
        <v>28</v>
      </c>
      <c r="F1301" s="13" t="s">
        <v>29</v>
      </c>
      <c r="G1301" s="13" t="s">
        <v>1216</v>
      </c>
      <c r="H1301" s="13" t="s">
        <v>31</v>
      </c>
      <c r="I1301" s="27" t="s">
        <v>4776</v>
      </c>
      <c r="J1301" s="27" t="s">
        <v>33</v>
      </c>
      <c r="K1301" s="27" t="s">
        <v>106</v>
      </c>
      <c r="L1301" s="27" t="s">
        <v>35</v>
      </c>
      <c r="M1301" s="27" t="s">
        <v>36</v>
      </c>
      <c r="N1301" s="17">
        <f t="shared" si="88"/>
        <v>45761</v>
      </c>
      <c r="O1301" s="13" t="s">
        <v>107</v>
      </c>
      <c r="P1301" s="13" t="s">
        <v>1221</v>
      </c>
      <c r="Q1301" s="13" t="s">
        <v>38</v>
      </c>
      <c r="R1301" s="13" t="s">
        <v>4777</v>
      </c>
      <c r="S1301" s="13" t="s">
        <v>1215</v>
      </c>
      <c r="T1301" s="28">
        <v>28.7</v>
      </c>
      <c r="U1301" s="13" t="s">
        <v>28</v>
      </c>
      <c r="V1301" s="13" t="s">
        <v>53</v>
      </c>
      <c r="W1301" s="13" t="s">
        <v>1219</v>
      </c>
      <c r="X1301" s="17">
        <f t="shared" si="89"/>
        <v>45761</v>
      </c>
    </row>
    <row r="1302" spans="1:24" ht="45" customHeight="1">
      <c r="A1302" s="3">
        <v>1300</v>
      </c>
      <c r="B1302" s="13" t="s">
        <v>4778</v>
      </c>
      <c r="C1302" s="13" t="s">
        <v>103</v>
      </c>
      <c r="D1302" s="13" t="s">
        <v>4779</v>
      </c>
      <c r="E1302" s="13" t="s">
        <v>28</v>
      </c>
      <c r="F1302" s="13" t="s">
        <v>29</v>
      </c>
      <c r="G1302" s="13" t="s">
        <v>56</v>
      </c>
      <c r="H1302" s="13" t="s">
        <v>31</v>
      </c>
      <c r="I1302" s="27" t="s">
        <v>4780</v>
      </c>
      <c r="J1302" s="27" t="s">
        <v>33</v>
      </c>
      <c r="K1302" s="27" t="s">
        <v>106</v>
      </c>
      <c r="L1302" s="27" t="s">
        <v>35</v>
      </c>
      <c r="M1302" s="27" t="s">
        <v>36</v>
      </c>
      <c r="N1302" s="17">
        <f t="shared" si="88"/>
        <v>45761</v>
      </c>
      <c r="O1302" s="13" t="s">
        <v>107</v>
      </c>
      <c r="P1302" s="13" t="s">
        <v>58</v>
      </c>
      <c r="Q1302" s="13" t="s">
        <v>38</v>
      </c>
      <c r="R1302" s="13" t="s">
        <v>4781</v>
      </c>
      <c r="S1302" s="13" t="s">
        <v>58</v>
      </c>
      <c r="T1302" s="28">
        <v>26.23</v>
      </c>
      <c r="U1302" s="13" t="s">
        <v>28</v>
      </c>
      <c r="V1302" s="13" t="s">
        <v>76</v>
      </c>
      <c r="W1302" s="13" t="s">
        <v>56</v>
      </c>
      <c r="X1302" s="17">
        <f t="shared" si="89"/>
        <v>45761</v>
      </c>
    </row>
    <row r="1303" spans="1:24" ht="45" customHeight="1">
      <c r="A1303" s="3">
        <v>1301</v>
      </c>
      <c r="B1303" s="13" t="s">
        <v>4782</v>
      </c>
      <c r="C1303" s="13" t="s">
        <v>103</v>
      </c>
      <c r="D1303" s="13" t="s">
        <v>4783</v>
      </c>
      <c r="E1303" s="13" t="s">
        <v>28</v>
      </c>
      <c r="F1303" s="13" t="s">
        <v>491</v>
      </c>
      <c r="G1303" s="13" t="s">
        <v>978</v>
      </c>
      <c r="H1303" s="13" t="s">
        <v>406</v>
      </c>
      <c r="I1303" s="27" t="s">
        <v>4784</v>
      </c>
      <c r="J1303" s="27" t="s">
        <v>33</v>
      </c>
      <c r="K1303" s="27" t="s">
        <v>106</v>
      </c>
      <c r="L1303" s="27" t="s">
        <v>35</v>
      </c>
      <c r="M1303" s="27" t="s">
        <v>36</v>
      </c>
      <c r="N1303" s="17">
        <f t="shared" si="88"/>
        <v>45761</v>
      </c>
      <c r="O1303" s="13" t="s">
        <v>107</v>
      </c>
      <c r="P1303" s="13" t="s">
        <v>494</v>
      </c>
      <c r="Q1303" s="13" t="s">
        <v>38</v>
      </c>
      <c r="R1303" s="13" t="s">
        <v>365</v>
      </c>
      <c r="S1303" s="13" t="s">
        <v>496</v>
      </c>
      <c r="T1303" s="28">
        <v>19.95</v>
      </c>
      <c r="U1303" s="13" t="s">
        <v>28</v>
      </c>
      <c r="V1303" s="13" t="s">
        <v>146</v>
      </c>
      <c r="W1303" s="13" t="s">
        <v>981</v>
      </c>
      <c r="X1303" s="17">
        <f t="shared" si="89"/>
        <v>45761</v>
      </c>
    </row>
    <row r="1304" spans="1:24" ht="45" customHeight="1">
      <c r="A1304" s="3">
        <v>1302</v>
      </c>
      <c r="B1304" s="13" t="s">
        <v>4785</v>
      </c>
      <c r="C1304" s="13" t="s">
        <v>103</v>
      </c>
      <c r="D1304" s="13" t="s">
        <v>4786</v>
      </c>
      <c r="E1304" s="13" t="s">
        <v>28</v>
      </c>
      <c r="F1304" s="13" t="s">
        <v>491</v>
      </c>
      <c r="G1304" s="13" t="s">
        <v>1042</v>
      </c>
      <c r="H1304" s="13" t="s">
        <v>406</v>
      </c>
      <c r="I1304" s="27" t="s">
        <v>4787</v>
      </c>
      <c r="J1304" s="27" t="s">
        <v>33</v>
      </c>
      <c r="K1304" s="27" t="s">
        <v>106</v>
      </c>
      <c r="L1304" s="27" t="s">
        <v>35</v>
      </c>
      <c r="M1304" s="27" t="s">
        <v>36</v>
      </c>
      <c r="N1304" s="17">
        <f t="shared" si="88"/>
        <v>45761</v>
      </c>
      <c r="O1304" s="13" t="s">
        <v>107</v>
      </c>
      <c r="P1304" s="13" t="s">
        <v>494</v>
      </c>
      <c r="Q1304" s="13" t="s">
        <v>38</v>
      </c>
      <c r="R1304" s="13" t="s">
        <v>4788</v>
      </c>
      <c r="S1304" s="13" t="s">
        <v>496</v>
      </c>
      <c r="T1304" s="28">
        <v>26.33</v>
      </c>
      <c r="U1304" s="13" t="s">
        <v>28</v>
      </c>
      <c r="V1304" s="13" t="s">
        <v>53</v>
      </c>
      <c r="W1304" s="13" t="s">
        <v>1042</v>
      </c>
      <c r="X1304" s="17">
        <f t="shared" si="89"/>
        <v>45761</v>
      </c>
    </row>
    <row r="1305" spans="1:24" ht="45" customHeight="1">
      <c r="A1305" s="3">
        <v>1303</v>
      </c>
      <c r="B1305" s="13" t="s">
        <v>4789</v>
      </c>
      <c r="C1305" s="13" t="s">
        <v>103</v>
      </c>
      <c r="D1305" s="13" t="s">
        <v>4790</v>
      </c>
      <c r="E1305" s="13" t="s">
        <v>28</v>
      </c>
      <c r="F1305" s="13" t="s">
        <v>491</v>
      </c>
      <c r="G1305" s="13" t="s">
        <v>830</v>
      </c>
      <c r="H1305" s="13" t="s">
        <v>406</v>
      </c>
      <c r="I1305" s="27" t="s">
        <v>4791</v>
      </c>
      <c r="J1305" s="27" t="s">
        <v>33</v>
      </c>
      <c r="K1305" s="27" t="s">
        <v>106</v>
      </c>
      <c r="L1305" s="27" t="s">
        <v>35</v>
      </c>
      <c r="M1305" s="27" t="s">
        <v>36</v>
      </c>
      <c r="N1305" s="17">
        <f t="shared" si="88"/>
        <v>45761</v>
      </c>
      <c r="O1305" s="13" t="s">
        <v>107</v>
      </c>
      <c r="P1305" s="13" t="s">
        <v>505</v>
      </c>
      <c r="Q1305" s="13" t="s">
        <v>38</v>
      </c>
      <c r="R1305" s="13" t="s">
        <v>4792</v>
      </c>
      <c r="S1305" s="13" t="s">
        <v>496</v>
      </c>
      <c r="T1305" s="28">
        <v>18.55</v>
      </c>
      <c r="U1305" s="13" t="s">
        <v>28</v>
      </c>
      <c r="V1305" s="13" t="s">
        <v>146</v>
      </c>
      <c r="W1305" s="13" t="s">
        <v>833</v>
      </c>
      <c r="X1305" s="17">
        <f t="shared" si="89"/>
        <v>45761</v>
      </c>
    </row>
    <row r="1306" spans="1:24" ht="45" customHeight="1">
      <c r="A1306" s="3">
        <v>1304</v>
      </c>
      <c r="B1306" s="13" t="s">
        <v>4793</v>
      </c>
      <c r="C1306" s="13" t="s">
        <v>103</v>
      </c>
      <c r="D1306" s="13" t="s">
        <v>4794</v>
      </c>
      <c r="E1306" s="13" t="s">
        <v>28</v>
      </c>
      <c r="F1306" s="13" t="s">
        <v>608</v>
      </c>
      <c r="G1306" s="13" t="s">
        <v>609</v>
      </c>
      <c r="H1306" s="13" t="s">
        <v>406</v>
      </c>
      <c r="I1306" s="27" t="s">
        <v>4795</v>
      </c>
      <c r="J1306" s="27" t="s">
        <v>33</v>
      </c>
      <c r="K1306" s="27" t="s">
        <v>106</v>
      </c>
      <c r="L1306" s="27" t="s">
        <v>35</v>
      </c>
      <c r="M1306" s="27" t="s">
        <v>36</v>
      </c>
      <c r="N1306" s="17">
        <f t="shared" si="88"/>
        <v>45761</v>
      </c>
      <c r="O1306" s="13" t="s">
        <v>107</v>
      </c>
      <c r="P1306" s="13" t="s">
        <v>607</v>
      </c>
      <c r="Q1306" s="13" t="s">
        <v>38</v>
      </c>
      <c r="R1306" s="13" t="s">
        <v>4796</v>
      </c>
      <c r="S1306" s="13" t="s">
        <v>611</v>
      </c>
      <c r="T1306" s="28">
        <v>28.43</v>
      </c>
      <c r="U1306" s="13" t="s">
        <v>28</v>
      </c>
      <c r="V1306" s="13" t="s">
        <v>799</v>
      </c>
      <c r="W1306" s="13" t="s">
        <v>609</v>
      </c>
      <c r="X1306" s="17">
        <f t="shared" si="89"/>
        <v>45761</v>
      </c>
    </row>
    <row r="1307" spans="1:24" ht="45" customHeight="1">
      <c r="A1307" s="3">
        <v>1305</v>
      </c>
      <c r="B1307" s="13" t="s">
        <v>4797</v>
      </c>
      <c r="C1307" s="13" t="s">
        <v>103</v>
      </c>
      <c r="D1307" s="13" t="s">
        <v>4798</v>
      </c>
      <c r="E1307" s="13" t="s">
        <v>28</v>
      </c>
      <c r="F1307" s="13" t="s">
        <v>29</v>
      </c>
      <c r="G1307" s="13" t="s">
        <v>1216</v>
      </c>
      <c r="H1307" s="13" t="s">
        <v>31</v>
      </c>
      <c r="I1307" s="27" t="s">
        <v>4799</v>
      </c>
      <c r="J1307" s="27" t="s">
        <v>33</v>
      </c>
      <c r="K1307" s="27" t="s">
        <v>106</v>
      </c>
      <c r="L1307" s="27" t="s">
        <v>208</v>
      </c>
      <c r="M1307" s="27" t="s">
        <v>209</v>
      </c>
      <c r="N1307" s="17">
        <f t="shared" si="88"/>
        <v>45761</v>
      </c>
      <c r="O1307" s="13" t="s">
        <v>107</v>
      </c>
      <c r="P1307" s="13" t="s">
        <v>1215</v>
      </c>
      <c r="Q1307" s="13" t="s">
        <v>38</v>
      </c>
      <c r="R1307" s="13" t="s">
        <v>4800</v>
      </c>
      <c r="S1307" s="13" t="s">
        <v>1215</v>
      </c>
      <c r="T1307" s="28">
        <v>29.76</v>
      </c>
      <c r="U1307" s="13" t="s">
        <v>28</v>
      </c>
      <c r="V1307" s="13" t="s">
        <v>146</v>
      </c>
      <c r="W1307" s="13" t="s">
        <v>1219</v>
      </c>
      <c r="X1307" s="17">
        <f t="shared" si="89"/>
        <v>45761</v>
      </c>
    </row>
    <row r="1308" spans="1:24" ht="45" customHeight="1">
      <c r="A1308" s="3">
        <v>1306</v>
      </c>
      <c r="B1308" s="13" t="s">
        <v>4801</v>
      </c>
      <c r="C1308" s="13" t="s">
        <v>103</v>
      </c>
      <c r="D1308" s="13" t="s">
        <v>4802</v>
      </c>
      <c r="E1308" s="13" t="s">
        <v>28</v>
      </c>
      <c r="F1308" s="13" t="s">
        <v>491</v>
      </c>
      <c r="G1308" s="13" t="s">
        <v>830</v>
      </c>
      <c r="H1308" s="13" t="s">
        <v>406</v>
      </c>
      <c r="I1308" s="27" t="s">
        <v>4803</v>
      </c>
      <c r="J1308" s="27" t="s">
        <v>33</v>
      </c>
      <c r="K1308" s="27" t="s">
        <v>106</v>
      </c>
      <c r="L1308" s="27" t="s">
        <v>35</v>
      </c>
      <c r="M1308" s="27" t="s">
        <v>36</v>
      </c>
      <c r="N1308" s="17">
        <f t="shared" si="88"/>
        <v>45761</v>
      </c>
      <c r="O1308" s="13" t="s">
        <v>107</v>
      </c>
      <c r="P1308" s="13" t="s">
        <v>505</v>
      </c>
      <c r="Q1308" s="13" t="s">
        <v>38</v>
      </c>
      <c r="R1308" s="13" t="s">
        <v>4804</v>
      </c>
      <c r="S1308" s="13" t="s">
        <v>496</v>
      </c>
      <c r="T1308" s="28">
        <v>19.97</v>
      </c>
      <c r="U1308" s="13" t="s">
        <v>28</v>
      </c>
      <c r="V1308" s="13" t="s">
        <v>89</v>
      </c>
      <c r="W1308" s="13" t="s">
        <v>833</v>
      </c>
      <c r="X1308" s="17">
        <f t="shared" si="89"/>
        <v>45761</v>
      </c>
    </row>
    <row r="1309" spans="1:24" ht="45" customHeight="1">
      <c r="A1309" s="3">
        <v>1307</v>
      </c>
      <c r="B1309" s="13" t="s">
        <v>4805</v>
      </c>
      <c r="C1309" s="13" t="s">
        <v>26</v>
      </c>
      <c r="D1309" s="13" t="s">
        <v>4806</v>
      </c>
      <c r="E1309" s="13" t="s">
        <v>28</v>
      </c>
      <c r="F1309" s="13" t="s">
        <v>29</v>
      </c>
      <c r="G1309" s="13" t="s">
        <v>85</v>
      </c>
      <c r="H1309" s="13" t="s">
        <v>31</v>
      </c>
      <c r="I1309" s="27" t="s">
        <v>4807</v>
      </c>
      <c r="J1309" s="27" t="s">
        <v>33</v>
      </c>
      <c r="K1309" s="27" t="s">
        <v>34</v>
      </c>
      <c r="L1309" s="27" t="s">
        <v>35</v>
      </c>
      <c r="M1309" s="27" t="s">
        <v>36</v>
      </c>
      <c r="N1309" s="17">
        <f t="shared" si="88"/>
        <v>45761</v>
      </c>
      <c r="O1309" s="13" t="s">
        <v>34</v>
      </c>
      <c r="P1309" s="13" t="s">
        <v>87</v>
      </c>
      <c r="Q1309" s="13" t="s">
        <v>38</v>
      </c>
      <c r="R1309" s="13" t="s">
        <v>4808</v>
      </c>
      <c r="S1309" s="13" t="s">
        <v>87</v>
      </c>
      <c r="T1309" s="28">
        <v>28.86</v>
      </c>
      <c r="U1309" s="13" t="s">
        <v>28</v>
      </c>
      <c r="V1309" s="13" t="s">
        <v>752</v>
      </c>
      <c r="W1309" s="13" t="s">
        <v>85</v>
      </c>
      <c r="X1309" s="17">
        <f t="shared" si="89"/>
        <v>45761</v>
      </c>
    </row>
    <row r="1310" spans="1:24">
      <c r="A1310" s="3"/>
      <c r="H1310" s="14"/>
      <c r="I1310" s="37"/>
      <c r="J1310" s="38"/>
      <c r="K1310" s="38"/>
      <c r="L1310" s="38"/>
      <c r="M1310" s="38"/>
      <c r="T1310" s="38"/>
    </row>
  </sheetData>
  <mergeCells count="1">
    <mergeCell ref="B1:X1"/>
  </mergeCells>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563F-6578-4C3C-89DB-FE0CCAFB0F26}">
  <dimension ref="C2:V1058"/>
  <sheetViews>
    <sheetView topLeftCell="A269" workbookViewId="0">
      <selection activeCell="D12" sqref="D12"/>
    </sheetView>
  </sheetViews>
  <sheetFormatPr defaultColWidth="9.140625" defaultRowHeight="14.45"/>
  <cols>
    <col min="3" max="3" width="18.5703125" customWidth="1"/>
    <col min="4" max="4" width="49.5703125" bestFit="1" customWidth="1"/>
    <col min="5" max="6" width="19.7109375" customWidth="1"/>
    <col min="7" max="7" width="8.85546875" customWidth="1"/>
    <col min="8" max="12" width="11.5703125" hidden="1" customWidth="1"/>
    <col min="13" max="14" width="11.5703125" customWidth="1"/>
    <col min="15" max="15" width="13.140625" customWidth="1"/>
    <col min="16" max="17" width="11.5703125" customWidth="1"/>
    <col min="18" max="18" width="14.28515625" customWidth="1"/>
    <col min="19" max="19" width="13.42578125" customWidth="1"/>
    <col min="20" max="20" width="14.42578125" customWidth="1"/>
    <col min="21" max="22" width="11.5703125" customWidth="1"/>
  </cols>
  <sheetData>
    <row r="2" spans="3:22" ht="23.45">
      <c r="H2" s="41" t="s">
        <v>4809</v>
      </c>
      <c r="I2" s="41"/>
      <c r="J2" s="41"/>
      <c r="K2" s="41"/>
      <c r="L2" s="41"/>
      <c r="M2" s="41"/>
      <c r="N2" s="41"/>
      <c r="O2" s="41"/>
      <c r="P2" s="41"/>
      <c r="Q2" s="41"/>
      <c r="R2" s="41"/>
      <c r="S2" s="41"/>
      <c r="T2" s="41"/>
      <c r="U2" s="41"/>
      <c r="V2" s="41"/>
    </row>
    <row r="3" spans="3:22" s="26" customFormat="1" ht="46.5">
      <c r="C3" s="24" t="s">
        <v>2</v>
      </c>
      <c r="D3" s="24" t="s">
        <v>4</v>
      </c>
      <c r="E3" s="26" t="s">
        <v>4810</v>
      </c>
      <c r="F3" s="26" t="s">
        <v>11</v>
      </c>
      <c r="G3" s="26" t="s">
        <v>4811</v>
      </c>
      <c r="H3" s="19" t="s">
        <v>4812</v>
      </c>
      <c r="I3" s="19" t="s">
        <v>4813</v>
      </c>
      <c r="J3" s="19" t="s">
        <v>4814</v>
      </c>
      <c r="K3" s="19" t="s">
        <v>4815</v>
      </c>
      <c r="L3" s="19" t="s">
        <v>4816</v>
      </c>
      <c r="M3" s="19" t="s">
        <v>4817</v>
      </c>
      <c r="N3" s="19" t="s">
        <v>4818</v>
      </c>
      <c r="O3" s="19" t="s">
        <v>4819</v>
      </c>
      <c r="P3" s="19" t="s">
        <v>4820</v>
      </c>
      <c r="Q3" s="19" t="s">
        <v>4821</v>
      </c>
      <c r="R3" s="19" t="s">
        <v>4822</v>
      </c>
      <c r="S3" s="19" t="s">
        <v>4823</v>
      </c>
      <c r="T3" s="19" t="s">
        <v>4824</v>
      </c>
      <c r="U3" s="19" t="s">
        <v>4825</v>
      </c>
      <c r="V3" s="19" t="s">
        <v>4826</v>
      </c>
    </row>
    <row r="4" spans="3:22">
      <c r="C4" s="22" t="s">
        <v>25</v>
      </c>
      <c r="D4" t="str">
        <f>VLOOKUP(Table3[[#This Row],[Employee No.]],Table1_1[[Employee No.]:[Employee Name]],2,FALSE)</f>
        <v>MUHAMAD HAFIZ BIN ABDULLAH</v>
      </c>
      <c r="E4" t="str">
        <f>VLOOKUP(Table3[[#This Row],[Employee No.]],Table1_1[[Employee No.]:[Department]],6,FALSE)</f>
        <v>DF</v>
      </c>
      <c r="F4" t="str">
        <f>VLOOKUP(Table3[[#This Row],[Employee No.]],Table1_1[[Employee No.]:[Gender]],7,FALSE)</f>
        <v>M</v>
      </c>
      <c r="G4" t="str">
        <f>VLOOKUP(Table3[[#This Row],[Employee No.]],Table1_1[[Employee No.]:[Shift]],9,FALSE)</f>
        <v>SHIFT E</v>
      </c>
      <c r="H4" s="25">
        <v>0</v>
      </c>
      <c r="I4" s="25">
        <v>1</v>
      </c>
      <c r="J4" s="25">
        <v>0</v>
      </c>
      <c r="K4" s="25">
        <v>1</v>
      </c>
      <c r="L4" s="25">
        <v>1</v>
      </c>
      <c r="M4" s="25">
        <v>0</v>
      </c>
    </row>
    <row r="5" spans="3:22">
      <c r="C5" s="22" t="s">
        <v>41</v>
      </c>
      <c r="D5" t="str">
        <f>VLOOKUP(Table3[[#This Row],[Employee No.]],Table1_1[[Employee No.]:[Employee Name]],2,FALSE)</f>
        <v>SYAZWAN BIN MOHD NOR AZMAN</v>
      </c>
      <c r="E5" t="str">
        <f>VLOOKUP(Table3[[#This Row],[Employee No.]],Table1_1[[Employee No.]:[Department]],6,FALSE)</f>
        <v>AU</v>
      </c>
      <c r="F5" t="str">
        <f>VLOOKUP(Table3[[#This Row],[Employee No.]],Table1_1[[Employee No.]:[Gender]],7,FALSE)</f>
        <v>M</v>
      </c>
      <c r="G5" t="str">
        <f>VLOOKUP(Table3[[#This Row],[Employee No.]],Table1_1[[Employee No.]:[Shift]],9,FALSE)</f>
        <v>SHIFT E</v>
      </c>
      <c r="H5" s="25">
        <v>0</v>
      </c>
      <c r="I5" s="25">
        <v>1</v>
      </c>
      <c r="J5" s="25">
        <v>1</v>
      </c>
      <c r="K5" s="25">
        <v>0</v>
      </c>
      <c r="L5" s="25">
        <v>0</v>
      </c>
      <c r="M5" s="25">
        <v>1</v>
      </c>
    </row>
    <row r="6" spans="3:22">
      <c r="C6" s="22" t="s">
        <v>46</v>
      </c>
      <c r="D6" t="str">
        <f>VLOOKUP(Table3[[#This Row],[Employee No.]],Table1_1[[Employee No.]:[Employee Name]],2,FALSE)</f>
        <v>MUHAMMAD SYAFIQ BIN MOHAMAD RAHMAT</v>
      </c>
      <c r="E6" t="str">
        <f>VLOOKUP(Table3[[#This Row],[Employee No.]],Table1_1[[Employee No.]:[Department]],6,FALSE)</f>
        <v>ROUTER</v>
      </c>
      <c r="F6" t="str">
        <f>VLOOKUP(Table3[[#This Row],[Employee No.]],Table1_1[[Employee No.]:[Gender]],7,FALSE)</f>
        <v>M</v>
      </c>
      <c r="G6" t="str">
        <f>VLOOKUP(Table3[[#This Row],[Employee No.]],Table1_1[[Employee No.]:[Shift]],9,FALSE)</f>
        <v>SHIFT A</v>
      </c>
      <c r="H6" s="25">
        <v>1</v>
      </c>
      <c r="I6" s="25">
        <v>1</v>
      </c>
      <c r="J6" s="25">
        <v>1</v>
      </c>
      <c r="K6" s="25">
        <v>1</v>
      </c>
      <c r="L6" s="25">
        <v>1</v>
      </c>
      <c r="M6" s="25">
        <v>1</v>
      </c>
    </row>
    <row r="7" spans="3:22">
      <c r="C7" s="22" t="s">
        <v>54</v>
      </c>
      <c r="D7" t="str">
        <f>VLOOKUP(Table3[[#This Row],[Employee No.]],Table1_1[[Employee No.]:[Employee Name]],2,FALSE)</f>
        <v>MOHAMAD HAFIZ BIN ABDUL RAHMAN</v>
      </c>
      <c r="E7" t="str">
        <f>VLOOKUP(Table3[[#This Row],[Employee No.]],Table1_1[[Employee No.]:[Department]],6,FALSE)</f>
        <v>AOI</v>
      </c>
      <c r="F7" t="str">
        <f>VLOOKUP(Table3[[#This Row],[Employee No.]],Table1_1[[Employee No.]:[Gender]],7,FALSE)</f>
        <v>M</v>
      </c>
      <c r="G7" t="str">
        <f>VLOOKUP(Table3[[#This Row],[Employee No.]],Table1_1[[Employee No.]:[Shift]],9,FALSE)</f>
        <v>SHIFT E</v>
      </c>
      <c r="H7" s="25">
        <v>0</v>
      </c>
      <c r="I7" s="25">
        <v>1</v>
      </c>
      <c r="J7" s="25">
        <v>1</v>
      </c>
      <c r="K7" s="25">
        <v>1</v>
      </c>
      <c r="L7" s="25">
        <v>1</v>
      </c>
      <c r="M7" s="25">
        <v>0</v>
      </c>
    </row>
    <row r="8" spans="3:22">
      <c r="C8" s="22" t="s">
        <v>60</v>
      </c>
      <c r="D8" t="str">
        <f>VLOOKUP(Table3[[#This Row],[Employee No.]],Table1_1[[Employee No.]:[Employee Name]],2,FALSE)</f>
        <v>MUHAMMAD SIRAJ MUNIR BIN MUBARAK</v>
      </c>
      <c r="E8" t="str">
        <f>VLOOKUP(Table3[[#This Row],[Employee No.]],Table1_1[[Employee No.]:[Department]],6,FALSE)</f>
        <v>CU</v>
      </c>
      <c r="F8" t="str">
        <f>VLOOKUP(Table3[[#This Row],[Employee No.]],Table1_1[[Employee No.]:[Gender]],7,FALSE)</f>
        <v>M</v>
      </c>
      <c r="G8" t="str">
        <f>VLOOKUP(Table3[[#This Row],[Employee No.]],Table1_1[[Employee No.]:[Shift]],9,FALSE)</f>
        <v>SHIFT E</v>
      </c>
      <c r="H8" s="25">
        <v>0</v>
      </c>
      <c r="I8" s="25">
        <v>0</v>
      </c>
      <c r="J8" s="25">
        <v>1</v>
      </c>
      <c r="K8" s="25">
        <v>1</v>
      </c>
      <c r="L8" s="25">
        <v>1</v>
      </c>
      <c r="M8" s="25">
        <v>1</v>
      </c>
    </row>
    <row r="9" spans="3:22">
      <c r="C9" s="22" t="s">
        <v>66</v>
      </c>
      <c r="D9" t="str">
        <f>VLOOKUP(Table3[[#This Row],[Employee No.]],Table1_1[[Employee No.]:[Employee Name]],2,FALSE)</f>
        <v>SYAHRUL IKHWAN BIN STAFFA</v>
      </c>
      <c r="E9" t="str">
        <f>VLOOKUP(Table3[[#This Row],[Employee No.]],Table1_1[[Employee No.]:[Department]],6,FALSE)</f>
        <v>ROUTER</v>
      </c>
      <c r="F9" t="str">
        <f>VLOOKUP(Table3[[#This Row],[Employee No.]],Table1_1[[Employee No.]:[Gender]],7,FALSE)</f>
        <v>M</v>
      </c>
      <c r="G9" t="str">
        <f>VLOOKUP(Table3[[#This Row],[Employee No.]],Table1_1[[Employee No.]:[Shift]],9,FALSE)</f>
        <v>SHIFT A</v>
      </c>
      <c r="H9" s="25">
        <v>0</v>
      </c>
      <c r="I9" s="25">
        <v>0</v>
      </c>
      <c r="J9" s="25">
        <v>0</v>
      </c>
      <c r="K9" s="25">
        <v>0</v>
      </c>
      <c r="L9" s="25">
        <v>0</v>
      </c>
      <c r="M9" s="25">
        <v>1</v>
      </c>
    </row>
    <row r="10" spans="3:22">
      <c r="C10" s="22" t="s">
        <v>70</v>
      </c>
      <c r="D10" t="str">
        <f>VLOOKUP(Table3[[#This Row],[Employee No.]],Table1_1[[Employee No.]:[Employee Name]],2,FALSE)</f>
        <v>MUHAMMAD HAZIQ HAKIMI BIN MAHADIR</v>
      </c>
      <c r="E10" t="str">
        <f>VLOOKUP(Table3[[#This Row],[Employee No.]],Table1_1[[Employee No.]:[Department]],6,FALSE)</f>
        <v>BBT</v>
      </c>
      <c r="F10" t="str">
        <f>VLOOKUP(Table3[[#This Row],[Employee No.]],Table1_1[[Employee No.]:[Gender]],7,FALSE)</f>
        <v>M</v>
      </c>
      <c r="G10" t="str">
        <f>VLOOKUP(Table3[[#This Row],[Employee No.]],Table1_1[[Employee No.]:[Shift]],9,FALSE)</f>
        <v>SHIFT E</v>
      </c>
      <c r="H10" s="25">
        <v>0</v>
      </c>
      <c r="I10" s="25">
        <v>1</v>
      </c>
      <c r="J10" s="25">
        <v>1</v>
      </c>
      <c r="K10" s="25">
        <v>1</v>
      </c>
      <c r="L10" s="25">
        <v>1</v>
      </c>
      <c r="M10" s="25">
        <v>0</v>
      </c>
    </row>
    <row r="11" spans="3:22">
      <c r="C11" s="22" t="s">
        <v>77</v>
      </c>
      <c r="D11" t="str">
        <f>VLOOKUP(Table3[[#This Row],[Employee No.]],Table1_1[[Employee No.]:[Employee Name]],2,FALSE)</f>
        <v>MUHAMAD AMIRULNAIM BIN ABU HASSAN</v>
      </c>
      <c r="E11" t="str">
        <f>VLOOKUP(Table3[[#This Row],[Employee No.]],Table1_1[[Employee No.]:[Department]],6,FALSE)</f>
        <v>SM</v>
      </c>
      <c r="F11" t="str">
        <f>VLOOKUP(Table3[[#This Row],[Employee No.]],Table1_1[[Employee No.]:[Gender]],7,FALSE)</f>
        <v>M</v>
      </c>
      <c r="G11" t="str">
        <f>VLOOKUP(Table3[[#This Row],[Employee No.]],Table1_1[[Employee No.]:[Shift]],9,FALSE)</f>
        <v>SHIFT E</v>
      </c>
      <c r="H11" s="25">
        <v>0</v>
      </c>
      <c r="I11" s="25">
        <v>1</v>
      </c>
      <c r="J11" s="25">
        <v>1</v>
      </c>
      <c r="K11" s="25">
        <v>1</v>
      </c>
      <c r="L11" s="25">
        <v>1</v>
      </c>
      <c r="M11" s="25">
        <v>1</v>
      </c>
    </row>
    <row r="12" spans="3:22">
      <c r="C12" s="22" t="s">
        <v>83</v>
      </c>
      <c r="D12" t="str">
        <f>VLOOKUP(Table3[[#This Row],[Employee No.]],Table1_1[[Employee No.]:[Employee Name]],2,FALSE)</f>
        <v>MOHAMMAD REDZUAN BIN MOHAMMAD NOOR</v>
      </c>
      <c r="E12" t="str">
        <f>VLOOKUP(Table3[[#This Row],[Employee No.]],Table1_1[[Employee No.]:[Department]],6,FALSE)</f>
        <v>DRILL</v>
      </c>
      <c r="F12" t="str">
        <f>VLOOKUP(Table3[[#This Row],[Employee No.]],Table1_1[[Employee No.]:[Gender]],7,FALSE)</f>
        <v>M</v>
      </c>
      <c r="G12" t="str">
        <f>VLOOKUP(Table3[[#This Row],[Employee No.]],Table1_1[[Employee No.]:[Shift]],9,FALSE)</f>
        <v>SHIFT B</v>
      </c>
      <c r="H12" s="25">
        <v>1</v>
      </c>
      <c r="I12" s="25">
        <v>1</v>
      </c>
      <c r="J12" s="25">
        <v>1</v>
      </c>
      <c r="K12" s="25">
        <v>1</v>
      </c>
      <c r="L12" s="25">
        <v>1</v>
      </c>
      <c r="M12" s="25">
        <v>1</v>
      </c>
    </row>
    <row r="13" spans="3:22">
      <c r="C13" s="22" t="s">
        <v>90</v>
      </c>
      <c r="D13" t="str">
        <f>VLOOKUP(Table3[[#This Row],[Employee No.]],Table1_1[[Employee No.]:[Employee Name]],2,FALSE)</f>
        <v>MUHAMMAD DANIAL HAIKAL BIN ISMAIL</v>
      </c>
      <c r="E13" t="str">
        <f>VLOOKUP(Table3[[#This Row],[Employee No.]],Table1_1[[Employee No.]:[Department]],6,FALSE)</f>
        <v>SM</v>
      </c>
      <c r="F13" t="str">
        <f>VLOOKUP(Table3[[#This Row],[Employee No.]],Table1_1[[Employee No.]:[Gender]],7,FALSE)</f>
        <v>M</v>
      </c>
      <c r="G13" t="str">
        <f>VLOOKUP(Table3[[#This Row],[Employee No.]],Table1_1[[Employee No.]:[Shift]],9,FALSE)</f>
        <v>SHIFT E</v>
      </c>
      <c r="H13" s="25">
        <v>0</v>
      </c>
      <c r="I13" s="25">
        <v>1</v>
      </c>
      <c r="J13" s="25">
        <v>1</v>
      </c>
      <c r="K13" s="25">
        <v>1</v>
      </c>
      <c r="L13" s="25">
        <v>1</v>
      </c>
      <c r="M13" s="25">
        <v>0</v>
      </c>
    </row>
    <row r="14" spans="3:22">
      <c r="C14" s="22" t="s">
        <v>94</v>
      </c>
      <c r="D14" t="str">
        <f>VLOOKUP(Table3[[#This Row],[Employee No.]],Table1_1[[Employee No.]:[Employee Name]],2,FALSE)</f>
        <v>MUHAMMAD ASYRAAF BIN ROMLI</v>
      </c>
      <c r="E14" t="str">
        <f>VLOOKUP(Table3[[#This Row],[Employee No.]],Table1_1[[Employee No.]:[Department]],6,FALSE)</f>
        <v>AU</v>
      </c>
      <c r="F14" t="str">
        <f>VLOOKUP(Table3[[#This Row],[Employee No.]],Table1_1[[Employee No.]:[Gender]],7,FALSE)</f>
        <v>M</v>
      </c>
      <c r="G14" t="str">
        <f>VLOOKUP(Table3[[#This Row],[Employee No.]],Table1_1[[Employee No.]:[Shift]],9,FALSE)</f>
        <v>SHIFT E</v>
      </c>
      <c r="H14" s="25">
        <v>0</v>
      </c>
      <c r="I14" s="25">
        <v>0</v>
      </c>
      <c r="J14" s="25">
        <v>1</v>
      </c>
      <c r="K14" s="25">
        <v>1</v>
      </c>
      <c r="L14" s="25">
        <v>1</v>
      </c>
      <c r="M14" s="25">
        <v>1</v>
      </c>
    </row>
    <row r="15" spans="3:22">
      <c r="C15" s="22" t="s">
        <v>98</v>
      </c>
      <c r="D15" t="str">
        <f>VLOOKUP(Table3[[#This Row],[Employee No.]],Table1_1[[Employee No.]:[Employee Name]],2,FALSE)</f>
        <v>MUHAMMAD TAUFIQ BIN KHALID</v>
      </c>
      <c r="E15" t="str">
        <f>VLOOKUP(Table3[[#This Row],[Employee No.]],Table1_1[[Employee No.]:[Department]],6,FALSE)</f>
        <v>BBT</v>
      </c>
      <c r="F15" t="str">
        <f>VLOOKUP(Table3[[#This Row],[Employee No.]],Table1_1[[Employee No.]:[Gender]],7,FALSE)</f>
        <v>M</v>
      </c>
      <c r="G15" t="str">
        <f>VLOOKUP(Table3[[#This Row],[Employee No.]],Table1_1[[Employee No.]:[Shift]],9,FALSE)</f>
        <v>SHIFT E</v>
      </c>
      <c r="H15" s="25">
        <v>0</v>
      </c>
      <c r="I15" s="25">
        <v>1</v>
      </c>
      <c r="J15" s="25">
        <v>1</v>
      </c>
      <c r="K15" s="25">
        <v>1</v>
      </c>
      <c r="L15" s="25">
        <v>1</v>
      </c>
      <c r="M15" s="25">
        <v>0</v>
      </c>
    </row>
    <row r="16" spans="3:22">
      <c r="C16" s="22" t="s">
        <v>102</v>
      </c>
      <c r="D16" t="str">
        <f>VLOOKUP(Table3[[#This Row],[Employee No.]],Table1_1[[Employee No.]:[Employee Name]],2,FALSE)</f>
        <v>SYAIDATUL FATEHAH BINTI IBRAHIM</v>
      </c>
      <c r="E16" t="str">
        <f>VLOOKUP(Table3[[#This Row],[Employee No.]],Table1_1[[Employee No.]:[Department]],6,FALSE)</f>
        <v>AOI</v>
      </c>
      <c r="F16" t="str">
        <f>VLOOKUP(Table3[[#This Row],[Employee No.]],Table1_1[[Employee No.]:[Gender]],7,FALSE)</f>
        <v>F</v>
      </c>
      <c r="G16" t="str">
        <f>VLOOKUP(Table3[[#This Row],[Employee No.]],Table1_1[[Employee No.]:[Shift]],9,FALSE)</f>
        <v>SHIFT E</v>
      </c>
      <c r="H16" s="25">
        <v>0</v>
      </c>
      <c r="I16" s="25">
        <v>1</v>
      </c>
      <c r="J16" s="25">
        <v>1</v>
      </c>
      <c r="K16" s="25">
        <v>1</v>
      </c>
      <c r="L16" s="25">
        <v>1</v>
      </c>
      <c r="M16" s="25">
        <v>1</v>
      </c>
    </row>
    <row r="17" spans="3:16">
      <c r="C17" s="22" t="s">
        <v>109</v>
      </c>
      <c r="D17" t="str">
        <f>VLOOKUP(Table3[[#This Row],[Employee No.]],Table1_1[[Employee No.]:[Employee Name]],2,FALSE)</f>
        <v>SITI RAHMAH BINTI ZAINAL ABIDIN</v>
      </c>
      <c r="E17" t="str">
        <f>VLOOKUP(Table3[[#This Row],[Employee No.]],Table1_1[[Employee No.]:[Department]],6,FALSE)</f>
        <v>AOI</v>
      </c>
      <c r="F17" t="str">
        <f>VLOOKUP(Table3[[#This Row],[Employee No.]],Table1_1[[Employee No.]:[Gender]],7,FALSE)</f>
        <v>F</v>
      </c>
      <c r="G17" t="str">
        <f>VLOOKUP(Table3[[#This Row],[Employee No.]],Table1_1[[Employee No.]:[Shift]],9,FALSE)</f>
        <v>SHIFT E</v>
      </c>
      <c r="H17" s="25">
        <v>0</v>
      </c>
      <c r="I17" s="25">
        <v>1</v>
      </c>
      <c r="J17" s="25">
        <v>1</v>
      </c>
      <c r="K17" s="25">
        <v>1</v>
      </c>
      <c r="L17" s="25">
        <v>1</v>
      </c>
      <c r="M17" s="25">
        <v>1</v>
      </c>
    </row>
    <row r="18" spans="3:16">
      <c r="C18" s="22" t="s">
        <v>113</v>
      </c>
      <c r="D18" t="str">
        <f>VLOOKUP(Table3[[#This Row],[Employee No.]],Table1_1[[Employee No.]:[Employee Name]],2,FALSE)</f>
        <v>NUR SHAHFINAS BINTI MOHD AMIN</v>
      </c>
      <c r="E18" t="str">
        <f>VLOOKUP(Table3[[#This Row],[Employee No.]],Table1_1[[Employee No.]:[Department]],6,FALSE)</f>
        <v>AOI</v>
      </c>
      <c r="F18" t="str">
        <f>VLOOKUP(Table3[[#This Row],[Employee No.]],Table1_1[[Employee No.]:[Gender]],7,FALSE)</f>
        <v>F</v>
      </c>
      <c r="G18" t="str">
        <f>VLOOKUP(Table3[[#This Row],[Employee No.]],Table1_1[[Employee No.]:[Shift]],9,FALSE)</f>
        <v>SHIFT E</v>
      </c>
      <c r="H18" s="25">
        <v>0</v>
      </c>
      <c r="I18" s="25">
        <v>1</v>
      </c>
      <c r="J18" s="25">
        <v>1</v>
      </c>
      <c r="K18" s="25">
        <v>1</v>
      </c>
      <c r="L18" s="25">
        <v>1</v>
      </c>
      <c r="M18" s="25">
        <v>0</v>
      </c>
    </row>
    <row r="19" spans="3:16">
      <c r="C19" s="22" t="s">
        <v>117</v>
      </c>
      <c r="D19" t="str">
        <f>VLOOKUP(Table3[[#This Row],[Employee No.]],Table1_1[[Employee No.]:[Employee Name]],2,FALSE)</f>
        <v>NURUL IZZAH BINTI ZAKARIA</v>
      </c>
      <c r="E19" t="str">
        <f>VLOOKUP(Table3[[#This Row],[Employee No.]],Table1_1[[Employee No.]:[Department]],6,FALSE)</f>
        <v>AOI</v>
      </c>
      <c r="F19" t="str">
        <f>VLOOKUP(Table3[[#This Row],[Employee No.]],Table1_1[[Employee No.]:[Gender]],7,FALSE)</f>
        <v>F</v>
      </c>
      <c r="G19" t="str">
        <f>VLOOKUP(Table3[[#This Row],[Employee No.]],Table1_1[[Employee No.]:[Shift]],9,FALSE)</f>
        <v>SHIFT E</v>
      </c>
      <c r="H19" s="25">
        <v>0</v>
      </c>
      <c r="I19" s="25">
        <v>1</v>
      </c>
      <c r="J19" s="25">
        <v>1</v>
      </c>
      <c r="K19" s="25">
        <v>1</v>
      </c>
      <c r="L19" s="25">
        <v>1</v>
      </c>
      <c r="M19" s="25">
        <v>0</v>
      </c>
    </row>
    <row r="20" spans="3:16">
      <c r="C20" s="22" t="s">
        <v>121</v>
      </c>
      <c r="D20" t="str">
        <f>VLOOKUP(Table3[[#This Row],[Employee No.]],Table1_1[[Employee No.]:[Employee Name]],2,FALSE)</f>
        <v>NURSYAFIQAH BINTI YUZAIDI</v>
      </c>
      <c r="E20" t="str">
        <f>VLOOKUP(Table3[[#This Row],[Employee No.]],Table1_1[[Employee No.]:[Department]],6,FALSE)</f>
        <v>PACKING</v>
      </c>
      <c r="F20" t="str">
        <f>VLOOKUP(Table3[[#This Row],[Employee No.]],Table1_1[[Employee No.]:[Gender]],7,FALSE)</f>
        <v>F</v>
      </c>
      <c r="G20" t="str">
        <f>VLOOKUP(Table3[[#This Row],[Employee No.]],Table1_1[[Employee No.]:[Shift]],9,FALSE)</f>
        <v>SHIFT B</v>
      </c>
      <c r="H20" s="25">
        <v>1</v>
      </c>
      <c r="I20" s="25">
        <v>1</v>
      </c>
      <c r="J20" s="25">
        <v>1</v>
      </c>
      <c r="K20" s="25">
        <v>1</v>
      </c>
      <c r="L20" s="25">
        <v>1</v>
      </c>
      <c r="M20" s="25">
        <v>1</v>
      </c>
    </row>
    <row r="21" spans="3:16">
      <c r="C21" s="22" t="s">
        <v>129</v>
      </c>
      <c r="D21" t="str">
        <f>VLOOKUP(Table3[[#This Row],[Employee No.]],Table1_1[[Employee No.]:[Employee Name]],2,FALSE)</f>
        <v>ROSNANI BINTI MOHAMAD AJIME</v>
      </c>
      <c r="E21" t="str">
        <f>VLOOKUP(Table3[[#This Row],[Employee No.]],Table1_1[[Employee No.]:[Department]],6,FALSE)</f>
        <v>SM</v>
      </c>
      <c r="F21" t="str">
        <f>VLOOKUP(Table3[[#This Row],[Employee No.]],Table1_1[[Employee No.]:[Gender]],7,FALSE)</f>
        <v>F</v>
      </c>
      <c r="G21" t="str">
        <f>VLOOKUP(Table3[[#This Row],[Employee No.]],Table1_1[[Employee No.]:[Shift]],9,FALSE)</f>
        <v>SHIFT E</v>
      </c>
      <c r="H21" s="25">
        <v>0</v>
      </c>
      <c r="I21" s="25">
        <v>1</v>
      </c>
      <c r="J21" s="25">
        <v>1</v>
      </c>
      <c r="K21" s="25">
        <v>1</v>
      </c>
      <c r="L21" s="25">
        <v>1</v>
      </c>
      <c r="M21" s="25">
        <v>0</v>
      </c>
    </row>
    <row r="22" spans="3:16">
      <c r="C22" s="22" t="s">
        <v>133</v>
      </c>
      <c r="D22" t="str">
        <f>VLOOKUP(Table3[[#This Row],[Employee No.]],Table1_1[[Employee No.]:[Employee Name]],2,FALSE)</f>
        <v>NURUL AZWA BINTI ABDULLAH</v>
      </c>
      <c r="E22" t="str">
        <f>VLOOKUP(Table3[[#This Row],[Employee No.]],Table1_1[[Employee No.]:[Department]],6,FALSE)</f>
        <v>AOI</v>
      </c>
      <c r="F22" t="str">
        <f>VLOOKUP(Table3[[#This Row],[Employee No.]],Table1_1[[Employee No.]:[Gender]],7,FALSE)</f>
        <v>F</v>
      </c>
      <c r="G22" t="str">
        <f>VLOOKUP(Table3[[#This Row],[Employee No.]],Table1_1[[Employee No.]:[Shift]],9,FALSE)</f>
        <v>SHIFT E</v>
      </c>
      <c r="H22" s="25">
        <v>0</v>
      </c>
      <c r="I22" s="25">
        <v>1</v>
      </c>
      <c r="J22" s="25">
        <v>1</v>
      </c>
      <c r="K22" s="25">
        <v>1</v>
      </c>
      <c r="L22" s="25">
        <v>1</v>
      </c>
      <c r="M22" s="25">
        <v>0</v>
      </c>
    </row>
    <row r="23" spans="3:16">
      <c r="C23" s="22" t="s">
        <v>137</v>
      </c>
      <c r="D23" t="str">
        <f>VLOOKUP(Table3[[#This Row],[Employee No.]],Table1_1[[Employee No.]:[Employee Name]],2,FALSE)</f>
        <v>NOR FAIZAH BINTI BAHARIJAN</v>
      </c>
      <c r="E23" t="str">
        <f>VLOOKUP(Table3[[#This Row],[Employee No.]],Table1_1[[Employee No.]:[Department]],6,FALSE)</f>
        <v>DRILL</v>
      </c>
      <c r="F23" t="str">
        <f>VLOOKUP(Table3[[#This Row],[Employee No.]],Table1_1[[Employee No.]:[Gender]],7,FALSE)</f>
        <v>F</v>
      </c>
      <c r="G23" t="str">
        <f>VLOOKUP(Table3[[#This Row],[Employee No.]],Table1_1[[Employee No.]:[Shift]],9,FALSE)</f>
        <v>SHIFT A</v>
      </c>
      <c r="H23" s="25">
        <v>1</v>
      </c>
      <c r="I23" s="25">
        <v>1</v>
      </c>
      <c r="J23" s="25">
        <v>1</v>
      </c>
      <c r="K23" s="25">
        <v>1</v>
      </c>
      <c r="L23" s="25">
        <v>1</v>
      </c>
      <c r="M23" s="25">
        <v>1</v>
      </c>
    </row>
    <row r="24" spans="3:16">
      <c r="C24" s="22" t="s">
        <v>141</v>
      </c>
      <c r="D24" t="str">
        <f>VLOOKUP(Table3[[#This Row],[Employee No.]],Table1_1[[Employee No.]:[Employee Name]],2,FALSE)</f>
        <v>NUR HAIFA ALISHA BINTI YUSOF</v>
      </c>
      <c r="E24" t="str">
        <f>VLOOKUP(Table3[[#This Row],[Employee No.]],Table1_1[[Employee No.]:[Department]],6,FALSE)</f>
        <v>PACKING</v>
      </c>
      <c r="F24" t="str">
        <f>VLOOKUP(Table3[[#This Row],[Employee No.]],Table1_1[[Employee No.]:[Gender]],7,FALSE)</f>
        <v>F</v>
      </c>
      <c r="G24" t="str">
        <f>VLOOKUP(Table3[[#This Row],[Employee No.]],Table1_1[[Employee No.]:[Shift]],9,FALSE)</f>
        <v>SHIFT C</v>
      </c>
      <c r="H24" s="25">
        <v>1</v>
      </c>
      <c r="I24" s="25">
        <v>1</v>
      </c>
      <c r="J24" s="25">
        <v>1</v>
      </c>
      <c r="K24" s="25">
        <v>1</v>
      </c>
      <c r="L24" s="25">
        <v>1</v>
      </c>
      <c r="M24" s="25">
        <v>1</v>
      </c>
      <c r="P24" s="25"/>
    </row>
    <row r="25" spans="3:16">
      <c r="C25" s="22" t="s">
        <v>147</v>
      </c>
      <c r="D25" t="str">
        <f>VLOOKUP(Table3[[#This Row],[Employee No.]],Table1_1[[Employee No.]:[Employee Name]],2,FALSE)</f>
        <v>NORAISHA BINTI MOHD YANI</v>
      </c>
      <c r="E25" t="str">
        <f>VLOOKUP(Table3[[#This Row],[Employee No.]],Table1_1[[Employee No.]:[Department]],6,FALSE)</f>
        <v>BBT</v>
      </c>
      <c r="F25" t="str">
        <f>VLOOKUP(Table3[[#This Row],[Employee No.]],Table1_1[[Employee No.]:[Gender]],7,FALSE)</f>
        <v>F</v>
      </c>
      <c r="G25" t="str">
        <f>VLOOKUP(Table3[[#This Row],[Employee No.]],Table1_1[[Employee No.]:[Shift]],9,FALSE)</f>
        <v>SHIFT E</v>
      </c>
      <c r="H25" s="25">
        <v>0</v>
      </c>
      <c r="I25" s="25">
        <v>1</v>
      </c>
      <c r="J25" s="25">
        <v>1</v>
      </c>
      <c r="K25" s="25">
        <v>1</v>
      </c>
      <c r="L25" s="25">
        <v>1</v>
      </c>
      <c r="M25" s="25">
        <v>0</v>
      </c>
    </row>
    <row r="26" spans="3:16">
      <c r="C26" s="22" t="s">
        <v>151</v>
      </c>
      <c r="D26" t="str">
        <f>VLOOKUP(Table3[[#This Row],[Employee No.]],Table1_1[[Employee No.]:[Employee Name]],2,FALSE)</f>
        <v>MUHAMAD HAIKAL BIN AHMAD FISOL</v>
      </c>
      <c r="E26" t="str">
        <f>VLOOKUP(Table3[[#This Row],[Employee No.]],Table1_1[[Employee No.]:[Department]],6,FALSE)</f>
        <v>AU</v>
      </c>
      <c r="F26" t="str">
        <f>VLOOKUP(Table3[[#This Row],[Employee No.]],Table1_1[[Employee No.]:[Gender]],7,FALSE)</f>
        <v>M</v>
      </c>
      <c r="G26" t="str">
        <f>VLOOKUP(Table3[[#This Row],[Employee No.]],Table1_1[[Employee No.]:[Shift]],9,FALSE)</f>
        <v>SHIFT E</v>
      </c>
      <c r="H26" s="25">
        <v>0</v>
      </c>
      <c r="I26" s="25">
        <v>1</v>
      </c>
      <c r="J26" s="25">
        <v>1</v>
      </c>
      <c r="K26" s="25">
        <v>1</v>
      </c>
      <c r="L26" s="25">
        <v>1</v>
      </c>
      <c r="M26" s="25">
        <v>0</v>
      </c>
    </row>
    <row r="27" spans="3:16">
      <c r="C27" s="22" t="s">
        <v>155</v>
      </c>
      <c r="D27" t="str">
        <f>VLOOKUP(Table3[[#This Row],[Employee No.]],Table1_1[[Employee No.]:[Employee Name]],2,FALSE)</f>
        <v>NORSAFUAN BIN ZULKIFLE</v>
      </c>
      <c r="E27" t="str">
        <f>VLOOKUP(Table3[[#This Row],[Employee No.]],Table1_1[[Employee No.]:[Department]],6,FALSE)</f>
        <v>CU</v>
      </c>
      <c r="F27" t="str">
        <f>VLOOKUP(Table3[[#This Row],[Employee No.]],Table1_1[[Employee No.]:[Gender]],7,FALSE)</f>
        <v>M</v>
      </c>
      <c r="G27" t="str">
        <f>VLOOKUP(Table3[[#This Row],[Employee No.]],Table1_1[[Employee No.]:[Shift]],9,FALSE)</f>
        <v>SHIFT E</v>
      </c>
      <c r="H27" s="25">
        <v>0</v>
      </c>
      <c r="I27" s="25">
        <v>1</v>
      </c>
      <c r="J27" s="25">
        <v>1</v>
      </c>
      <c r="K27" s="25">
        <v>1</v>
      </c>
      <c r="L27" s="25">
        <v>1</v>
      </c>
      <c r="M27" s="25">
        <v>0</v>
      </c>
    </row>
    <row r="28" spans="3:16">
      <c r="C28" s="22" t="s">
        <v>159</v>
      </c>
      <c r="D28" t="str">
        <f>VLOOKUP(Table3[[#This Row],[Employee No.]],Table1_1[[Employee No.]:[Employee Name]],2,FALSE)</f>
        <v>MUHAMMAD ZUFAYRI BIN RAFIDI</v>
      </c>
      <c r="E28" t="str">
        <f>VLOOKUP(Table3[[#This Row],[Employee No.]],Table1_1[[Employee No.]:[Department]],6,FALSE)</f>
        <v>AU</v>
      </c>
      <c r="F28" t="str">
        <f>VLOOKUP(Table3[[#This Row],[Employee No.]],Table1_1[[Employee No.]:[Gender]],7,FALSE)</f>
        <v>M</v>
      </c>
      <c r="G28" t="str">
        <f>VLOOKUP(Table3[[#This Row],[Employee No.]],Table1_1[[Employee No.]:[Shift]],9,FALSE)</f>
        <v>SHIFT E</v>
      </c>
      <c r="H28" s="25">
        <v>0</v>
      </c>
      <c r="I28" s="25">
        <v>1</v>
      </c>
      <c r="J28" s="25">
        <v>1</v>
      </c>
      <c r="K28" s="25">
        <v>0</v>
      </c>
      <c r="L28" s="25">
        <v>0</v>
      </c>
      <c r="M28" s="25">
        <v>0</v>
      </c>
    </row>
    <row r="29" spans="3:16">
      <c r="C29" s="22" t="s">
        <v>163</v>
      </c>
      <c r="D29" t="str">
        <f>VLOOKUP(Table3[[#This Row],[Employee No.]],Table1_1[[Employee No.]:[Employee Name]],2,FALSE)</f>
        <v>MUHAMMAD NUR AIMAN HAIQAL BIN MOHD SAAD</v>
      </c>
      <c r="E29" t="str">
        <f>VLOOKUP(Table3[[#This Row],[Employee No.]],Table1_1[[Employee No.]:[Department]],6,FALSE)</f>
        <v>SM</v>
      </c>
      <c r="F29" t="str">
        <f>VLOOKUP(Table3[[#This Row],[Employee No.]],Table1_1[[Employee No.]:[Gender]],7,FALSE)</f>
        <v>M</v>
      </c>
      <c r="G29" t="str">
        <f>VLOOKUP(Table3[[#This Row],[Employee No.]],Table1_1[[Employee No.]:[Shift]],9,FALSE)</f>
        <v>SHIFT E</v>
      </c>
      <c r="H29" s="25">
        <v>0</v>
      </c>
      <c r="I29" s="25">
        <v>1</v>
      </c>
      <c r="J29" s="25">
        <v>1</v>
      </c>
      <c r="K29" s="25">
        <v>0</v>
      </c>
      <c r="L29" s="25">
        <v>0</v>
      </c>
      <c r="M29" s="25">
        <v>0</v>
      </c>
    </row>
    <row r="30" spans="3:16">
      <c r="C30" s="22" t="s">
        <v>167</v>
      </c>
      <c r="D30" t="str">
        <f>VLOOKUP(Table3[[#This Row],[Employee No.]],Table1_1[[Employee No.]:[Employee Name]],2,FALSE)</f>
        <v>MUHAMAD AZRUL BIN ZAMBERI</v>
      </c>
      <c r="E30" t="str">
        <f>VLOOKUP(Table3[[#This Row],[Employee No.]],Table1_1[[Employee No.]:[Department]],6,FALSE)</f>
        <v>CU</v>
      </c>
      <c r="F30" t="str">
        <f>VLOOKUP(Table3[[#This Row],[Employee No.]],Table1_1[[Employee No.]:[Gender]],7,FALSE)</f>
        <v>M</v>
      </c>
      <c r="G30" t="str">
        <f>VLOOKUP(Table3[[#This Row],[Employee No.]],Table1_1[[Employee No.]:[Shift]],9,FALSE)</f>
        <v>SHIFT E</v>
      </c>
      <c r="H30" s="25">
        <v>0</v>
      </c>
      <c r="I30" s="25">
        <v>0</v>
      </c>
      <c r="J30" s="25">
        <v>1</v>
      </c>
      <c r="K30" s="25">
        <v>1</v>
      </c>
      <c r="L30" s="25">
        <v>1</v>
      </c>
      <c r="M30" s="25">
        <v>0</v>
      </c>
    </row>
    <row r="31" spans="3:16">
      <c r="C31" s="22" t="s">
        <v>171</v>
      </c>
      <c r="D31" t="str">
        <f>VLOOKUP(Table3[[#This Row],[Employee No.]],Table1_1[[Employee No.]:[Employee Name]],2,FALSE)</f>
        <v>ADIL LUQMAN BIN SAIMI</v>
      </c>
      <c r="E31" t="str">
        <f>VLOOKUP(Table3[[#This Row],[Employee No.]],Table1_1[[Employee No.]:[Department]],6,FALSE)</f>
        <v>SM</v>
      </c>
      <c r="F31" t="str">
        <f>VLOOKUP(Table3[[#This Row],[Employee No.]],Table1_1[[Employee No.]:[Gender]],7,FALSE)</f>
        <v>M</v>
      </c>
      <c r="G31" t="str">
        <f>VLOOKUP(Table3[[#This Row],[Employee No.]],Table1_1[[Employee No.]:[Shift]],9,FALSE)</f>
        <v>SHIFT E</v>
      </c>
      <c r="H31" s="25">
        <v>0</v>
      </c>
      <c r="I31" s="25">
        <v>1</v>
      </c>
      <c r="J31" s="25">
        <v>1</v>
      </c>
      <c r="K31" s="25">
        <v>0</v>
      </c>
      <c r="L31" s="25">
        <v>0</v>
      </c>
      <c r="M31" s="25">
        <v>1</v>
      </c>
    </row>
    <row r="32" spans="3:16">
      <c r="C32" s="22" t="s">
        <v>175</v>
      </c>
      <c r="D32" t="str">
        <f>VLOOKUP(Table3[[#This Row],[Employee No.]],Table1_1[[Employee No.]:[Employee Name]],2,FALSE)</f>
        <v>FAIZAL HAKIM BIN ABD LATIF</v>
      </c>
      <c r="E32" t="str">
        <f>VLOOKUP(Table3[[#This Row],[Employee No.]],Table1_1[[Employee No.]:[Department]],6,FALSE)</f>
        <v>AU</v>
      </c>
      <c r="F32" t="str">
        <f>VLOOKUP(Table3[[#This Row],[Employee No.]],Table1_1[[Employee No.]:[Gender]],7,FALSE)</f>
        <v>M</v>
      </c>
      <c r="G32" t="str">
        <f>VLOOKUP(Table3[[#This Row],[Employee No.]],Table1_1[[Employee No.]:[Shift]],9,FALSE)</f>
        <v>SHIFT E</v>
      </c>
      <c r="H32" s="25">
        <v>0</v>
      </c>
      <c r="I32" s="25">
        <v>1</v>
      </c>
      <c r="J32" s="25">
        <v>1</v>
      </c>
      <c r="K32" s="25">
        <v>1</v>
      </c>
      <c r="L32" s="25">
        <v>1</v>
      </c>
      <c r="M32" s="25">
        <v>1</v>
      </c>
    </row>
    <row r="33" spans="3:16">
      <c r="C33" s="22" t="s">
        <v>179</v>
      </c>
      <c r="D33" t="str">
        <f>VLOOKUP(Table3[[#This Row],[Employee No.]],Table1_1[[Employee No.]:[Employee Name]],2,FALSE)</f>
        <v>MUHAMAD NUR ARIF BIN NORDIN AHMAD</v>
      </c>
      <c r="E33" t="str">
        <f>VLOOKUP(Table3[[#This Row],[Employee No.]],Table1_1[[Employee No.]:[Department]],6,FALSE)</f>
        <v>ROUTER</v>
      </c>
      <c r="F33" t="str">
        <f>VLOOKUP(Table3[[#This Row],[Employee No.]],Table1_1[[Employee No.]:[Gender]],7,FALSE)</f>
        <v>M</v>
      </c>
      <c r="G33" t="str">
        <f>VLOOKUP(Table3[[#This Row],[Employee No.]],Table1_1[[Employee No.]:[Shift]],9,FALSE)</f>
        <v>SHIFT B</v>
      </c>
      <c r="H33" s="25">
        <v>1</v>
      </c>
      <c r="I33" s="25">
        <v>1</v>
      </c>
      <c r="J33" s="25">
        <v>1</v>
      </c>
      <c r="K33" s="25">
        <v>1</v>
      </c>
      <c r="L33" s="25">
        <v>1</v>
      </c>
      <c r="M33" s="25">
        <v>1</v>
      </c>
    </row>
    <row r="34" spans="3:16">
      <c r="C34" s="22" t="s">
        <v>184</v>
      </c>
      <c r="D34" t="str">
        <f>VLOOKUP(Table3[[#This Row],[Employee No.]],Table1_1[[Employee No.]:[Employee Name]],2,FALSE)</f>
        <v>ABDUL RAHMANUL HAKIM BIN AB RAHIM</v>
      </c>
      <c r="E34" t="str">
        <f>VLOOKUP(Table3[[#This Row],[Employee No.]],Table1_1[[Employee No.]:[Department]],6,FALSE)</f>
        <v>CU</v>
      </c>
      <c r="F34" t="str">
        <f>VLOOKUP(Table3[[#This Row],[Employee No.]],Table1_1[[Employee No.]:[Gender]],7,FALSE)</f>
        <v>M</v>
      </c>
      <c r="G34" t="str">
        <f>VLOOKUP(Table3[[#This Row],[Employee No.]],Table1_1[[Employee No.]:[Shift]],9,FALSE)</f>
        <v>SHIFT E</v>
      </c>
      <c r="H34" s="25">
        <v>0</v>
      </c>
      <c r="I34" s="25">
        <v>1</v>
      </c>
      <c r="J34" s="25">
        <v>1</v>
      </c>
      <c r="K34" s="25">
        <v>1</v>
      </c>
      <c r="L34" s="25">
        <v>1</v>
      </c>
      <c r="M34" s="25">
        <v>1</v>
      </c>
    </row>
    <row r="35" spans="3:16">
      <c r="C35" s="22" t="s">
        <v>188</v>
      </c>
      <c r="D35" t="str">
        <f>VLOOKUP(Table3[[#This Row],[Employee No.]],Table1_1[[Employee No.]:[Employee Name]],2,FALSE)</f>
        <v>JULAINI BIN SHUKRI</v>
      </c>
      <c r="E35" t="str">
        <f>VLOOKUP(Table3[[#This Row],[Employee No.]],Table1_1[[Employee No.]:[Department]],6,FALSE)</f>
        <v>CU</v>
      </c>
      <c r="F35" t="str">
        <f>VLOOKUP(Table3[[#This Row],[Employee No.]],Table1_1[[Employee No.]:[Gender]],7,FALSE)</f>
        <v>M</v>
      </c>
      <c r="G35" t="str">
        <f>VLOOKUP(Table3[[#This Row],[Employee No.]],Table1_1[[Employee No.]:[Shift]],9,FALSE)</f>
        <v>SHIFT E</v>
      </c>
      <c r="H35" s="25">
        <v>0</v>
      </c>
      <c r="I35" s="25">
        <v>1</v>
      </c>
      <c r="J35" s="25">
        <v>1</v>
      </c>
      <c r="K35" s="25">
        <v>1</v>
      </c>
      <c r="L35" s="25">
        <v>1</v>
      </c>
      <c r="M35" s="25">
        <v>0</v>
      </c>
    </row>
    <row r="36" spans="3:16">
      <c r="C36" s="22" t="s">
        <v>192</v>
      </c>
      <c r="D36" t="str">
        <f>VLOOKUP(Table3[[#This Row],[Employee No.]],Table1_1[[Employee No.]:[Employee Name]],2,FALSE)</f>
        <v>MUHAMMAD AZRUL BIN ABDUL MUIN</v>
      </c>
      <c r="E36" t="str">
        <f>VLOOKUP(Table3[[#This Row],[Employee No.]],Table1_1[[Employee No.]:[Department]],6,FALSE)</f>
        <v>DRILL</v>
      </c>
      <c r="F36" t="str">
        <f>VLOOKUP(Table3[[#This Row],[Employee No.]],Table1_1[[Employee No.]:[Gender]],7,FALSE)</f>
        <v>M</v>
      </c>
      <c r="G36" t="str">
        <f>VLOOKUP(Table3[[#This Row],[Employee No.]],Table1_1[[Employee No.]:[Shift]],9,FALSE)</f>
        <v>SHIFT A</v>
      </c>
      <c r="H36" s="25">
        <v>1</v>
      </c>
      <c r="I36" s="25">
        <v>1</v>
      </c>
      <c r="J36" s="25">
        <v>1</v>
      </c>
      <c r="K36" s="25">
        <v>1</v>
      </c>
      <c r="L36" s="25">
        <v>1</v>
      </c>
      <c r="M36" s="25">
        <v>1</v>
      </c>
    </row>
    <row r="37" spans="3:16">
      <c r="C37" s="22" t="s">
        <v>196</v>
      </c>
      <c r="D37" t="str">
        <f>VLOOKUP(Table3[[#This Row],[Employee No.]],Table1_1[[Employee No.]:[Employee Name]],2,FALSE)</f>
        <v>MUHAMAD AZIZI BIN RAMLI</v>
      </c>
      <c r="E37" t="str">
        <f>VLOOKUP(Table3[[#This Row],[Employee No.]],Table1_1[[Employee No.]:[Department]],6,FALSE)</f>
        <v>DF</v>
      </c>
      <c r="F37" t="str">
        <f>VLOOKUP(Table3[[#This Row],[Employee No.]],Table1_1[[Employee No.]:[Gender]],7,FALSE)</f>
        <v>M</v>
      </c>
      <c r="G37" t="str">
        <f>VLOOKUP(Table3[[#This Row],[Employee No.]],Table1_1[[Employee No.]:[Shift]],9,FALSE)</f>
        <v>SHIFT E</v>
      </c>
      <c r="H37" s="25">
        <v>0</v>
      </c>
      <c r="I37" s="25">
        <v>1</v>
      </c>
      <c r="J37" s="25">
        <v>1</v>
      </c>
      <c r="K37" s="25">
        <v>0</v>
      </c>
      <c r="L37" s="25">
        <v>0</v>
      </c>
      <c r="M37" s="25">
        <v>0</v>
      </c>
    </row>
    <row r="38" spans="3:16">
      <c r="C38" s="22" t="s">
        <v>200</v>
      </c>
      <c r="D38" t="str">
        <f>VLOOKUP(Table3[[#This Row],[Employee No.]],Table1_1[[Employee No.]:[Employee Name]],2,FALSE)</f>
        <v>NABILA NATASHA BINTI JEMIDIN</v>
      </c>
      <c r="E38" t="str">
        <f>VLOOKUP(Table3[[#This Row],[Employee No.]],Table1_1[[Employee No.]:[Department]],6,FALSE)</f>
        <v>AOI</v>
      </c>
      <c r="F38" t="str">
        <f>VLOOKUP(Table3[[#This Row],[Employee No.]],Table1_1[[Employee No.]:[Gender]],7,FALSE)</f>
        <v>F</v>
      </c>
      <c r="G38" t="str">
        <f>VLOOKUP(Table3[[#This Row],[Employee No.]],Table1_1[[Employee No.]:[Shift]],9,FALSE)</f>
        <v>SHIFT B</v>
      </c>
      <c r="H38" s="25">
        <v>1</v>
      </c>
      <c r="I38" s="25">
        <v>1</v>
      </c>
      <c r="J38" s="25">
        <v>1</v>
      </c>
      <c r="K38" s="25">
        <v>1</v>
      </c>
      <c r="L38" s="25">
        <v>1</v>
      </c>
      <c r="M38" s="25">
        <v>1</v>
      </c>
    </row>
    <row r="39" spans="3:16">
      <c r="C39" s="22" t="s">
        <v>205</v>
      </c>
      <c r="D39" t="str">
        <f>VLOOKUP(Table3[[#This Row],[Employee No.]],Table1_1[[Employee No.]:[Employee Name]],2,FALSE)</f>
        <v>RATNAPIRIYA A/P GANESAN</v>
      </c>
      <c r="E39" t="str">
        <f>VLOOKUP(Table3[[#This Row],[Employee No.]],Table1_1[[Employee No.]:[Department]],6,FALSE)</f>
        <v>AOI</v>
      </c>
      <c r="F39" t="str">
        <f>VLOOKUP(Table3[[#This Row],[Employee No.]],Table1_1[[Employee No.]:[Gender]],7,FALSE)</f>
        <v>F</v>
      </c>
      <c r="G39" t="str">
        <f>VLOOKUP(Table3[[#This Row],[Employee No.]],Table1_1[[Employee No.]:[Shift]],9,FALSE)</f>
        <v>SHIFT E</v>
      </c>
      <c r="H39" s="25">
        <v>0</v>
      </c>
      <c r="I39" s="25">
        <v>1</v>
      </c>
      <c r="J39" s="25">
        <v>1</v>
      </c>
      <c r="K39" s="25">
        <v>1</v>
      </c>
      <c r="L39" s="25">
        <v>1</v>
      </c>
      <c r="M39" s="25">
        <v>0</v>
      </c>
    </row>
    <row r="40" spans="3:16">
      <c r="C40" s="22" t="s">
        <v>211</v>
      </c>
      <c r="D40" t="str">
        <f>VLOOKUP(Table3[[#This Row],[Employee No.]],Table1_1[[Employee No.]:[Employee Name]],2,FALSE)</f>
        <v>SITI AISHAH BINTI SHAMHAR</v>
      </c>
      <c r="E40" t="str">
        <f>VLOOKUP(Table3[[#This Row],[Employee No.]],Table1_1[[Employee No.]:[Department]],6,FALSE)</f>
        <v>BBT</v>
      </c>
      <c r="F40" t="str">
        <f>VLOOKUP(Table3[[#This Row],[Employee No.]],Table1_1[[Employee No.]:[Gender]],7,FALSE)</f>
        <v>F</v>
      </c>
      <c r="G40" t="str">
        <f>VLOOKUP(Table3[[#This Row],[Employee No.]],Table1_1[[Employee No.]:[Shift]],9,FALSE)</f>
        <v>SHIFT E</v>
      </c>
      <c r="H40" s="25">
        <v>0</v>
      </c>
      <c r="I40" s="25">
        <v>1</v>
      </c>
      <c r="J40" s="25">
        <v>1</v>
      </c>
      <c r="K40" s="25">
        <v>1</v>
      </c>
      <c r="L40" s="25">
        <v>1</v>
      </c>
      <c r="M40" s="25">
        <v>1</v>
      </c>
    </row>
    <row r="41" spans="3:16">
      <c r="C41" s="22" t="s">
        <v>215</v>
      </c>
      <c r="D41" t="str">
        <f>VLOOKUP(Table3[[#This Row],[Employee No.]],Table1_1[[Employee No.]:[Employee Name]],2,FALSE)</f>
        <v>SITI ZULAIKHA BINTI SHAMHAR</v>
      </c>
      <c r="E41" t="str">
        <f>VLOOKUP(Table3[[#This Row],[Employee No.]],Table1_1[[Employee No.]:[Department]],6,FALSE)</f>
        <v>SM</v>
      </c>
      <c r="F41" t="str">
        <f>VLOOKUP(Table3[[#This Row],[Employee No.]],Table1_1[[Employee No.]:[Gender]],7,FALSE)</f>
        <v>F</v>
      </c>
      <c r="G41" t="str">
        <f>VLOOKUP(Table3[[#This Row],[Employee No.]],Table1_1[[Employee No.]:[Shift]],9,FALSE)</f>
        <v>SHIFT E</v>
      </c>
      <c r="H41" s="25">
        <v>0</v>
      </c>
      <c r="I41" s="25">
        <v>1</v>
      </c>
      <c r="J41" s="25">
        <v>1</v>
      </c>
      <c r="K41" s="25">
        <v>0</v>
      </c>
      <c r="L41" s="25">
        <v>0</v>
      </c>
      <c r="M41" s="25">
        <v>0</v>
      </c>
    </row>
    <row r="42" spans="3:16">
      <c r="C42" s="22" t="s">
        <v>219</v>
      </c>
      <c r="D42" t="str">
        <f>VLOOKUP(Table3[[#This Row],[Employee No.]],Table1_1[[Employee No.]:[Employee Name]],2,FALSE)</f>
        <v>SITI NOOR JANNAH BINTI HAMDAN</v>
      </c>
      <c r="E42" t="str">
        <f>VLOOKUP(Table3[[#This Row],[Employee No.]],Table1_1[[Employee No.]:[Department]],6,FALSE)</f>
        <v>BBT</v>
      </c>
      <c r="F42" t="str">
        <f>VLOOKUP(Table3[[#This Row],[Employee No.]],Table1_1[[Employee No.]:[Gender]],7,FALSE)</f>
        <v>F</v>
      </c>
      <c r="G42" t="str">
        <f>VLOOKUP(Table3[[#This Row],[Employee No.]],Table1_1[[Employee No.]:[Shift]],9,FALSE)</f>
        <v>SHIFT E</v>
      </c>
      <c r="H42" s="25">
        <v>0</v>
      </c>
      <c r="I42" s="25">
        <v>1</v>
      </c>
      <c r="J42" s="25">
        <v>1</v>
      </c>
      <c r="K42" s="25">
        <v>1</v>
      </c>
      <c r="L42" s="25">
        <v>1</v>
      </c>
      <c r="M42" s="25">
        <v>1</v>
      </c>
    </row>
    <row r="43" spans="3:16">
      <c r="C43" s="22" t="s">
        <v>223</v>
      </c>
      <c r="D43" t="str">
        <f>VLOOKUP(Table3[[#This Row],[Employee No.]],Table1_1[[Employee No.]:[Employee Name]],2,FALSE)</f>
        <v>NURUL FATIN FARZANA BINTI BAHARUDIN</v>
      </c>
      <c r="E43" t="str">
        <f>VLOOKUP(Table3[[#This Row],[Employee No.]],Table1_1[[Employee No.]:[Department]],6,FALSE)</f>
        <v>AOI</v>
      </c>
      <c r="F43" t="str">
        <f>VLOOKUP(Table3[[#This Row],[Employee No.]],Table1_1[[Employee No.]:[Gender]],7,FALSE)</f>
        <v>F</v>
      </c>
      <c r="G43" t="str">
        <f>VLOOKUP(Table3[[#This Row],[Employee No.]],Table1_1[[Employee No.]:[Shift]],9,FALSE)</f>
        <v>SHIFT B</v>
      </c>
      <c r="H43" s="25">
        <v>1</v>
      </c>
      <c r="I43" s="25">
        <v>1</v>
      </c>
      <c r="J43" s="25">
        <v>1</v>
      </c>
      <c r="K43" s="25">
        <v>1</v>
      </c>
      <c r="L43" s="25">
        <v>1</v>
      </c>
      <c r="M43" s="25">
        <v>1</v>
      </c>
    </row>
    <row r="44" spans="3:16">
      <c r="C44" s="22" t="s">
        <v>227</v>
      </c>
      <c r="D44" t="str">
        <f>VLOOKUP(Table3[[#This Row],[Employee No.]],Table1_1[[Employee No.]:[Employee Name]],2,FALSE)</f>
        <v>NUR IFFAH IZZATI BINTI MOHAMAD</v>
      </c>
      <c r="E44" t="str">
        <f>VLOOKUP(Table3[[#This Row],[Employee No.]],Table1_1[[Employee No.]:[Department]],6,FALSE)</f>
        <v>DRILL</v>
      </c>
      <c r="F44" t="str">
        <f>VLOOKUP(Table3[[#This Row],[Employee No.]],Table1_1[[Employee No.]:[Gender]],7,FALSE)</f>
        <v>F</v>
      </c>
      <c r="G44" t="str">
        <f>VLOOKUP(Table3[[#This Row],[Employee No.]],Table1_1[[Employee No.]:[Shift]],9,FALSE)</f>
        <v>SHIFT C</v>
      </c>
      <c r="H44" s="25">
        <v>1</v>
      </c>
      <c r="I44" s="25">
        <v>1</v>
      </c>
      <c r="J44" s="25">
        <v>1</v>
      </c>
      <c r="K44" s="25">
        <v>1</v>
      </c>
      <c r="L44" s="25">
        <v>1</v>
      </c>
      <c r="M44" s="25">
        <v>1</v>
      </c>
      <c r="P44" s="25"/>
    </row>
    <row r="45" spans="3:16">
      <c r="C45" s="22" t="s">
        <v>232</v>
      </c>
      <c r="D45" t="str">
        <f>VLOOKUP(Table3[[#This Row],[Employee No.]],Table1_1[[Employee No.]:[Employee Name]],2,FALSE)</f>
        <v>NORHIDAYAH BINTI SULAIMAN</v>
      </c>
      <c r="E45" t="str">
        <f>VLOOKUP(Table3[[#This Row],[Employee No.]],Table1_1[[Employee No.]:[Department]],6,FALSE)</f>
        <v>AOI</v>
      </c>
      <c r="F45" t="str">
        <f>VLOOKUP(Table3[[#This Row],[Employee No.]],Table1_1[[Employee No.]:[Gender]],7,FALSE)</f>
        <v>F</v>
      </c>
      <c r="G45" t="str">
        <f>VLOOKUP(Table3[[#This Row],[Employee No.]],Table1_1[[Employee No.]:[Shift]],9,FALSE)</f>
        <v>SHIFT B</v>
      </c>
      <c r="H45" s="25">
        <v>1</v>
      </c>
      <c r="I45" s="25">
        <v>1</v>
      </c>
      <c r="J45" s="25">
        <v>1</v>
      </c>
      <c r="K45" s="25">
        <v>1</v>
      </c>
      <c r="L45" s="25">
        <v>1</v>
      </c>
      <c r="M45" s="25">
        <v>1</v>
      </c>
    </row>
    <row r="46" spans="3:16">
      <c r="C46" s="22" t="s">
        <v>236</v>
      </c>
      <c r="D46" t="str">
        <f>VLOOKUP(Table3[[#This Row],[Employee No.]],Table1_1[[Employee No.]:[Employee Name]],2,FALSE)</f>
        <v>MUHAMMAD DANISH HAIKAL BIN ABDULLAH</v>
      </c>
      <c r="E46" t="str">
        <f>VLOOKUP(Table3[[#This Row],[Employee No.]],Table1_1[[Employee No.]:[Department]],6,FALSE)</f>
        <v>AOI</v>
      </c>
      <c r="F46" t="str">
        <f>VLOOKUP(Table3[[#This Row],[Employee No.]],Table1_1[[Employee No.]:[Gender]],7,FALSE)</f>
        <v>M</v>
      </c>
      <c r="G46" t="str">
        <f>VLOOKUP(Table3[[#This Row],[Employee No.]],Table1_1[[Employee No.]:[Shift]],9,FALSE)</f>
        <v>SHIFT C</v>
      </c>
      <c r="H46" s="25">
        <v>1</v>
      </c>
      <c r="I46" s="25">
        <v>1</v>
      </c>
      <c r="J46" s="25">
        <v>1</v>
      </c>
      <c r="K46" s="25">
        <v>1</v>
      </c>
      <c r="L46" s="25">
        <v>1</v>
      </c>
      <c r="M46" s="25">
        <v>1</v>
      </c>
      <c r="P46" s="25"/>
    </row>
    <row r="47" spans="3:16">
      <c r="C47" s="22" t="s">
        <v>240</v>
      </c>
      <c r="D47" t="str">
        <f>VLOOKUP(Table3[[#This Row],[Employee No.]],Table1_1[[Employee No.]:[Employee Name]],2,FALSE)</f>
        <v>DANISH ISKANDAR BIN ANUAR</v>
      </c>
      <c r="E47" t="str">
        <f>VLOOKUP(Table3[[#This Row],[Employee No.]],Table1_1[[Employee No.]:[Department]],6,FALSE)</f>
        <v>SM</v>
      </c>
      <c r="F47" t="str">
        <f>VLOOKUP(Table3[[#This Row],[Employee No.]],Table1_1[[Employee No.]:[Gender]],7,FALSE)</f>
        <v>M</v>
      </c>
      <c r="G47" t="str">
        <f>VLOOKUP(Table3[[#This Row],[Employee No.]],Table1_1[[Employee No.]:[Shift]],9,FALSE)</f>
        <v>SHIFT E</v>
      </c>
      <c r="H47" s="25">
        <v>0</v>
      </c>
      <c r="I47" s="25">
        <v>1</v>
      </c>
      <c r="J47" s="25">
        <v>1</v>
      </c>
      <c r="K47" s="25">
        <v>1</v>
      </c>
      <c r="L47" s="25">
        <v>1</v>
      </c>
      <c r="M47" s="25">
        <v>1</v>
      </c>
    </row>
    <row r="48" spans="3:16">
      <c r="C48" s="22" t="s">
        <v>244</v>
      </c>
      <c r="D48" t="str">
        <f>VLOOKUP(Table3[[#This Row],[Employee No.]],Table1_1[[Employee No.]:[Employee Name]],2,FALSE)</f>
        <v>MUHAMAD ALIF AIMAN BIN MOHD ZABIDI</v>
      </c>
      <c r="E48" t="str">
        <f>VLOOKUP(Table3[[#This Row],[Employee No.]],Table1_1[[Employee No.]:[Department]],6,FALSE)</f>
        <v>DRILL</v>
      </c>
      <c r="F48" t="str">
        <f>VLOOKUP(Table3[[#This Row],[Employee No.]],Table1_1[[Employee No.]:[Gender]],7,FALSE)</f>
        <v>M</v>
      </c>
      <c r="G48" t="str">
        <f>VLOOKUP(Table3[[#This Row],[Employee No.]],Table1_1[[Employee No.]:[Shift]],9,FALSE)</f>
        <v>SHIFT B</v>
      </c>
      <c r="H48" s="25">
        <v>1</v>
      </c>
      <c r="I48" s="25">
        <v>1</v>
      </c>
      <c r="J48" s="25">
        <v>1</v>
      </c>
      <c r="K48" s="25">
        <v>1</v>
      </c>
      <c r="L48" s="25">
        <v>1</v>
      </c>
      <c r="M48" s="25">
        <v>1</v>
      </c>
    </row>
    <row r="49" spans="3:16">
      <c r="C49" s="22" t="s">
        <v>248</v>
      </c>
      <c r="D49" t="str">
        <f>VLOOKUP(Table3[[#This Row],[Employee No.]],Table1_1[[Employee No.]:[Employee Name]],2,FALSE)</f>
        <v>MUHAMAD HIZAMI BIN YAHAYA</v>
      </c>
      <c r="E49" t="str">
        <f>VLOOKUP(Table3[[#This Row],[Employee No.]],Table1_1[[Employee No.]:[Department]],6,FALSE)</f>
        <v>AU</v>
      </c>
      <c r="F49" t="str">
        <f>VLOOKUP(Table3[[#This Row],[Employee No.]],Table1_1[[Employee No.]:[Gender]],7,FALSE)</f>
        <v>M</v>
      </c>
      <c r="G49" t="str">
        <f>VLOOKUP(Table3[[#This Row],[Employee No.]],Table1_1[[Employee No.]:[Shift]],9,FALSE)</f>
        <v>SHIFT E</v>
      </c>
      <c r="H49" s="25">
        <v>0</v>
      </c>
      <c r="I49" s="25">
        <v>1</v>
      </c>
      <c r="J49" s="25">
        <v>0</v>
      </c>
      <c r="K49" s="25">
        <v>0</v>
      </c>
      <c r="L49" s="25">
        <v>0</v>
      </c>
      <c r="M49" s="25">
        <v>1</v>
      </c>
    </row>
    <row r="50" spans="3:16">
      <c r="C50" s="22" t="s">
        <v>252</v>
      </c>
      <c r="D50" t="str">
        <f>VLOOKUP(Table3[[#This Row],[Employee No.]],Table1_1[[Employee No.]:[Employee Name]],2,FALSE)</f>
        <v>MOHAMMAD ARIF HAKIMI BIN AMIR</v>
      </c>
      <c r="E50" t="str">
        <f>VLOOKUP(Table3[[#This Row],[Employee No.]],Table1_1[[Employee No.]:[Department]],6,FALSE)</f>
        <v>DRILL</v>
      </c>
      <c r="F50" t="str">
        <f>VLOOKUP(Table3[[#This Row],[Employee No.]],Table1_1[[Employee No.]:[Gender]],7,FALSE)</f>
        <v>M</v>
      </c>
      <c r="G50" t="str">
        <f>VLOOKUP(Table3[[#This Row],[Employee No.]],Table1_1[[Employee No.]:[Shift]],9,FALSE)</f>
        <v>SHIFT C</v>
      </c>
      <c r="H50" s="25">
        <v>1</v>
      </c>
      <c r="I50" s="25">
        <v>1</v>
      </c>
      <c r="J50" s="25">
        <v>1</v>
      </c>
      <c r="K50" s="25">
        <v>1</v>
      </c>
      <c r="L50" s="25">
        <v>1</v>
      </c>
      <c r="M50" s="25">
        <v>1</v>
      </c>
      <c r="P50" s="25"/>
    </row>
    <row r="51" spans="3:16">
      <c r="C51" s="22" t="s">
        <v>256</v>
      </c>
      <c r="D51" t="str">
        <f>VLOOKUP(Table3[[#This Row],[Employee No.]],Table1_1[[Employee No.]:[Employee Name]],2,FALSE)</f>
        <v>REZUANDEY SAIT</v>
      </c>
      <c r="E51" t="str">
        <f>VLOOKUP(Table3[[#This Row],[Employee No.]],Table1_1[[Employee No.]:[Department]],6,FALSE)</f>
        <v>AU</v>
      </c>
      <c r="F51" t="str">
        <f>VLOOKUP(Table3[[#This Row],[Employee No.]],Table1_1[[Employee No.]:[Gender]],7,FALSE)</f>
        <v>M</v>
      </c>
      <c r="G51" t="str">
        <f>VLOOKUP(Table3[[#This Row],[Employee No.]],Table1_1[[Employee No.]:[Shift]],9,FALSE)</f>
        <v>SHIFT E</v>
      </c>
      <c r="H51" s="25">
        <v>0</v>
      </c>
      <c r="I51" s="25">
        <v>1</v>
      </c>
      <c r="J51" s="25">
        <v>1</v>
      </c>
      <c r="K51" s="25">
        <v>1</v>
      </c>
      <c r="L51" s="25">
        <v>1</v>
      </c>
      <c r="M51" s="25">
        <v>0</v>
      </c>
    </row>
    <row r="52" spans="3:16">
      <c r="C52" s="22" t="s">
        <v>260</v>
      </c>
      <c r="D52" t="str">
        <f>VLOOKUP(Table3[[#This Row],[Employee No.]],Table1_1[[Employee No.]:[Employee Name]],2,FALSE)</f>
        <v>MUHAMMAD DANEIL IKMAL BIN ABDUL HALIM TAN</v>
      </c>
      <c r="E52" t="str">
        <f>VLOOKUP(Table3[[#This Row],[Employee No.]],Table1_1[[Employee No.]:[Department]],6,FALSE)</f>
        <v>SM</v>
      </c>
      <c r="F52" t="str">
        <f>VLOOKUP(Table3[[#This Row],[Employee No.]],Table1_1[[Employee No.]:[Gender]],7,FALSE)</f>
        <v>M</v>
      </c>
      <c r="G52" t="str">
        <f>VLOOKUP(Table3[[#This Row],[Employee No.]],Table1_1[[Employee No.]:[Shift]],9,FALSE)</f>
        <v>SHIFT A</v>
      </c>
      <c r="H52" s="25">
        <v>1</v>
      </c>
      <c r="I52" s="25">
        <v>1</v>
      </c>
      <c r="J52" s="25">
        <v>1</v>
      </c>
      <c r="K52" s="25">
        <v>1</v>
      </c>
      <c r="L52" s="25">
        <v>1</v>
      </c>
      <c r="M52" s="25">
        <v>1</v>
      </c>
    </row>
    <row r="53" spans="3:16">
      <c r="C53" s="22" t="s">
        <v>265</v>
      </c>
      <c r="D53" t="str">
        <f>VLOOKUP(Table3[[#This Row],[Employee No.]],Table1_1[[Employee No.]:[Employee Name]],2,FALSE)</f>
        <v>MUHAMMAD RIDZUAN BIN MASIRAN</v>
      </c>
      <c r="E53" t="str">
        <f>VLOOKUP(Table3[[#This Row],[Employee No.]],Table1_1[[Employee No.]:[Department]],6,FALSE)</f>
        <v>ROUTER</v>
      </c>
      <c r="F53" t="str">
        <f>VLOOKUP(Table3[[#This Row],[Employee No.]],Table1_1[[Employee No.]:[Gender]],7,FALSE)</f>
        <v>M</v>
      </c>
      <c r="G53" t="str">
        <f>VLOOKUP(Table3[[#This Row],[Employee No.]],Table1_1[[Employee No.]:[Shift]],9,FALSE)</f>
        <v>SHIFT C</v>
      </c>
      <c r="H53" s="25">
        <v>1</v>
      </c>
      <c r="I53" s="25">
        <v>1</v>
      </c>
      <c r="J53" s="25">
        <v>1</v>
      </c>
      <c r="K53" s="25">
        <v>1</v>
      </c>
      <c r="L53" s="25">
        <v>1</v>
      </c>
      <c r="M53" s="25">
        <v>1</v>
      </c>
      <c r="P53" s="25"/>
    </row>
    <row r="54" spans="3:16">
      <c r="C54" s="22" t="s">
        <v>269</v>
      </c>
      <c r="D54" t="str">
        <f>VLOOKUP(Table3[[#This Row],[Employee No.]],Table1_1[[Employee No.]:[Employee Name]],2,FALSE)</f>
        <v>MUHAMMAD ALIF HAIKAL BIN BASARUDIN</v>
      </c>
      <c r="E54" t="str">
        <f>VLOOKUP(Table3[[#This Row],[Employee No.]],Table1_1[[Employee No.]:[Department]],6,FALSE)</f>
        <v>SM</v>
      </c>
      <c r="F54" t="str">
        <f>VLOOKUP(Table3[[#This Row],[Employee No.]],Table1_1[[Employee No.]:[Gender]],7,FALSE)</f>
        <v>M</v>
      </c>
      <c r="G54" t="str">
        <f>VLOOKUP(Table3[[#This Row],[Employee No.]],Table1_1[[Employee No.]:[Shift]],9,FALSE)</f>
        <v>SHIFT E</v>
      </c>
      <c r="H54" s="25">
        <v>0</v>
      </c>
      <c r="I54" s="25">
        <v>1</v>
      </c>
      <c r="J54" s="25">
        <v>1</v>
      </c>
      <c r="K54" s="25">
        <v>1</v>
      </c>
      <c r="L54" s="25">
        <v>1</v>
      </c>
      <c r="M54" s="25">
        <v>1</v>
      </c>
    </row>
    <row r="55" spans="3:16">
      <c r="C55" s="22" t="s">
        <v>273</v>
      </c>
      <c r="D55" t="str">
        <f>VLOOKUP(Table3[[#This Row],[Employee No.]],Table1_1[[Employee No.]:[Employee Name]],2,FALSE)</f>
        <v>MUHAMMAD HIDAYAT BIN JAMALUDIN</v>
      </c>
      <c r="E55" t="str">
        <f>VLOOKUP(Table3[[#This Row],[Employee No.]],Table1_1[[Employee No.]:[Department]],6,FALSE)</f>
        <v>AOI</v>
      </c>
      <c r="F55" t="str">
        <f>VLOOKUP(Table3[[#This Row],[Employee No.]],Table1_1[[Employee No.]:[Gender]],7,FALSE)</f>
        <v>M</v>
      </c>
      <c r="G55" t="str">
        <f>VLOOKUP(Table3[[#This Row],[Employee No.]],Table1_1[[Employee No.]:[Shift]],9,FALSE)</f>
        <v>SHIFT E</v>
      </c>
      <c r="H55" s="25">
        <v>0</v>
      </c>
      <c r="I55" s="25">
        <v>1</v>
      </c>
      <c r="J55" s="25">
        <v>1</v>
      </c>
      <c r="K55" s="25">
        <v>1</v>
      </c>
      <c r="L55" s="25">
        <v>1</v>
      </c>
      <c r="M55" s="25">
        <v>0</v>
      </c>
    </row>
    <row r="56" spans="3:16">
      <c r="C56" s="22" t="s">
        <v>277</v>
      </c>
      <c r="D56" t="str">
        <f>VLOOKUP(Table3[[#This Row],[Employee No.]],Table1_1[[Employee No.]:[Employee Name]],2,FALSE)</f>
        <v>MUHAMAD ZULHILMI BIN AHMAD RAFI</v>
      </c>
      <c r="E56" t="str">
        <f>VLOOKUP(Table3[[#This Row],[Employee No.]],Table1_1[[Employee No.]:[Department]],6,FALSE)</f>
        <v>SM</v>
      </c>
      <c r="F56" t="str">
        <f>VLOOKUP(Table3[[#This Row],[Employee No.]],Table1_1[[Employee No.]:[Gender]],7,FALSE)</f>
        <v>M</v>
      </c>
      <c r="G56" t="str">
        <f>VLOOKUP(Table3[[#This Row],[Employee No.]],Table1_1[[Employee No.]:[Shift]],9,FALSE)</f>
        <v>SHIFT E</v>
      </c>
      <c r="H56" s="25">
        <v>0</v>
      </c>
      <c r="I56" s="25">
        <v>1</v>
      </c>
      <c r="J56" s="25">
        <v>1</v>
      </c>
      <c r="K56" s="25">
        <v>1</v>
      </c>
      <c r="L56" s="25">
        <v>1</v>
      </c>
      <c r="M56" s="25">
        <v>1</v>
      </c>
    </row>
    <row r="57" spans="3:16">
      <c r="C57" s="22" t="s">
        <v>281</v>
      </c>
      <c r="D57" t="str">
        <f>VLOOKUP(Table3[[#This Row],[Employee No.]],Table1_1[[Employee No.]:[Employee Name]],2,FALSE)</f>
        <v>MUHAMMAD NABIL IKHWAN BIN AHMAD TAJUDDIN</v>
      </c>
      <c r="E57" t="str">
        <f>VLOOKUP(Table3[[#This Row],[Employee No.]],Table1_1[[Employee No.]:[Department]],6,FALSE)</f>
        <v>DF</v>
      </c>
      <c r="F57" t="str">
        <f>VLOOKUP(Table3[[#This Row],[Employee No.]],Table1_1[[Employee No.]:[Gender]],7,FALSE)</f>
        <v>M</v>
      </c>
      <c r="G57" t="str">
        <f>VLOOKUP(Table3[[#This Row],[Employee No.]],Table1_1[[Employee No.]:[Shift]],9,FALSE)</f>
        <v>SHIFT E</v>
      </c>
      <c r="H57" s="25">
        <v>0</v>
      </c>
      <c r="I57" s="25">
        <v>1</v>
      </c>
      <c r="J57" s="25">
        <v>1</v>
      </c>
      <c r="K57" s="25">
        <v>1</v>
      </c>
      <c r="L57" s="25">
        <v>1</v>
      </c>
      <c r="M57" s="25">
        <v>0</v>
      </c>
    </row>
    <row r="58" spans="3:16">
      <c r="C58" s="22" t="s">
        <v>285</v>
      </c>
      <c r="D58" t="str">
        <f>VLOOKUP(Table3[[#This Row],[Employee No.]],Table1_1[[Employee No.]:[Employee Name]],2,FALSE)</f>
        <v>MUHAMMAD AIMAN HANIF BIN BADERI</v>
      </c>
      <c r="E58" t="str">
        <f>VLOOKUP(Table3[[#This Row],[Employee No.]],Table1_1[[Employee No.]:[Department]],6,FALSE)</f>
        <v>DRILL</v>
      </c>
      <c r="F58" t="str">
        <f>VLOOKUP(Table3[[#This Row],[Employee No.]],Table1_1[[Employee No.]:[Gender]],7,FALSE)</f>
        <v>M</v>
      </c>
      <c r="G58" t="str">
        <f>VLOOKUP(Table3[[#This Row],[Employee No.]],Table1_1[[Employee No.]:[Shift]],9,FALSE)</f>
        <v>SHIFT A</v>
      </c>
      <c r="H58" s="25">
        <v>1</v>
      </c>
      <c r="I58" s="25">
        <v>1</v>
      </c>
      <c r="J58" s="25">
        <v>1</v>
      </c>
      <c r="K58" s="25">
        <v>1</v>
      </c>
      <c r="L58" s="25">
        <v>1</v>
      </c>
      <c r="M58" s="25">
        <v>1</v>
      </c>
    </row>
    <row r="59" spans="3:16">
      <c r="C59" s="22" t="s">
        <v>289</v>
      </c>
      <c r="D59" t="str">
        <f>VLOOKUP(Table3[[#This Row],[Employee No.]],Table1_1[[Employee No.]:[Employee Name]],2,FALSE)</f>
        <v>MUHAMMAD RIDZUAN HAKIM BIN MOHD ROSLAN</v>
      </c>
      <c r="E59" t="str">
        <f>VLOOKUP(Table3[[#This Row],[Employee No.]],Table1_1[[Employee No.]:[Department]],6,FALSE)</f>
        <v>BBT</v>
      </c>
      <c r="F59" t="str">
        <f>VLOOKUP(Table3[[#This Row],[Employee No.]],Table1_1[[Employee No.]:[Gender]],7,FALSE)</f>
        <v>M</v>
      </c>
      <c r="G59" t="str">
        <f>VLOOKUP(Table3[[#This Row],[Employee No.]],Table1_1[[Employee No.]:[Shift]],9,FALSE)</f>
        <v>SHIFT E</v>
      </c>
      <c r="H59" s="25">
        <v>0</v>
      </c>
      <c r="I59" s="25">
        <v>1</v>
      </c>
      <c r="J59" s="25">
        <v>1</v>
      </c>
      <c r="K59" s="25">
        <v>1</v>
      </c>
      <c r="L59" s="25">
        <v>1</v>
      </c>
      <c r="M59" s="25">
        <v>1</v>
      </c>
    </row>
    <row r="60" spans="3:16">
      <c r="C60" s="22" t="s">
        <v>293</v>
      </c>
      <c r="D60" t="str">
        <f>VLOOKUP(Table3[[#This Row],[Employee No.]],Table1_1[[Employee No.]:[Employee Name]],2,FALSE)</f>
        <v>MOHAMAD ZAIRULL ZAIEDD BIN ROSIDI</v>
      </c>
      <c r="E60" t="str">
        <f>VLOOKUP(Table3[[#This Row],[Employee No.]],Table1_1[[Employee No.]:[Department]],6,FALSE)</f>
        <v>DF</v>
      </c>
      <c r="F60" t="str">
        <f>VLOOKUP(Table3[[#This Row],[Employee No.]],Table1_1[[Employee No.]:[Gender]],7,FALSE)</f>
        <v>M</v>
      </c>
      <c r="G60" t="str">
        <f>VLOOKUP(Table3[[#This Row],[Employee No.]],Table1_1[[Employee No.]:[Shift]],9,FALSE)</f>
        <v>SHIFT E</v>
      </c>
      <c r="H60" s="25">
        <v>0</v>
      </c>
      <c r="I60" s="25">
        <v>1</v>
      </c>
      <c r="J60" s="25">
        <v>1</v>
      </c>
      <c r="K60" s="25">
        <v>1</v>
      </c>
      <c r="L60" s="25">
        <v>1</v>
      </c>
      <c r="M60" s="25">
        <v>0</v>
      </c>
    </row>
    <row r="61" spans="3:16">
      <c r="C61" s="22" t="s">
        <v>297</v>
      </c>
      <c r="D61" t="str">
        <f>VLOOKUP(Table3[[#This Row],[Employee No.]],Table1_1[[Employee No.]:[Employee Name]],2,FALSE)</f>
        <v>HAMZAH BIN ZULKIFLEE</v>
      </c>
      <c r="E61" t="str">
        <f>VLOOKUP(Table3[[#This Row],[Employee No.]],Table1_1[[Employee No.]:[Department]],6,FALSE)</f>
        <v>DRILL</v>
      </c>
      <c r="F61" t="str">
        <f>VLOOKUP(Table3[[#This Row],[Employee No.]],Table1_1[[Employee No.]:[Gender]],7,FALSE)</f>
        <v>M</v>
      </c>
      <c r="G61" t="str">
        <f>VLOOKUP(Table3[[#This Row],[Employee No.]],Table1_1[[Employee No.]:[Shift]],9,FALSE)</f>
        <v>SHIFT C</v>
      </c>
      <c r="H61" s="25">
        <v>1</v>
      </c>
      <c r="I61" s="25">
        <v>1</v>
      </c>
      <c r="J61" s="25">
        <v>1</v>
      </c>
      <c r="K61" s="25">
        <v>1</v>
      </c>
      <c r="L61" s="25">
        <v>1</v>
      </c>
      <c r="M61" s="25">
        <v>1</v>
      </c>
      <c r="P61" s="25"/>
    </row>
    <row r="62" spans="3:16">
      <c r="C62" s="22" t="s">
        <v>301</v>
      </c>
      <c r="D62" t="str">
        <f>VLOOKUP(Table3[[#This Row],[Employee No.]],Table1_1[[Employee No.]:[Employee Name]],2,FALSE)</f>
        <v>FADZLIYA SYOUBHATOULLAH BIN SAMSUDDIN</v>
      </c>
      <c r="E62" t="str">
        <f>VLOOKUP(Table3[[#This Row],[Employee No.]],Table1_1[[Employee No.]:[Department]],6,FALSE)</f>
        <v>DF</v>
      </c>
      <c r="F62" t="str">
        <f>VLOOKUP(Table3[[#This Row],[Employee No.]],Table1_1[[Employee No.]:[Gender]],7,FALSE)</f>
        <v>M</v>
      </c>
      <c r="G62" t="str">
        <f>VLOOKUP(Table3[[#This Row],[Employee No.]],Table1_1[[Employee No.]:[Shift]],9,FALSE)</f>
        <v>SHIFT E</v>
      </c>
      <c r="H62" s="25">
        <v>0</v>
      </c>
      <c r="I62" s="25">
        <v>1</v>
      </c>
      <c r="J62" s="25">
        <v>1</v>
      </c>
      <c r="K62" s="25">
        <v>1</v>
      </c>
      <c r="L62" s="25">
        <v>1</v>
      </c>
      <c r="M62" s="25">
        <v>0</v>
      </c>
    </row>
    <row r="63" spans="3:16">
      <c r="C63" s="22" t="s">
        <v>305</v>
      </c>
      <c r="D63" t="str">
        <f>VLOOKUP(Table3[[#This Row],[Employee No.]],Table1_1[[Employee No.]:[Employee Name]],2,FALSE)</f>
        <v>MUHAMMAD MU'AMMAR AFZAN BIN MOHD AZHAR</v>
      </c>
      <c r="E63" t="str">
        <f>VLOOKUP(Table3[[#This Row],[Employee No.]],Table1_1[[Employee No.]:[Department]],6,FALSE)</f>
        <v>ROUTER</v>
      </c>
      <c r="F63" t="str">
        <f>VLOOKUP(Table3[[#This Row],[Employee No.]],Table1_1[[Employee No.]:[Gender]],7,FALSE)</f>
        <v>M</v>
      </c>
      <c r="G63" t="str">
        <f>VLOOKUP(Table3[[#This Row],[Employee No.]],Table1_1[[Employee No.]:[Shift]],9,FALSE)</f>
        <v>SHIFT B</v>
      </c>
      <c r="H63" s="25">
        <v>1</v>
      </c>
      <c r="I63" s="25">
        <v>1</v>
      </c>
      <c r="J63" s="25">
        <v>1</v>
      </c>
      <c r="K63" s="25">
        <v>1</v>
      </c>
      <c r="L63" s="25">
        <v>1</v>
      </c>
      <c r="M63" s="25">
        <v>1</v>
      </c>
    </row>
    <row r="64" spans="3:16">
      <c r="C64" s="22" t="s">
        <v>309</v>
      </c>
      <c r="D64" t="str">
        <f>VLOOKUP(Table3[[#This Row],[Employee No.]],Table1_1[[Employee No.]:[Employee Name]],2,FALSE)</f>
        <v>MOHAMAD ADIF ASYRAF BIN AHMAD SHUKOR</v>
      </c>
      <c r="E64" t="str">
        <f>VLOOKUP(Table3[[#This Row],[Employee No.]],Table1_1[[Employee No.]:[Department]],6,FALSE)</f>
        <v>DF</v>
      </c>
      <c r="F64" t="str">
        <f>VLOOKUP(Table3[[#This Row],[Employee No.]],Table1_1[[Employee No.]:[Gender]],7,FALSE)</f>
        <v>M</v>
      </c>
      <c r="G64" t="str">
        <f>VLOOKUP(Table3[[#This Row],[Employee No.]],Table1_1[[Employee No.]:[Shift]],9,FALSE)</f>
        <v>SHIFT E</v>
      </c>
      <c r="H64" s="25">
        <v>0</v>
      </c>
      <c r="I64" s="25">
        <v>1</v>
      </c>
      <c r="J64" s="25">
        <v>1</v>
      </c>
      <c r="K64" s="25">
        <v>1</v>
      </c>
      <c r="L64" s="25">
        <v>1</v>
      </c>
      <c r="M64" s="25">
        <v>0</v>
      </c>
    </row>
    <row r="65" spans="3:13">
      <c r="C65" s="22" t="s">
        <v>313</v>
      </c>
      <c r="D65" t="str">
        <f>VLOOKUP(Table3[[#This Row],[Employee No.]],Table1_1[[Employee No.]:[Employee Name]],2,FALSE)</f>
        <v>MUHAMMAD RIDZUWAN BIN ABD KARIM</v>
      </c>
      <c r="E65" t="str">
        <f>VLOOKUP(Table3[[#This Row],[Employee No.]],Table1_1[[Employee No.]:[Department]],6,FALSE)</f>
        <v>CU</v>
      </c>
      <c r="F65" t="str">
        <f>VLOOKUP(Table3[[#This Row],[Employee No.]],Table1_1[[Employee No.]:[Gender]],7,FALSE)</f>
        <v>M</v>
      </c>
      <c r="G65" t="str">
        <f>VLOOKUP(Table3[[#This Row],[Employee No.]],Table1_1[[Employee No.]:[Shift]],9,FALSE)</f>
        <v>SHIFT E</v>
      </c>
      <c r="H65" s="25">
        <v>0</v>
      </c>
      <c r="I65" s="25">
        <v>1</v>
      </c>
      <c r="J65" s="25">
        <v>1</v>
      </c>
      <c r="K65" s="25">
        <v>1</v>
      </c>
      <c r="L65" s="25">
        <v>1</v>
      </c>
      <c r="M65" s="25">
        <v>0</v>
      </c>
    </row>
    <row r="66" spans="3:13">
      <c r="C66" s="22" t="s">
        <v>317</v>
      </c>
      <c r="D66" t="str">
        <f>VLOOKUP(Table3[[#This Row],[Employee No.]],Table1_1[[Employee No.]:[Employee Name]],2,FALSE)</f>
        <v>MOHAMAD IQUAN ALIF BIN SAIDIN</v>
      </c>
      <c r="E66" t="str">
        <f>VLOOKUP(Table3[[#This Row],[Employee No.]],Table1_1[[Employee No.]:[Department]],6,FALSE)</f>
        <v>ROUTER</v>
      </c>
      <c r="F66" t="str">
        <f>VLOOKUP(Table3[[#This Row],[Employee No.]],Table1_1[[Employee No.]:[Gender]],7,FALSE)</f>
        <v>M</v>
      </c>
      <c r="G66" t="str">
        <f>VLOOKUP(Table3[[#This Row],[Employee No.]],Table1_1[[Employee No.]:[Shift]],9,FALSE)</f>
        <v>SHIFT C</v>
      </c>
      <c r="H66" s="25">
        <v>1</v>
      </c>
      <c r="I66" s="25">
        <v>1</v>
      </c>
      <c r="J66" s="25">
        <v>1</v>
      </c>
      <c r="K66" s="25">
        <v>1</v>
      </c>
      <c r="L66" s="25">
        <v>1</v>
      </c>
      <c r="M66" s="25">
        <v>1</v>
      </c>
    </row>
    <row r="67" spans="3:13">
      <c r="C67" s="22" t="s">
        <v>321</v>
      </c>
      <c r="D67" t="str">
        <f>VLOOKUP(Table3[[#This Row],[Employee No.]],Table1_1[[Employee No.]:[Employee Name]],2,FALSE)</f>
        <v>MOHAMAD DANISH HAZIQ BIN BAHARUDDIN</v>
      </c>
      <c r="E67" t="str">
        <f>VLOOKUP(Table3[[#This Row],[Employee No.]],Table1_1[[Employee No.]:[Department]],6,FALSE)</f>
        <v>AOI</v>
      </c>
      <c r="F67" t="str">
        <f>VLOOKUP(Table3[[#This Row],[Employee No.]],Table1_1[[Employee No.]:[Gender]],7,FALSE)</f>
        <v>M</v>
      </c>
      <c r="G67" t="str">
        <f>VLOOKUP(Table3[[#This Row],[Employee No.]],Table1_1[[Employee No.]:[Shift]],9,FALSE)</f>
        <v>SHIFT E</v>
      </c>
      <c r="H67" s="25">
        <v>0</v>
      </c>
      <c r="I67" s="25">
        <v>1</v>
      </c>
      <c r="J67" s="25">
        <v>1</v>
      </c>
      <c r="K67" s="25">
        <v>1</v>
      </c>
      <c r="L67" s="25">
        <v>1</v>
      </c>
      <c r="M67" s="25">
        <v>1</v>
      </c>
    </row>
    <row r="68" spans="3:13">
      <c r="C68" s="22" t="s">
        <v>325</v>
      </c>
      <c r="D68" t="str">
        <f>VLOOKUP(Table3[[#This Row],[Employee No.]],Table1_1[[Employee No.]:[Employee Name]],2,FALSE)</f>
        <v>SAIMIRAH BINTI LUKMAN MAIT</v>
      </c>
      <c r="E68" t="str">
        <f>VLOOKUP(Table3[[#This Row],[Employee No.]],Table1_1[[Employee No.]:[Department]],6,FALSE)</f>
        <v>BBT</v>
      </c>
      <c r="F68" t="str">
        <f>VLOOKUP(Table3[[#This Row],[Employee No.]],Table1_1[[Employee No.]:[Gender]],7,FALSE)</f>
        <v>F</v>
      </c>
      <c r="G68" t="str">
        <f>VLOOKUP(Table3[[#This Row],[Employee No.]],Table1_1[[Employee No.]:[Shift]],9,FALSE)</f>
        <v>SHIFT E</v>
      </c>
      <c r="H68" s="25">
        <v>0</v>
      </c>
      <c r="I68" s="25">
        <v>1</v>
      </c>
      <c r="J68" s="25">
        <v>0</v>
      </c>
      <c r="K68" s="25">
        <v>1</v>
      </c>
      <c r="L68" s="25">
        <v>1</v>
      </c>
      <c r="M68" s="25">
        <v>1</v>
      </c>
    </row>
    <row r="69" spans="3:13">
      <c r="C69" s="22" t="s">
        <v>329</v>
      </c>
      <c r="D69" t="str">
        <f>VLOOKUP(Table3[[#This Row],[Employee No.]],Table1_1[[Employee No.]:[Employee Name]],2,FALSE)</f>
        <v>NUR ASYIKIN BINTI MOHD FAUZI</v>
      </c>
      <c r="E69" t="str">
        <f>VLOOKUP(Table3[[#This Row],[Employee No.]],Table1_1[[Employee No.]:[Department]],6,FALSE)</f>
        <v>AOI</v>
      </c>
      <c r="F69" t="str">
        <f>VLOOKUP(Table3[[#This Row],[Employee No.]],Table1_1[[Employee No.]:[Gender]],7,FALSE)</f>
        <v>F</v>
      </c>
      <c r="G69" t="str">
        <f>VLOOKUP(Table3[[#This Row],[Employee No.]],Table1_1[[Employee No.]:[Shift]],9,FALSE)</f>
        <v>SHIFT A</v>
      </c>
      <c r="H69" s="25">
        <v>1</v>
      </c>
      <c r="I69" s="25">
        <v>1</v>
      </c>
      <c r="J69" s="25">
        <v>1</v>
      </c>
      <c r="K69" s="25">
        <v>1</v>
      </c>
      <c r="L69" s="25">
        <v>1</v>
      </c>
      <c r="M69" s="25">
        <v>1</v>
      </c>
    </row>
    <row r="70" spans="3:13">
      <c r="C70" s="22" t="s">
        <v>333</v>
      </c>
      <c r="D70" t="str">
        <f>VLOOKUP(Table3[[#This Row],[Employee No.]],Table1_1[[Employee No.]:[Employee Name]],2,FALSE)</f>
        <v>NUR SHAFIKAH BINTI MUHAMMAD THOHIMI</v>
      </c>
      <c r="E70" t="str">
        <f>VLOOKUP(Table3[[#This Row],[Employee No.]],Table1_1[[Employee No.]:[Department]],6,FALSE)</f>
        <v>DRILL</v>
      </c>
      <c r="F70" t="str">
        <f>VLOOKUP(Table3[[#This Row],[Employee No.]],Table1_1[[Employee No.]:[Gender]],7,FALSE)</f>
        <v>F</v>
      </c>
      <c r="G70" t="str">
        <f>VLOOKUP(Table3[[#This Row],[Employee No.]],Table1_1[[Employee No.]:[Shift]],9,FALSE)</f>
        <v>SHIFT A</v>
      </c>
      <c r="H70" s="25">
        <v>1</v>
      </c>
      <c r="I70" s="25">
        <v>1</v>
      </c>
      <c r="J70" s="25">
        <v>1</v>
      </c>
      <c r="K70" s="25">
        <v>1</v>
      </c>
      <c r="L70" s="25">
        <v>1</v>
      </c>
      <c r="M70" s="25">
        <v>1</v>
      </c>
    </row>
    <row r="71" spans="3:13">
      <c r="C71" s="22" t="s">
        <v>337</v>
      </c>
      <c r="D71" t="str">
        <f>VLOOKUP(Table3[[#This Row],[Employee No.]],Table1_1[[Employee No.]:[Employee Name]],2,FALSE)</f>
        <v>ALIF AIMAN BIN RUKININ</v>
      </c>
      <c r="E71" t="str">
        <f>VLOOKUP(Table3[[#This Row],[Employee No.]],Table1_1[[Employee No.]:[Department]],6,FALSE)</f>
        <v>DRILL</v>
      </c>
      <c r="F71" t="str">
        <f>VLOOKUP(Table3[[#This Row],[Employee No.]],Table1_1[[Employee No.]:[Gender]],7,FALSE)</f>
        <v>M</v>
      </c>
      <c r="G71" t="str">
        <f>VLOOKUP(Table3[[#This Row],[Employee No.]],Table1_1[[Employee No.]:[Shift]],9,FALSE)</f>
        <v>SHIFT A</v>
      </c>
      <c r="H71" s="25">
        <v>1</v>
      </c>
      <c r="I71" s="25">
        <v>1</v>
      </c>
      <c r="J71" s="25">
        <v>1</v>
      </c>
      <c r="K71" s="25">
        <v>1</v>
      </c>
      <c r="L71" s="25">
        <v>1</v>
      </c>
      <c r="M71" s="25">
        <v>1</v>
      </c>
    </row>
    <row r="72" spans="3:13">
      <c r="C72" s="22" t="s">
        <v>341</v>
      </c>
      <c r="D72" t="str">
        <f>VLOOKUP(Table3[[#This Row],[Employee No.]],Table1_1[[Employee No.]:[Employee Name]],2,FALSE)</f>
        <v>AMIRRUDDIN IBRAHIM</v>
      </c>
      <c r="E72" t="str">
        <f>VLOOKUP(Table3[[#This Row],[Employee No.]],Table1_1[[Employee No.]:[Department]],6,FALSE)</f>
        <v>ROUTER</v>
      </c>
      <c r="F72" t="str">
        <f>VLOOKUP(Table3[[#This Row],[Employee No.]],Table1_1[[Employee No.]:[Gender]],7,FALSE)</f>
        <v>M</v>
      </c>
      <c r="G72" t="str">
        <f>VLOOKUP(Table3[[#This Row],[Employee No.]],Table1_1[[Employee No.]:[Shift]],9,FALSE)</f>
        <v>SHIFT B</v>
      </c>
      <c r="H72" s="25">
        <v>1</v>
      </c>
      <c r="I72" s="25">
        <v>1</v>
      </c>
      <c r="J72" s="25">
        <v>1</v>
      </c>
      <c r="K72" s="25">
        <v>1</v>
      </c>
      <c r="L72" s="25">
        <v>1</v>
      </c>
      <c r="M72" s="25">
        <v>1</v>
      </c>
    </row>
    <row r="73" spans="3:13">
      <c r="C73" s="22" t="s">
        <v>345</v>
      </c>
      <c r="D73" t="str">
        <f>VLOOKUP(Table3[[#This Row],[Employee No.]],Table1_1[[Employee No.]:[Employee Name]],2,FALSE)</f>
        <v>ALIF AKMAL BIN HASBULLAH</v>
      </c>
      <c r="E73" t="str">
        <f>VLOOKUP(Table3[[#This Row],[Employee No.]],Table1_1[[Employee No.]:[Department]],6,FALSE)</f>
        <v>CU</v>
      </c>
      <c r="F73" t="str">
        <f>VLOOKUP(Table3[[#This Row],[Employee No.]],Table1_1[[Employee No.]:[Gender]],7,FALSE)</f>
        <v>M</v>
      </c>
      <c r="G73" t="str">
        <f>VLOOKUP(Table3[[#This Row],[Employee No.]],Table1_1[[Employee No.]:[Shift]],9,FALSE)</f>
        <v>SHIFT E</v>
      </c>
      <c r="H73" s="25">
        <v>0</v>
      </c>
      <c r="I73" s="25">
        <v>1</v>
      </c>
      <c r="J73" s="25">
        <v>1</v>
      </c>
      <c r="K73" s="25">
        <v>1</v>
      </c>
      <c r="L73" s="25">
        <v>1</v>
      </c>
      <c r="M73" s="25">
        <v>1</v>
      </c>
    </row>
    <row r="74" spans="3:13">
      <c r="C74" s="22" t="s">
        <v>349</v>
      </c>
      <c r="D74" t="str">
        <f>VLOOKUP(Table3[[#This Row],[Employee No.]],Table1_1[[Employee No.]:[Employee Name]],2,FALSE)</f>
        <v>IKMAL ISKANDAR BIN HISYAMUDIN</v>
      </c>
      <c r="E74" t="str">
        <f>VLOOKUP(Table3[[#This Row],[Employee No.]],Table1_1[[Employee No.]:[Department]],6,FALSE)</f>
        <v>DRILL</v>
      </c>
      <c r="F74" t="str">
        <f>VLOOKUP(Table3[[#This Row],[Employee No.]],Table1_1[[Employee No.]:[Gender]],7,FALSE)</f>
        <v>M</v>
      </c>
      <c r="G74" t="str">
        <f>VLOOKUP(Table3[[#This Row],[Employee No.]],Table1_1[[Employee No.]:[Shift]],9,FALSE)</f>
        <v>SHIFT B</v>
      </c>
      <c r="H74" s="25">
        <v>1</v>
      </c>
      <c r="I74" s="25">
        <v>1</v>
      </c>
      <c r="J74" s="25">
        <v>1</v>
      </c>
      <c r="K74" s="25">
        <v>1</v>
      </c>
      <c r="L74" s="25">
        <v>1</v>
      </c>
      <c r="M74" s="25">
        <v>1</v>
      </c>
    </row>
    <row r="75" spans="3:13">
      <c r="C75" s="22" t="s">
        <v>353</v>
      </c>
      <c r="D75" t="str">
        <f>VLOOKUP(Table3[[#This Row],[Employee No.]],Table1_1[[Employee No.]:[Employee Name]],2,FALSE)</f>
        <v>MOHAMMAD SHAFIQ DANISH BIN SHAHARUDIN</v>
      </c>
      <c r="E75" t="str">
        <f>VLOOKUP(Table3[[#This Row],[Employee No.]],Table1_1[[Employee No.]:[Department]],6,FALSE)</f>
        <v>ROUTER</v>
      </c>
      <c r="F75" t="str">
        <f>VLOOKUP(Table3[[#This Row],[Employee No.]],Table1_1[[Employee No.]:[Gender]],7,FALSE)</f>
        <v>M</v>
      </c>
      <c r="G75" t="str">
        <f>VLOOKUP(Table3[[#This Row],[Employee No.]],Table1_1[[Employee No.]:[Shift]],9,FALSE)</f>
        <v>SHIFT A</v>
      </c>
      <c r="H75" s="25">
        <v>1</v>
      </c>
      <c r="I75" s="25">
        <v>1</v>
      </c>
      <c r="J75" s="25">
        <v>1</v>
      </c>
      <c r="K75" s="25">
        <v>1</v>
      </c>
      <c r="L75" s="25">
        <v>1</v>
      </c>
      <c r="M75" s="25">
        <v>1</v>
      </c>
    </row>
    <row r="76" spans="3:13">
      <c r="C76" s="22" t="s">
        <v>357</v>
      </c>
      <c r="D76" t="str">
        <f>VLOOKUP(Table3[[#This Row],[Employee No.]],Table1_1[[Employee No.]:[Employee Name]],2,FALSE)</f>
        <v>MOHAMAD AL AMIN BIN MOHAMAD RADZI</v>
      </c>
      <c r="E76" t="str">
        <f>VLOOKUP(Table3[[#This Row],[Employee No.]],Table1_1[[Employee No.]:[Department]],6,FALSE)</f>
        <v>AOI</v>
      </c>
      <c r="F76" t="str">
        <f>VLOOKUP(Table3[[#This Row],[Employee No.]],Table1_1[[Employee No.]:[Gender]],7,FALSE)</f>
        <v>M</v>
      </c>
      <c r="G76" t="str">
        <f>VLOOKUP(Table3[[#This Row],[Employee No.]],Table1_1[[Employee No.]:[Shift]],9,FALSE)</f>
        <v>SHIFT B</v>
      </c>
      <c r="H76" s="25">
        <v>1</v>
      </c>
      <c r="I76" s="25">
        <v>1</v>
      </c>
      <c r="J76" s="25">
        <v>1</v>
      </c>
      <c r="K76" s="25">
        <v>1</v>
      </c>
      <c r="L76" s="25">
        <v>1</v>
      </c>
      <c r="M76" s="25">
        <v>1</v>
      </c>
    </row>
    <row r="77" spans="3:13">
      <c r="C77" s="22" t="s">
        <v>366</v>
      </c>
      <c r="D77" t="str">
        <f>VLOOKUP(Table3[[#This Row],[Employee No.]],Table1_1[[Employee No.]:[Employee Name]],2,FALSE)</f>
        <v>MUHAMMAD AZAM AFIF BIN MOHAMAD HALMI</v>
      </c>
      <c r="E77" t="str">
        <f>VLOOKUP(Table3[[#This Row],[Employee No.]],Table1_1[[Employee No.]:[Department]],6,FALSE)</f>
        <v>BBT</v>
      </c>
      <c r="F77" t="str">
        <f>VLOOKUP(Table3[[#This Row],[Employee No.]],Table1_1[[Employee No.]:[Gender]],7,FALSE)</f>
        <v>M</v>
      </c>
      <c r="G77" t="str">
        <f>VLOOKUP(Table3[[#This Row],[Employee No.]],Table1_1[[Employee No.]:[Shift]],9,FALSE)</f>
        <v>SHIFT E</v>
      </c>
      <c r="H77" s="25">
        <v>0</v>
      </c>
      <c r="I77" s="25">
        <v>1</v>
      </c>
      <c r="J77" s="25">
        <v>1</v>
      </c>
      <c r="K77" s="25">
        <v>1</v>
      </c>
      <c r="L77" s="25">
        <v>1</v>
      </c>
      <c r="M77" s="25">
        <v>1</v>
      </c>
    </row>
    <row r="78" spans="3:13">
      <c r="C78" s="22" t="s">
        <v>370</v>
      </c>
      <c r="D78" t="str">
        <f>VLOOKUP(Table3[[#This Row],[Employee No.]],Table1_1[[Employee No.]:[Employee Name]],2,FALSE)</f>
        <v>MOHAMAD AIMAN SYAFIK BIN HENDRY</v>
      </c>
      <c r="E78" t="str">
        <f>VLOOKUP(Table3[[#This Row],[Employee No.]],Table1_1[[Employee No.]:[Department]],6,FALSE)</f>
        <v>AU</v>
      </c>
      <c r="F78" t="str">
        <f>VLOOKUP(Table3[[#This Row],[Employee No.]],Table1_1[[Employee No.]:[Gender]],7,FALSE)</f>
        <v>M</v>
      </c>
      <c r="G78" t="str">
        <f>VLOOKUP(Table3[[#This Row],[Employee No.]],Table1_1[[Employee No.]:[Shift]],9,FALSE)</f>
        <v>SHIFT E</v>
      </c>
      <c r="H78" s="25">
        <v>0</v>
      </c>
      <c r="I78" s="25">
        <v>1</v>
      </c>
      <c r="J78" s="25">
        <v>1</v>
      </c>
      <c r="K78" s="25">
        <v>1</v>
      </c>
      <c r="L78" s="25">
        <v>1</v>
      </c>
      <c r="M78" s="25">
        <v>1</v>
      </c>
    </row>
    <row r="79" spans="3:13">
      <c r="C79" s="22" t="s">
        <v>374</v>
      </c>
      <c r="D79" t="str">
        <f>VLOOKUP(Table3[[#This Row],[Employee No.]],Table1_1[[Employee No.]:[Employee Name]],2,FALSE)</f>
        <v>MUHAMMAD KHAIRUL AMIR BIN A BAKAR</v>
      </c>
      <c r="E79" t="str">
        <f>VLOOKUP(Table3[[#This Row],[Employee No.]],Table1_1[[Employee No.]:[Department]],6,FALSE)</f>
        <v>SM</v>
      </c>
      <c r="F79" t="str">
        <f>VLOOKUP(Table3[[#This Row],[Employee No.]],Table1_1[[Employee No.]:[Gender]],7,FALSE)</f>
        <v>M</v>
      </c>
      <c r="G79" t="str">
        <f>VLOOKUP(Table3[[#This Row],[Employee No.]],Table1_1[[Employee No.]:[Shift]],9,FALSE)</f>
        <v>SHIFT E</v>
      </c>
      <c r="H79" s="25">
        <v>0</v>
      </c>
      <c r="I79" s="25">
        <v>1</v>
      </c>
      <c r="J79" s="25">
        <v>1</v>
      </c>
      <c r="K79" s="25">
        <v>1</v>
      </c>
      <c r="L79" s="25">
        <v>1</v>
      </c>
      <c r="M79" s="25">
        <v>1</v>
      </c>
    </row>
    <row r="80" spans="3:13">
      <c r="C80" s="22" t="s">
        <v>378</v>
      </c>
      <c r="D80" t="str">
        <f>VLOOKUP(Table3[[#This Row],[Employee No.]],Table1_1[[Employee No.]:[Employee Name]],2,FALSE)</f>
        <v>MOHD AIDIL FARID BIN MOHD NORDIN AZMAIN</v>
      </c>
      <c r="E80" t="str">
        <f>VLOOKUP(Table3[[#This Row],[Employee No.]],Table1_1[[Employee No.]:[Department]],6,FALSE)</f>
        <v>DF</v>
      </c>
      <c r="F80" t="str">
        <f>VLOOKUP(Table3[[#This Row],[Employee No.]],Table1_1[[Employee No.]:[Gender]],7,FALSE)</f>
        <v>M</v>
      </c>
      <c r="G80" t="str">
        <f>VLOOKUP(Table3[[#This Row],[Employee No.]],Table1_1[[Employee No.]:[Shift]],9,FALSE)</f>
        <v>SHIFT E</v>
      </c>
      <c r="H80" s="25">
        <v>0</v>
      </c>
      <c r="I80" s="25">
        <v>1</v>
      </c>
      <c r="J80" s="25">
        <v>1</v>
      </c>
      <c r="K80" s="25">
        <v>1</v>
      </c>
      <c r="L80" s="25">
        <v>1</v>
      </c>
      <c r="M80" s="25">
        <v>0</v>
      </c>
    </row>
    <row r="81" spans="3:16">
      <c r="C81" s="22" t="s">
        <v>382</v>
      </c>
      <c r="D81" t="str">
        <f>VLOOKUP(Table3[[#This Row],[Employee No.]],Table1_1[[Employee No.]:[Employee Name]],2,FALSE)</f>
        <v>MUHAMAD ZAQWAN BIN SALLEH</v>
      </c>
      <c r="E81" t="str">
        <f>VLOOKUP(Table3[[#This Row],[Employee No.]],Table1_1[[Employee No.]:[Department]],6,FALSE)</f>
        <v>CU</v>
      </c>
      <c r="F81" t="str">
        <f>VLOOKUP(Table3[[#This Row],[Employee No.]],Table1_1[[Employee No.]:[Gender]],7,FALSE)</f>
        <v>M</v>
      </c>
      <c r="G81" t="str">
        <f>VLOOKUP(Table3[[#This Row],[Employee No.]],Table1_1[[Employee No.]:[Shift]],9,FALSE)</f>
        <v>SHIFT E</v>
      </c>
      <c r="H81" s="25">
        <v>0</v>
      </c>
      <c r="I81" s="25">
        <v>1</v>
      </c>
      <c r="J81" s="25">
        <v>1</v>
      </c>
      <c r="K81" s="25">
        <v>1</v>
      </c>
      <c r="L81" s="25">
        <v>1</v>
      </c>
      <c r="M81" s="25">
        <v>1</v>
      </c>
    </row>
    <row r="82" spans="3:16">
      <c r="C82" s="22" t="s">
        <v>386</v>
      </c>
      <c r="D82" t="str">
        <f>VLOOKUP(Table3[[#This Row],[Employee No.]],Table1_1[[Employee No.]:[Employee Name]],2,FALSE)</f>
        <v>MUHAMMAD ASYRAF BIN AZMI</v>
      </c>
      <c r="E82" t="str">
        <f>VLOOKUP(Table3[[#This Row],[Employee No.]],Table1_1[[Employee No.]:[Department]],6,FALSE)</f>
        <v>DRILL</v>
      </c>
      <c r="F82" t="str">
        <f>VLOOKUP(Table3[[#This Row],[Employee No.]],Table1_1[[Employee No.]:[Gender]],7,FALSE)</f>
        <v>M</v>
      </c>
      <c r="G82" t="str">
        <f>VLOOKUP(Table3[[#This Row],[Employee No.]],Table1_1[[Employee No.]:[Shift]],9,FALSE)</f>
        <v>SHIFT C</v>
      </c>
      <c r="H82" s="25">
        <v>1</v>
      </c>
      <c r="I82" s="25">
        <v>1</v>
      </c>
      <c r="J82" s="25">
        <v>1</v>
      </c>
      <c r="K82" s="25">
        <v>1</v>
      </c>
      <c r="L82" s="25">
        <v>1</v>
      </c>
      <c r="M82" s="25">
        <v>1</v>
      </c>
      <c r="P82" s="25"/>
    </row>
    <row r="83" spans="3:16">
      <c r="C83" s="22" t="s">
        <v>390</v>
      </c>
      <c r="D83" t="str">
        <f>VLOOKUP(Table3[[#This Row],[Employee No.]],Table1_1[[Employee No.]:[Employee Name]],2,FALSE)</f>
        <v>NUR NAZIFAH BINTI MOHAMAD AZAHARI</v>
      </c>
      <c r="E83" t="str">
        <f>VLOOKUP(Table3[[#This Row],[Employee No.]],Table1_1[[Employee No.]:[Department]],6,FALSE)</f>
        <v>AOI</v>
      </c>
      <c r="F83" t="str">
        <f>VLOOKUP(Table3[[#This Row],[Employee No.]],Table1_1[[Employee No.]:[Gender]],7,FALSE)</f>
        <v>F</v>
      </c>
      <c r="G83" t="str">
        <f>VLOOKUP(Table3[[#This Row],[Employee No.]],Table1_1[[Employee No.]:[Shift]],9,FALSE)</f>
        <v>SHIFT A</v>
      </c>
      <c r="H83" s="25">
        <v>1</v>
      </c>
      <c r="I83" s="25">
        <v>1</v>
      </c>
      <c r="J83" s="25">
        <v>1</v>
      </c>
      <c r="K83" s="25">
        <v>1</v>
      </c>
      <c r="L83" s="25">
        <v>1</v>
      </c>
      <c r="M83" s="25">
        <v>1</v>
      </c>
    </row>
    <row r="84" spans="3:16">
      <c r="C84" s="22" t="s">
        <v>394</v>
      </c>
      <c r="D84" t="str">
        <f>VLOOKUP(Table3[[#This Row],[Employee No.]],Table1_1[[Employee No.]:[Employee Name]],2,FALSE)</f>
        <v>PUTRI NORAYUNI BINTI AZMI</v>
      </c>
      <c r="E84" t="str">
        <f>VLOOKUP(Table3[[#This Row],[Employee No.]],Table1_1[[Employee No.]:[Department]],6,FALSE)</f>
        <v>AOI</v>
      </c>
      <c r="F84" t="str">
        <f>VLOOKUP(Table3[[#This Row],[Employee No.]],Table1_1[[Employee No.]:[Gender]],7,FALSE)</f>
        <v>F</v>
      </c>
      <c r="G84" t="str">
        <f>VLOOKUP(Table3[[#This Row],[Employee No.]],Table1_1[[Employee No.]:[Shift]],9,FALSE)</f>
        <v>SHIFT E</v>
      </c>
      <c r="H84" s="25">
        <v>0</v>
      </c>
      <c r="I84" s="25">
        <v>1</v>
      </c>
      <c r="J84" s="25">
        <v>1</v>
      </c>
      <c r="K84" s="25">
        <v>1</v>
      </c>
      <c r="L84" s="25">
        <v>1</v>
      </c>
      <c r="M84" s="25">
        <v>1</v>
      </c>
    </row>
    <row r="85" spans="3:16">
      <c r="C85" s="22" t="s">
        <v>398</v>
      </c>
      <c r="D85" t="str">
        <f>VLOOKUP(Table3[[#This Row],[Employee No.]],Table1_1[[Employee No.]:[Employee Name]],2,FALSE)</f>
        <v>UMAR ZUHDI BIN MOHAMAD NASIR</v>
      </c>
      <c r="E85" t="str">
        <f>VLOOKUP(Table3[[#This Row],[Employee No.]],Table1_1[[Employee No.]:[Department]],6,FALSE)</f>
        <v>DRILL</v>
      </c>
      <c r="F85" t="str">
        <f>VLOOKUP(Table3[[#This Row],[Employee No.]],Table1_1[[Employee No.]:[Gender]],7,FALSE)</f>
        <v>M</v>
      </c>
      <c r="G85" t="str">
        <f>VLOOKUP(Table3[[#This Row],[Employee No.]],Table1_1[[Employee No.]:[Shift]],9,FALSE)</f>
        <v>SHIFT C</v>
      </c>
      <c r="H85" s="25">
        <v>1</v>
      </c>
      <c r="I85" s="25">
        <v>1</v>
      </c>
      <c r="J85" s="25">
        <v>1</v>
      </c>
      <c r="K85" s="25">
        <v>1</v>
      </c>
      <c r="L85" s="25">
        <v>1</v>
      </c>
      <c r="M85" s="25">
        <v>1</v>
      </c>
      <c r="P85" s="25"/>
    </row>
    <row r="86" spans="3:16">
      <c r="C86" s="22" t="s">
        <v>497</v>
      </c>
      <c r="D86" t="str">
        <f>VLOOKUP(Table3[[#This Row],[Employee No.]],Table1_1[[Employee No.]:[Employee Name]],2,FALSE)</f>
        <v>KAMALA KANNAN A/L KRISHNA DASS</v>
      </c>
      <c r="E86" t="str">
        <f>VLOOKUP(Table3[[#This Row],[Employee No.]],Table1_1[[Employee No.]:[Department]],6,FALSE)</f>
        <v>SM</v>
      </c>
      <c r="F86" t="str">
        <f>VLOOKUP(Table3[[#This Row],[Employee No.]],Table1_1[[Employee No.]:[Gender]],7,FALSE)</f>
        <v>M</v>
      </c>
      <c r="G86" t="str">
        <f>VLOOKUP(Table3[[#This Row],[Employee No.]],Table1_1[[Employee No.]:[Shift]],9,FALSE)</f>
        <v>SHIFT C</v>
      </c>
      <c r="H86" s="25">
        <v>1</v>
      </c>
      <c r="I86" s="25">
        <v>1</v>
      </c>
      <c r="J86" s="25">
        <v>1</v>
      </c>
      <c r="K86" s="25">
        <v>1</v>
      </c>
      <c r="L86" s="25">
        <v>1</v>
      </c>
      <c r="M86" s="25">
        <v>1</v>
      </c>
      <c r="P86" s="25"/>
    </row>
    <row r="87" spans="3:16">
      <c r="C87" s="22" t="s">
        <v>548</v>
      </c>
      <c r="D87" t="str">
        <f>VLOOKUP(Table3[[#This Row],[Employee No.]],Table1_1[[Employee No.]:[Employee Name]],2,FALSE)</f>
        <v>MUHAMMAD SHAFIQ BIN HARRISSUPRIONO</v>
      </c>
      <c r="E87" t="str">
        <f>VLOOKUP(Table3[[#This Row],[Employee No.]],Table1_1[[Employee No.]:[Department]],6,FALSE)</f>
        <v>MLB</v>
      </c>
      <c r="F87" t="str">
        <f>VLOOKUP(Table3[[#This Row],[Employee No.]],Table1_1[[Employee No.]:[Gender]],7,FALSE)</f>
        <v>M</v>
      </c>
      <c r="G87" t="str">
        <f>VLOOKUP(Table3[[#This Row],[Employee No.]],Table1_1[[Employee No.]:[Shift]],9,FALSE)</f>
        <v>SHIFT A</v>
      </c>
      <c r="H87" s="25">
        <v>1</v>
      </c>
      <c r="I87" s="25">
        <v>1</v>
      </c>
      <c r="J87" s="25">
        <v>1</v>
      </c>
      <c r="K87" s="25">
        <v>1</v>
      </c>
      <c r="L87" s="25">
        <v>1</v>
      </c>
      <c r="M87" s="25">
        <v>1</v>
      </c>
    </row>
    <row r="88" spans="3:16">
      <c r="C88" s="22" t="s">
        <v>666</v>
      </c>
      <c r="D88" t="str">
        <f>VLOOKUP(Table3[[#This Row],[Employee No.]],Table1_1[[Employee No.]:[Employee Name]],2,FALSE)</f>
        <v>MOHD FIRDAUS BIN AHMAD</v>
      </c>
      <c r="E88" t="str">
        <f>VLOOKUP(Table3[[#This Row],[Employee No.]],Table1_1[[Employee No.]:[Department]],6,FALSE)</f>
        <v>EQUIPMENT</v>
      </c>
      <c r="F88" t="str">
        <f>VLOOKUP(Table3[[#This Row],[Employee No.]],Table1_1[[Employee No.]:[Gender]],7,FALSE)</f>
        <v>M</v>
      </c>
      <c r="G88" t="str">
        <f>VLOOKUP(Table3[[#This Row],[Employee No.]],Table1_1[[Employee No.]:[Shift]],9,FALSE)</f>
        <v>SHIFT C</v>
      </c>
      <c r="H88" s="25">
        <v>1</v>
      </c>
      <c r="I88" s="25">
        <v>1</v>
      </c>
      <c r="J88" s="25">
        <v>1</v>
      </c>
      <c r="K88" s="25">
        <v>1</v>
      </c>
      <c r="L88" s="25">
        <v>0</v>
      </c>
      <c r="M88" s="25">
        <v>0</v>
      </c>
      <c r="P88" s="25"/>
    </row>
    <row r="89" spans="3:16">
      <c r="C89" s="22" t="s">
        <v>704</v>
      </c>
      <c r="D89" t="str">
        <f>VLOOKUP(Table3[[#This Row],[Employee No.]],Table1_1[[Employee No.]:[Employee Name]],2,FALSE)</f>
        <v>CHANDRASEGARAN A/L MUNIANDY</v>
      </c>
      <c r="E89" t="str">
        <f>VLOOKUP(Table3[[#This Row],[Employee No.]],Table1_1[[Employee No.]:[Department]],6,FALSE)</f>
        <v>FACILITY</v>
      </c>
      <c r="F89" t="str">
        <f>VLOOKUP(Table3[[#This Row],[Employee No.]],Table1_1[[Employee No.]:[Gender]],7,FALSE)</f>
        <v>M</v>
      </c>
      <c r="G89" t="str">
        <f>VLOOKUP(Table3[[#This Row],[Employee No.]],Table1_1[[Employee No.]:[Shift]],9,FALSE)</f>
        <v>SHIFT B</v>
      </c>
      <c r="H89" s="25">
        <v>1</v>
      </c>
      <c r="I89" s="25">
        <v>1</v>
      </c>
      <c r="J89" s="25">
        <v>1</v>
      </c>
      <c r="K89" s="25">
        <v>1</v>
      </c>
      <c r="L89" s="25">
        <v>1</v>
      </c>
      <c r="M89" s="25">
        <v>0</v>
      </c>
    </row>
    <row r="90" spans="3:16">
      <c r="C90" s="22" t="s">
        <v>731</v>
      </c>
      <c r="D90" t="str">
        <f>VLOOKUP(Table3[[#This Row],[Employee No.]],Table1_1[[Employee No.]:[Employee Name]],2,FALSE)</f>
        <v>MOHAMAD HANIFF BIN ATAN</v>
      </c>
      <c r="E90" t="str">
        <f>VLOOKUP(Table3[[#This Row],[Employee No.]],Table1_1[[Employee No.]:[Department]],6,FALSE)</f>
        <v>EQUIPMENT</v>
      </c>
      <c r="F90" t="str">
        <f>VLOOKUP(Table3[[#This Row],[Employee No.]],Table1_1[[Employee No.]:[Gender]],7,FALSE)</f>
        <v>M</v>
      </c>
      <c r="G90" t="str">
        <f>VLOOKUP(Table3[[#This Row],[Employee No.]],Table1_1[[Employee No.]:[Shift]],9,FALSE)</f>
        <v>SHIFT C</v>
      </c>
      <c r="H90" s="25">
        <v>1</v>
      </c>
      <c r="I90" s="25">
        <v>1</v>
      </c>
      <c r="J90" s="25">
        <v>1</v>
      </c>
      <c r="K90" s="25">
        <v>1</v>
      </c>
      <c r="L90" s="25">
        <v>1</v>
      </c>
      <c r="M90" s="25">
        <v>1</v>
      </c>
      <c r="P90" s="25"/>
    </row>
    <row r="91" spans="3:16">
      <c r="C91" s="22" t="s">
        <v>736</v>
      </c>
      <c r="D91" t="str">
        <f>VLOOKUP(Table3[[#This Row],[Employee No.]],Table1_1[[Employee No.]:[Employee Name]],2,FALSE)</f>
        <v>REZUWAN BIN MOHAMAD YUSOF</v>
      </c>
      <c r="E91" t="str">
        <f>VLOOKUP(Table3[[#This Row],[Employee No.]],Table1_1[[Employee No.]:[Department]],6,FALSE)</f>
        <v>RODI</v>
      </c>
      <c r="F91" t="str">
        <f>VLOOKUP(Table3[[#This Row],[Employee No.]],Table1_1[[Employee No.]:[Gender]],7,FALSE)</f>
        <v>M</v>
      </c>
      <c r="G91" t="str">
        <f>VLOOKUP(Table3[[#This Row],[Employee No.]],Table1_1[[Employee No.]:[Shift]],9,FALSE)</f>
        <v>SHIFT B</v>
      </c>
      <c r="H91" s="25">
        <v>1</v>
      </c>
      <c r="I91" s="25">
        <v>1</v>
      </c>
      <c r="J91" s="25">
        <v>1</v>
      </c>
      <c r="K91" s="25">
        <v>1</v>
      </c>
      <c r="L91" s="25">
        <v>1</v>
      </c>
      <c r="M91" s="25">
        <v>1</v>
      </c>
    </row>
    <row r="92" spans="3:16">
      <c r="C92" s="22" t="s">
        <v>742</v>
      </c>
      <c r="D92" t="str">
        <f>VLOOKUP(Table3[[#This Row],[Employee No.]],Table1_1[[Employee No.]:[Employee Name]],2,FALSE)</f>
        <v>MIMI AYUNI BINTI MAZLAN</v>
      </c>
      <c r="E92" t="str">
        <f>VLOOKUP(Table3[[#This Row],[Employee No.]],Table1_1[[Employee No.]:[Department]],6,FALSE)</f>
        <v>HS</v>
      </c>
      <c r="F92" t="str">
        <f>VLOOKUP(Table3[[#This Row],[Employee No.]],Table1_1[[Employee No.]:[Gender]],7,FALSE)</f>
        <v>F</v>
      </c>
      <c r="G92" t="str">
        <f>VLOOKUP(Table3[[#This Row],[Employee No.]],Table1_1[[Employee No.]:[Shift]],9,FALSE)</f>
        <v>SHIFT C</v>
      </c>
      <c r="H92" s="25">
        <v>1</v>
      </c>
      <c r="I92" s="25">
        <v>1</v>
      </c>
      <c r="J92" s="25">
        <v>1</v>
      </c>
      <c r="K92" s="25">
        <v>1</v>
      </c>
      <c r="L92" s="25">
        <v>1</v>
      </c>
      <c r="M92" s="25">
        <v>1</v>
      </c>
      <c r="P92" s="25"/>
    </row>
    <row r="93" spans="3:16">
      <c r="C93" s="22" t="s">
        <v>748</v>
      </c>
      <c r="D93" t="str">
        <f>VLOOKUP(Table3[[#This Row],[Employee No.]],Table1_1[[Employee No.]:[Employee Name]],2,FALSE)</f>
        <v>MOHD NOR SHAHRIL BIN JEKERI</v>
      </c>
      <c r="E93" t="str">
        <f>VLOOKUP(Table3[[#This Row],[Employee No.]],Table1_1[[Employee No.]:[Department]],6,FALSE)</f>
        <v>EQUIPMENT</v>
      </c>
      <c r="F93" t="str">
        <f>VLOOKUP(Table3[[#This Row],[Employee No.]],Table1_1[[Employee No.]:[Gender]],7,FALSE)</f>
        <v>M</v>
      </c>
      <c r="G93" t="str">
        <f>VLOOKUP(Table3[[#This Row],[Employee No.]],Table1_1[[Employee No.]:[Shift]],9,FALSE)</f>
        <v>SHIFT O</v>
      </c>
      <c r="H93" s="25">
        <v>0</v>
      </c>
      <c r="I93" s="25">
        <v>1</v>
      </c>
      <c r="J93" s="25">
        <v>1</v>
      </c>
      <c r="K93" s="25">
        <v>1</v>
      </c>
      <c r="L93" s="25">
        <v>1</v>
      </c>
      <c r="M93" s="25">
        <v>0</v>
      </c>
    </row>
    <row r="94" spans="3:16">
      <c r="C94" s="22" t="s">
        <v>753</v>
      </c>
      <c r="D94" t="str">
        <f>VLOOKUP(Table3[[#This Row],[Employee No.]],Table1_1[[Employee No.]:[Employee Name]],2,FALSE)</f>
        <v>AHMAD SYUKRIE BIN ABDUL RAMAN</v>
      </c>
      <c r="E94" t="str">
        <f>VLOOKUP(Table3[[#This Row],[Employee No.]],Table1_1[[Employee No.]:[Department]],6,FALSE)</f>
        <v>WAREHOUSE</v>
      </c>
      <c r="F94" t="str">
        <f>VLOOKUP(Table3[[#This Row],[Employee No.]],Table1_1[[Employee No.]:[Gender]],7,FALSE)</f>
        <v>M</v>
      </c>
      <c r="G94" t="str">
        <f>VLOOKUP(Table3[[#This Row],[Employee No.]],Table1_1[[Employee No.]:[Shift]],9,FALSE)</f>
        <v>SHIFT B</v>
      </c>
      <c r="H94" s="25">
        <v>1</v>
      </c>
      <c r="I94" s="25">
        <v>1</v>
      </c>
      <c r="J94" s="25">
        <v>1</v>
      </c>
      <c r="K94" s="25">
        <v>1</v>
      </c>
      <c r="L94" s="25">
        <v>1</v>
      </c>
      <c r="M94" s="25">
        <v>0</v>
      </c>
    </row>
    <row r="95" spans="3:16">
      <c r="C95" s="22" t="s">
        <v>760</v>
      </c>
      <c r="D95" t="str">
        <f>VLOOKUP(Table3[[#This Row],[Employee No.]],Table1_1[[Employee No.]:[Employee Name]],2,FALSE)</f>
        <v>MUHAMMAD NOOR AMIRRUL BIN HASSAN</v>
      </c>
      <c r="E95" t="str">
        <f>VLOOKUP(Table3[[#This Row],[Employee No.]],Table1_1[[Employee No.]:[Department]],6,FALSE)</f>
        <v>RODI</v>
      </c>
      <c r="F95" t="str">
        <f>VLOOKUP(Table3[[#This Row],[Employee No.]],Table1_1[[Employee No.]:[Gender]],7,FALSE)</f>
        <v>M</v>
      </c>
      <c r="G95" t="str">
        <f>VLOOKUP(Table3[[#This Row],[Employee No.]],Table1_1[[Employee No.]:[Shift]],9,FALSE)</f>
        <v>SHIFT C</v>
      </c>
      <c r="H95" s="25">
        <v>0</v>
      </c>
      <c r="I95" s="25">
        <v>0</v>
      </c>
      <c r="J95" s="25">
        <v>0</v>
      </c>
      <c r="K95" s="25">
        <v>0</v>
      </c>
      <c r="L95" s="25">
        <v>0</v>
      </c>
      <c r="M95" s="25">
        <v>0</v>
      </c>
      <c r="P95" s="25"/>
    </row>
    <row r="96" spans="3:16">
      <c r="C96" s="22" t="s">
        <v>766</v>
      </c>
      <c r="D96" t="str">
        <f>VLOOKUP(Table3[[#This Row],[Employee No.]],Table1_1[[Employee No.]:[Employee Name]],2,FALSE)</f>
        <v>MUHAMMAD AKMAL BIN AZIZAN</v>
      </c>
      <c r="E96" t="str">
        <f>VLOOKUP(Table3[[#This Row],[Employee No.]],Table1_1[[Employee No.]:[Department]],6,FALSE)</f>
        <v>RODI</v>
      </c>
      <c r="F96" t="str">
        <f>VLOOKUP(Table3[[#This Row],[Employee No.]],Table1_1[[Employee No.]:[Gender]],7,FALSE)</f>
        <v>M</v>
      </c>
      <c r="G96" t="str">
        <f>VLOOKUP(Table3[[#This Row],[Employee No.]],Table1_1[[Employee No.]:[Shift]],9,FALSE)</f>
        <v>SHIFT A</v>
      </c>
      <c r="H96" s="25">
        <v>1</v>
      </c>
      <c r="I96" s="25">
        <v>1</v>
      </c>
      <c r="J96" s="25">
        <v>1</v>
      </c>
      <c r="K96" s="25">
        <v>1</v>
      </c>
      <c r="L96" s="25">
        <v>1</v>
      </c>
      <c r="M96" s="25">
        <v>1</v>
      </c>
    </row>
    <row r="97" spans="3:16">
      <c r="C97" s="22" t="s">
        <v>770</v>
      </c>
      <c r="D97" t="str">
        <f>VLOOKUP(Table3[[#This Row],[Employee No.]],Table1_1[[Employee No.]:[Employee Name]],2,FALSE)</f>
        <v>MUHAMMAD ZULHELMY BIN HARDI</v>
      </c>
      <c r="E97" t="str">
        <f>VLOOKUP(Table3[[#This Row],[Employee No.]],Table1_1[[Employee No.]:[Department]],6,FALSE)</f>
        <v>WAREHOUSE</v>
      </c>
      <c r="F97" t="str">
        <f>VLOOKUP(Table3[[#This Row],[Employee No.]],Table1_1[[Employee No.]:[Gender]],7,FALSE)</f>
        <v>M</v>
      </c>
      <c r="G97" t="str">
        <f>VLOOKUP(Table3[[#This Row],[Employee No.]],Table1_1[[Employee No.]:[Shift]],9,FALSE)</f>
        <v>SHIFT C</v>
      </c>
      <c r="H97" s="25">
        <v>1</v>
      </c>
      <c r="I97" s="25">
        <v>1</v>
      </c>
      <c r="J97" s="25">
        <v>1</v>
      </c>
      <c r="K97" s="25">
        <v>1</v>
      </c>
      <c r="L97" s="25">
        <v>1</v>
      </c>
      <c r="M97" s="25">
        <v>1</v>
      </c>
      <c r="P97" s="25"/>
    </row>
    <row r="98" spans="3:16">
      <c r="C98" s="22" t="s">
        <v>774</v>
      </c>
      <c r="D98" t="str">
        <f>VLOOKUP(Table3[[#This Row],[Employee No.]],Table1_1[[Employee No.]:[Employee Name]],2,FALSE)</f>
        <v>AMIR HASSANI BIN MOHAMAD ROSLI</v>
      </c>
      <c r="E98" t="str">
        <f>VLOOKUP(Table3[[#This Row],[Employee No.]],Table1_1[[Employee No.]:[Department]],6,FALSE)</f>
        <v>HS</v>
      </c>
      <c r="F98" t="str">
        <f>VLOOKUP(Table3[[#This Row],[Employee No.]],Table1_1[[Employee No.]:[Gender]],7,FALSE)</f>
        <v>M</v>
      </c>
      <c r="G98" t="str">
        <f>VLOOKUP(Table3[[#This Row],[Employee No.]],Table1_1[[Employee No.]:[Shift]],9,FALSE)</f>
        <v>SHIFT B</v>
      </c>
      <c r="H98" s="25">
        <v>1</v>
      </c>
      <c r="I98" s="25">
        <v>1</v>
      </c>
      <c r="J98" s="25">
        <v>1</v>
      </c>
      <c r="K98" s="25">
        <v>1</v>
      </c>
      <c r="L98" s="25">
        <v>1</v>
      </c>
      <c r="M98" s="25">
        <v>1</v>
      </c>
    </row>
    <row r="99" spans="3:16">
      <c r="C99" s="22" t="s">
        <v>783</v>
      </c>
      <c r="D99" t="str">
        <f>VLOOKUP(Table3[[#This Row],[Employee No.]],Table1_1[[Employee No.]:[Employee Name]],2,FALSE)</f>
        <v>MUHAMMAD HAFIZ BIN IBRAHIM</v>
      </c>
      <c r="E99" t="str">
        <f>VLOOKUP(Table3[[#This Row],[Employee No.]],Table1_1[[Employee No.]:[Department]],6,FALSE)</f>
        <v>FACILITY</v>
      </c>
      <c r="F99" t="str">
        <f>VLOOKUP(Table3[[#This Row],[Employee No.]],Table1_1[[Employee No.]:[Gender]],7,FALSE)</f>
        <v>M</v>
      </c>
      <c r="G99" t="str">
        <f>VLOOKUP(Table3[[#This Row],[Employee No.]],Table1_1[[Employee No.]:[Shift]],9,FALSE)</f>
        <v>SHIFT C</v>
      </c>
      <c r="H99" s="25">
        <v>1</v>
      </c>
      <c r="I99" s="25">
        <v>1</v>
      </c>
      <c r="J99" s="25">
        <v>1</v>
      </c>
      <c r="K99" s="25">
        <v>1</v>
      </c>
      <c r="L99" s="25">
        <v>1</v>
      </c>
      <c r="M99" s="25">
        <v>1</v>
      </c>
      <c r="P99" s="25"/>
    </row>
    <row r="100" spans="3:16">
      <c r="C100" s="22" t="s">
        <v>787</v>
      </c>
      <c r="D100" t="str">
        <f>VLOOKUP(Table3[[#This Row],[Employee No.]],Table1_1[[Employee No.]:[Employee Name]],2,FALSE)</f>
        <v>MOHD SYAHMI BIN SUID</v>
      </c>
      <c r="E100" t="str">
        <f>VLOOKUP(Table3[[#This Row],[Employee No.]],Table1_1[[Employee No.]:[Department]],6,FALSE)</f>
        <v>ENVIRONMENT</v>
      </c>
      <c r="F100" t="str">
        <f>VLOOKUP(Table3[[#This Row],[Employee No.]],Table1_1[[Employee No.]:[Gender]],7,FALSE)</f>
        <v>M</v>
      </c>
      <c r="G100" t="str">
        <f>VLOOKUP(Table3[[#This Row],[Employee No.]],Table1_1[[Employee No.]:[Shift]],9,FALSE)</f>
        <v>SHIFT B</v>
      </c>
      <c r="H100" s="25">
        <v>1</v>
      </c>
      <c r="I100" s="25">
        <v>1</v>
      </c>
      <c r="J100" s="25">
        <v>1</v>
      </c>
      <c r="K100" s="25">
        <v>1</v>
      </c>
      <c r="L100" s="25">
        <v>1</v>
      </c>
      <c r="M100" s="25">
        <v>1</v>
      </c>
    </row>
    <row r="101" spans="3:16">
      <c r="C101" s="22" t="s">
        <v>791</v>
      </c>
      <c r="D101" t="str">
        <f>VLOOKUP(Table3[[#This Row],[Employee No.]],Table1_1[[Employee No.]:[Employee Name]],2,FALSE)</f>
        <v>NAZRIN BIN AHMAD POWAB</v>
      </c>
      <c r="E101" t="str">
        <f>VLOOKUP(Table3[[#This Row],[Employee No.]],Table1_1[[Employee No.]:[Department]],6,FALSE)</f>
        <v>ENVIRONMENT</v>
      </c>
      <c r="F101" t="str">
        <f>VLOOKUP(Table3[[#This Row],[Employee No.]],Table1_1[[Employee No.]:[Gender]],7,FALSE)</f>
        <v>M</v>
      </c>
      <c r="G101" t="str">
        <f>VLOOKUP(Table3[[#This Row],[Employee No.]],Table1_1[[Employee No.]:[Shift]],9,FALSE)</f>
        <v>SHIFT A</v>
      </c>
      <c r="H101" s="25">
        <v>1</v>
      </c>
      <c r="I101" s="25">
        <v>1</v>
      </c>
      <c r="J101" s="25">
        <v>1</v>
      </c>
      <c r="K101" s="25">
        <v>1</v>
      </c>
      <c r="L101" s="25">
        <v>1</v>
      </c>
      <c r="M101" s="25">
        <v>1</v>
      </c>
    </row>
    <row r="102" spans="3:16">
      <c r="C102" s="22" t="s">
        <v>800</v>
      </c>
      <c r="D102" t="str">
        <f>VLOOKUP(Table3[[#This Row],[Employee No.]],Table1_1[[Employee No.]:[Employee Name]],2,FALSE)</f>
        <v>NURUL AISYA BINTI MOHAMAD SAKANA</v>
      </c>
      <c r="E102" t="str">
        <f>VLOOKUP(Table3[[#This Row],[Employee No.]],Table1_1[[Employee No.]:[Department]],6,FALSE)</f>
        <v>HS</v>
      </c>
      <c r="F102" t="str">
        <f>VLOOKUP(Table3[[#This Row],[Employee No.]],Table1_1[[Employee No.]:[Gender]],7,FALSE)</f>
        <v>F</v>
      </c>
      <c r="G102" t="str">
        <f>VLOOKUP(Table3[[#This Row],[Employee No.]],Table1_1[[Employee No.]:[Shift]],9,FALSE)</f>
        <v>SHIFT B</v>
      </c>
      <c r="H102" s="25">
        <v>1</v>
      </c>
      <c r="I102" s="25">
        <v>1</v>
      </c>
      <c r="J102" s="25">
        <v>1</v>
      </c>
      <c r="K102" s="25">
        <v>1</v>
      </c>
      <c r="L102" s="25">
        <v>1</v>
      </c>
      <c r="M102" s="25">
        <v>1</v>
      </c>
    </row>
    <row r="103" spans="3:16">
      <c r="C103" s="22" t="s">
        <v>804</v>
      </c>
      <c r="D103" t="str">
        <f>VLOOKUP(Table3[[#This Row],[Employee No.]],Table1_1[[Employee No.]:[Employee Name]],2,FALSE)</f>
        <v>LUQMAN HANIF BIN MHD ASLAN</v>
      </c>
      <c r="E103" t="str">
        <f>VLOOKUP(Table3[[#This Row],[Employee No.]],Table1_1[[Employee No.]:[Department]],6,FALSE)</f>
        <v>HS</v>
      </c>
      <c r="F103" t="str">
        <f>VLOOKUP(Table3[[#This Row],[Employee No.]],Table1_1[[Employee No.]:[Gender]],7,FALSE)</f>
        <v>M</v>
      </c>
      <c r="G103" t="str">
        <f>VLOOKUP(Table3[[#This Row],[Employee No.]],Table1_1[[Employee No.]:[Shift]],9,FALSE)</f>
        <v>SHIFT B</v>
      </c>
      <c r="H103" s="25">
        <v>1</v>
      </c>
      <c r="I103" s="25">
        <v>1</v>
      </c>
      <c r="J103" s="25">
        <v>1</v>
      </c>
      <c r="K103" s="25">
        <v>1</v>
      </c>
      <c r="L103" s="25">
        <v>1</v>
      </c>
      <c r="M103" s="25">
        <v>1</v>
      </c>
    </row>
    <row r="104" spans="3:16">
      <c r="C104" s="22" t="s">
        <v>828</v>
      </c>
      <c r="D104" t="str">
        <f>VLOOKUP(Table3[[#This Row],[Employee No.]],Table1_1[[Employee No.]:[Employee Name]],2,FALSE)</f>
        <v>NOR AMIRA BINTI ABIDIN</v>
      </c>
      <c r="E104" t="str">
        <f>VLOOKUP(Table3[[#This Row],[Employee No.]],Table1_1[[Employee No.]:[Department]],6,FALSE)</f>
        <v>QUALITY</v>
      </c>
      <c r="F104" t="str">
        <f>VLOOKUP(Table3[[#This Row],[Employee No.]],Table1_1[[Employee No.]:[Gender]],7,FALSE)</f>
        <v>F</v>
      </c>
      <c r="G104" t="str">
        <f>VLOOKUP(Table3[[#This Row],[Employee No.]],Table1_1[[Employee No.]:[Shift]],9,FALSE)</f>
        <v>SHIFT C</v>
      </c>
      <c r="H104" s="25">
        <v>1</v>
      </c>
      <c r="I104" s="25">
        <v>1</v>
      </c>
      <c r="J104" s="25">
        <v>1</v>
      </c>
      <c r="K104" s="25">
        <v>1</v>
      </c>
      <c r="L104" s="25">
        <v>1</v>
      </c>
      <c r="M104" s="25">
        <v>1</v>
      </c>
      <c r="P104" s="25"/>
    </row>
    <row r="105" spans="3:16">
      <c r="C105" s="22" t="s">
        <v>839</v>
      </c>
      <c r="D105" t="str">
        <f>VLOOKUP(Table3[[#This Row],[Employee No.]],Table1_1[[Employee No.]:[Employee Name]],2,FALSE)</f>
        <v>KAVILAN A/L ANNAMALAI</v>
      </c>
      <c r="E105" t="str">
        <f>VLOOKUP(Table3[[#This Row],[Employee No.]],Table1_1[[Employee No.]:[Department]],6,FALSE)</f>
        <v>FACILITY</v>
      </c>
      <c r="F105" t="str">
        <f>VLOOKUP(Table3[[#This Row],[Employee No.]],Table1_1[[Employee No.]:[Gender]],7,FALSE)</f>
        <v>M</v>
      </c>
      <c r="G105" t="str">
        <f>VLOOKUP(Table3[[#This Row],[Employee No.]],Table1_1[[Employee No.]:[Shift]],9,FALSE)</f>
        <v>SHIFT B</v>
      </c>
      <c r="H105" s="25">
        <v>1</v>
      </c>
      <c r="I105" s="25">
        <v>1</v>
      </c>
      <c r="J105" s="25">
        <v>1</v>
      </c>
      <c r="K105" s="25">
        <v>1</v>
      </c>
      <c r="L105" s="25">
        <v>1</v>
      </c>
      <c r="M105" s="25">
        <v>0</v>
      </c>
    </row>
    <row r="106" spans="3:16">
      <c r="C106" s="22" t="s">
        <v>843</v>
      </c>
      <c r="D106" t="str">
        <f>VLOOKUP(Table3[[#This Row],[Employee No.]],Table1_1[[Employee No.]:[Employee Name]],2,FALSE)</f>
        <v>MUHAMMAD SHAMIER BIN AMEERDEEN</v>
      </c>
      <c r="E106" t="str">
        <f>VLOOKUP(Table3[[#This Row],[Employee No.]],Table1_1[[Employee No.]:[Department]],6,FALSE)</f>
        <v>ENVIRONMENT</v>
      </c>
      <c r="F106" t="str">
        <f>VLOOKUP(Table3[[#This Row],[Employee No.]],Table1_1[[Employee No.]:[Gender]],7,FALSE)</f>
        <v>M</v>
      </c>
      <c r="G106" t="str">
        <f>VLOOKUP(Table3[[#This Row],[Employee No.]],Table1_1[[Employee No.]:[Shift]],9,FALSE)</f>
        <v>SHIFT C</v>
      </c>
      <c r="H106" s="25">
        <v>1</v>
      </c>
      <c r="I106" s="25">
        <v>1</v>
      </c>
      <c r="J106" s="25">
        <v>1</v>
      </c>
      <c r="K106" s="25">
        <v>1</v>
      </c>
      <c r="L106" s="25">
        <v>1</v>
      </c>
      <c r="M106" s="25">
        <v>1</v>
      </c>
      <c r="P106" s="25"/>
    </row>
    <row r="107" spans="3:16">
      <c r="C107" s="22" t="s">
        <v>847</v>
      </c>
      <c r="D107" t="str">
        <f>VLOOKUP(Table3[[#This Row],[Employee No.]],Table1_1[[Employee No.]:[Employee Name]],2,FALSE)</f>
        <v>MOHD AFFENDY BIN MANAP</v>
      </c>
      <c r="E107" t="str">
        <f>VLOOKUP(Table3[[#This Row],[Employee No.]],Table1_1[[Employee No.]:[Department]],6,FALSE)</f>
        <v>FACILITY</v>
      </c>
      <c r="F107" t="str">
        <f>VLOOKUP(Table3[[#This Row],[Employee No.]],Table1_1[[Employee No.]:[Gender]],7,FALSE)</f>
        <v>M</v>
      </c>
      <c r="G107" t="str">
        <f>VLOOKUP(Table3[[#This Row],[Employee No.]],Table1_1[[Employee No.]:[Shift]],9,FALSE)</f>
        <v>SHIFT C</v>
      </c>
      <c r="H107" s="25">
        <v>1</v>
      </c>
      <c r="I107" s="25">
        <v>1</v>
      </c>
      <c r="J107" s="25">
        <v>1</v>
      </c>
      <c r="K107" s="25">
        <v>1</v>
      </c>
      <c r="L107" s="25">
        <v>1</v>
      </c>
      <c r="M107" s="25">
        <v>1</v>
      </c>
      <c r="P107" s="25"/>
    </row>
    <row r="108" spans="3:16">
      <c r="C108" s="22" t="s">
        <v>850</v>
      </c>
      <c r="D108" t="str">
        <f>VLOOKUP(Table3[[#This Row],[Employee No.]],Table1_1[[Employee No.]:[Employee Name]],2,FALSE)</f>
        <v>SHANGKAR A/L GUNASEELAN</v>
      </c>
      <c r="E108" t="str">
        <f>VLOOKUP(Table3[[#This Row],[Employee No.]],Table1_1[[Employee No.]:[Department]],6,FALSE)</f>
        <v>FACILITY</v>
      </c>
      <c r="F108" t="str">
        <f>VLOOKUP(Table3[[#This Row],[Employee No.]],Table1_1[[Employee No.]:[Gender]],7,FALSE)</f>
        <v>M</v>
      </c>
      <c r="G108" t="str">
        <f>VLOOKUP(Table3[[#This Row],[Employee No.]],Table1_1[[Employee No.]:[Shift]],9,FALSE)</f>
        <v>SHIFT A</v>
      </c>
      <c r="H108" s="25">
        <v>1</v>
      </c>
      <c r="I108" s="25">
        <v>1</v>
      </c>
      <c r="J108" s="25">
        <v>1</v>
      </c>
      <c r="K108" s="25">
        <v>1</v>
      </c>
      <c r="L108" s="25">
        <v>1</v>
      </c>
      <c r="M108" s="25">
        <v>1</v>
      </c>
    </row>
    <row r="109" spans="3:16">
      <c r="C109" s="22" t="s">
        <v>854</v>
      </c>
      <c r="D109" t="str">
        <f>VLOOKUP(Table3[[#This Row],[Employee No.]],Table1_1[[Employee No.]:[Employee Name]],2,FALSE)</f>
        <v>MURUGES A/L THIAGARAJAN</v>
      </c>
      <c r="E109" t="str">
        <f>VLOOKUP(Table3[[#This Row],[Employee No.]],Table1_1[[Employee No.]:[Department]],6,FALSE)</f>
        <v>FACILITY</v>
      </c>
      <c r="F109" t="str">
        <f>VLOOKUP(Table3[[#This Row],[Employee No.]],Table1_1[[Employee No.]:[Gender]],7,FALSE)</f>
        <v>M</v>
      </c>
      <c r="G109" t="str">
        <f>VLOOKUP(Table3[[#This Row],[Employee No.]],Table1_1[[Employee No.]:[Shift]],9,FALSE)</f>
        <v>SHIFT C</v>
      </c>
      <c r="H109" s="25">
        <v>1</v>
      </c>
      <c r="I109" s="25">
        <v>1</v>
      </c>
      <c r="J109" s="25">
        <v>1</v>
      </c>
      <c r="K109" s="25">
        <v>1</v>
      </c>
      <c r="L109" s="25">
        <v>1</v>
      </c>
      <c r="M109" s="25">
        <v>1</v>
      </c>
      <c r="P109" s="25"/>
    </row>
    <row r="110" spans="3:16">
      <c r="C110" s="22" t="s">
        <v>858</v>
      </c>
      <c r="D110" t="str">
        <f>VLOOKUP(Table3[[#This Row],[Employee No.]],Table1_1[[Employee No.]:[Employee Name]],2,FALSE)</f>
        <v>MOHAMAD AMZAR BIN JAFRI</v>
      </c>
      <c r="E110" t="str">
        <f>VLOOKUP(Table3[[#This Row],[Employee No.]],Table1_1[[Employee No.]:[Department]],6,FALSE)</f>
        <v>EQUIPMENT</v>
      </c>
      <c r="F110" t="str">
        <f>VLOOKUP(Table3[[#This Row],[Employee No.]],Table1_1[[Employee No.]:[Gender]],7,FALSE)</f>
        <v>M</v>
      </c>
      <c r="G110" t="str">
        <f>VLOOKUP(Table3[[#This Row],[Employee No.]],Table1_1[[Employee No.]:[Shift]],9,FALSE)</f>
        <v>SHIFT B</v>
      </c>
      <c r="H110" s="25">
        <v>1</v>
      </c>
      <c r="I110" s="25">
        <v>1</v>
      </c>
      <c r="J110" s="25">
        <v>1</v>
      </c>
      <c r="K110" s="25">
        <v>1</v>
      </c>
      <c r="L110" s="25">
        <v>1</v>
      </c>
      <c r="M110" s="25">
        <v>0</v>
      </c>
    </row>
    <row r="111" spans="3:16">
      <c r="C111" s="22" t="s">
        <v>864</v>
      </c>
      <c r="D111" t="str">
        <f>VLOOKUP(Table3[[#This Row],[Employee No.]],Table1_1[[Employee No.]:[Employee Name]],2,FALSE)</f>
        <v>MOHAMAD AIMAN NADZMIE BIN YAHAYA</v>
      </c>
      <c r="E111" t="str">
        <f>VLOOKUP(Table3[[#This Row],[Employee No.]],Table1_1[[Employee No.]:[Department]],6,FALSE)</f>
        <v>EQUIPMENT</v>
      </c>
      <c r="F111" t="str">
        <f>VLOOKUP(Table3[[#This Row],[Employee No.]],Table1_1[[Employee No.]:[Gender]],7,FALSE)</f>
        <v>M</v>
      </c>
      <c r="G111" t="str">
        <f>VLOOKUP(Table3[[#This Row],[Employee No.]],Table1_1[[Employee No.]:[Shift]],9,FALSE)</f>
        <v>SHIFT B</v>
      </c>
      <c r="H111" s="25">
        <v>1</v>
      </c>
      <c r="I111" s="25">
        <v>1</v>
      </c>
      <c r="J111" s="25">
        <v>1</v>
      </c>
      <c r="K111" s="25">
        <v>1</v>
      </c>
      <c r="L111" s="25">
        <v>1</v>
      </c>
      <c r="M111" s="25">
        <v>0</v>
      </c>
    </row>
    <row r="112" spans="3:16">
      <c r="C112" s="22" t="s">
        <v>868</v>
      </c>
      <c r="D112" t="str">
        <f>VLOOKUP(Table3[[#This Row],[Employee No.]],Table1_1[[Employee No.]:[Employee Name]],2,FALSE)</f>
        <v>MOHD FAIZAL BIN ABD RAHIM</v>
      </c>
      <c r="E112" t="str">
        <f>VLOOKUP(Table3[[#This Row],[Employee No.]],Table1_1[[Employee No.]:[Department]],6,FALSE)</f>
        <v>FACILITY</v>
      </c>
      <c r="F112" t="str">
        <f>VLOOKUP(Table3[[#This Row],[Employee No.]],Table1_1[[Employee No.]:[Gender]],7,FALSE)</f>
        <v>M</v>
      </c>
      <c r="G112" t="str">
        <f>VLOOKUP(Table3[[#This Row],[Employee No.]],Table1_1[[Employee No.]:[Shift]],9,FALSE)</f>
        <v>SHIFT B</v>
      </c>
      <c r="H112" s="25">
        <v>1</v>
      </c>
      <c r="I112" s="25">
        <v>1</v>
      </c>
      <c r="J112" s="25">
        <v>1</v>
      </c>
      <c r="K112" s="25">
        <v>1</v>
      </c>
      <c r="L112" s="25">
        <v>1</v>
      </c>
      <c r="M112" s="25">
        <v>0</v>
      </c>
    </row>
    <row r="113" spans="3:16">
      <c r="C113" s="22" t="s">
        <v>874</v>
      </c>
      <c r="D113" t="str">
        <f>VLOOKUP(Table3[[#This Row],[Employee No.]],Table1_1[[Employee No.]:[Employee Name]],2,FALSE)</f>
        <v>MUHAMMAD ADHHA BIN AYOB</v>
      </c>
      <c r="E113" t="str">
        <f>VLOOKUP(Table3[[#This Row],[Employee No.]],Table1_1[[Employee No.]:[Department]],6,FALSE)</f>
        <v>EQUIPMENT</v>
      </c>
      <c r="F113" t="str">
        <f>VLOOKUP(Table3[[#This Row],[Employee No.]],Table1_1[[Employee No.]:[Gender]],7,FALSE)</f>
        <v>M</v>
      </c>
      <c r="G113" t="str">
        <f>VLOOKUP(Table3[[#This Row],[Employee No.]],Table1_1[[Employee No.]:[Shift]],9,FALSE)</f>
        <v>SHIFT B</v>
      </c>
      <c r="H113" s="25">
        <v>1</v>
      </c>
      <c r="I113" s="25">
        <v>1</v>
      </c>
      <c r="J113" s="25">
        <v>1</v>
      </c>
      <c r="K113" s="25">
        <v>1</v>
      </c>
      <c r="L113" s="25">
        <v>1</v>
      </c>
      <c r="M113" s="25">
        <v>0</v>
      </c>
    </row>
    <row r="114" spans="3:16">
      <c r="C114" s="22" t="s">
        <v>878</v>
      </c>
      <c r="D114" t="str">
        <f>VLOOKUP(Table3[[#This Row],[Employee No.]],Table1_1[[Employee No.]:[Employee Name]],2,FALSE)</f>
        <v>N.SATKUNANATHAN A/L R.NAGANATHAN</v>
      </c>
      <c r="E114" t="str">
        <f>VLOOKUP(Table3[[#This Row],[Employee No.]],Table1_1[[Employee No.]:[Department]],6,FALSE)</f>
        <v>WAREHOUSE</v>
      </c>
      <c r="F114" t="str">
        <f>VLOOKUP(Table3[[#This Row],[Employee No.]],Table1_1[[Employee No.]:[Gender]],7,FALSE)</f>
        <v>M</v>
      </c>
      <c r="G114" t="str">
        <f>VLOOKUP(Table3[[#This Row],[Employee No.]],Table1_1[[Employee No.]:[Shift]],9,FALSE)</f>
        <v>SHIFT A</v>
      </c>
      <c r="H114" s="25">
        <v>1</v>
      </c>
      <c r="I114" s="25">
        <v>1</v>
      </c>
      <c r="J114" s="25">
        <v>1</v>
      </c>
      <c r="K114" s="25">
        <v>1</v>
      </c>
      <c r="L114" s="25">
        <v>1</v>
      </c>
      <c r="M114" s="25">
        <v>1</v>
      </c>
    </row>
    <row r="115" spans="3:16">
      <c r="C115" s="22" t="s">
        <v>883</v>
      </c>
      <c r="D115" t="str">
        <f>VLOOKUP(Table3[[#This Row],[Employee No.]],Table1_1[[Employee No.]:[Employee Name]],2,FALSE)</f>
        <v>MOHAMMAD NAJHAN BIN RUSLAN</v>
      </c>
      <c r="E115" t="str">
        <f>VLOOKUP(Table3[[#This Row],[Employee No.]],Table1_1[[Employee No.]:[Department]],6,FALSE)</f>
        <v>HS</v>
      </c>
      <c r="F115" t="str">
        <f>VLOOKUP(Table3[[#This Row],[Employee No.]],Table1_1[[Employee No.]:[Gender]],7,FALSE)</f>
        <v>M</v>
      </c>
      <c r="G115" t="str">
        <f>VLOOKUP(Table3[[#This Row],[Employee No.]],Table1_1[[Employee No.]:[Shift]],9,FALSE)</f>
        <v>SHIFT A</v>
      </c>
      <c r="H115" s="25">
        <v>0</v>
      </c>
      <c r="I115" s="25">
        <v>0</v>
      </c>
      <c r="J115" s="25">
        <v>1</v>
      </c>
      <c r="K115" s="25">
        <v>1</v>
      </c>
      <c r="L115" s="25">
        <v>1</v>
      </c>
      <c r="M115" s="25">
        <v>0</v>
      </c>
    </row>
    <row r="116" spans="3:16">
      <c r="C116" s="22" t="s">
        <v>902</v>
      </c>
      <c r="D116" t="str">
        <f>VLOOKUP(Table3[[#This Row],[Employee No.]],Table1_1[[Employee No.]:[Employee Name]],2,FALSE)</f>
        <v>AHMAD BADRUL AMIR BIN MOKHTAR</v>
      </c>
      <c r="E116" t="str">
        <f>VLOOKUP(Table3[[#This Row],[Employee No.]],Table1_1[[Employee No.]:[Department]],6,FALSE)</f>
        <v>FACILITY</v>
      </c>
      <c r="F116" t="str">
        <f>VLOOKUP(Table3[[#This Row],[Employee No.]],Table1_1[[Employee No.]:[Gender]],7,FALSE)</f>
        <v>M</v>
      </c>
      <c r="G116" t="str">
        <f>VLOOKUP(Table3[[#This Row],[Employee No.]],Table1_1[[Employee No.]:[Shift]],9,FALSE)</f>
        <v>SHIFT B</v>
      </c>
      <c r="H116" s="25">
        <v>1</v>
      </c>
      <c r="I116" s="25">
        <v>1</v>
      </c>
      <c r="J116" s="25">
        <v>1</v>
      </c>
      <c r="K116" s="25">
        <v>1</v>
      </c>
      <c r="L116" s="25">
        <v>1</v>
      </c>
      <c r="M116" s="25">
        <v>0</v>
      </c>
    </row>
    <row r="117" spans="3:16">
      <c r="C117" s="22" t="s">
        <v>909</v>
      </c>
      <c r="D117" t="str">
        <f>VLOOKUP(Table3[[#This Row],[Employee No.]],Table1_1[[Employee No.]:[Employee Name]],2,FALSE)</f>
        <v>CHARRIN A/L AI SENG</v>
      </c>
      <c r="E117" t="str">
        <f>VLOOKUP(Table3[[#This Row],[Employee No.]],Table1_1[[Employee No.]:[Department]],6,FALSE)</f>
        <v>ENVIRONMENT</v>
      </c>
      <c r="F117" t="str">
        <f>VLOOKUP(Table3[[#This Row],[Employee No.]],Table1_1[[Employee No.]:[Gender]],7,FALSE)</f>
        <v>M</v>
      </c>
      <c r="G117" t="str">
        <f>VLOOKUP(Table3[[#This Row],[Employee No.]],Table1_1[[Employee No.]:[Shift]],9,FALSE)</f>
        <v>SHIFT A</v>
      </c>
      <c r="H117" s="25">
        <v>1</v>
      </c>
      <c r="I117" s="25">
        <v>1</v>
      </c>
      <c r="J117" s="25">
        <v>1</v>
      </c>
      <c r="K117" s="25">
        <v>1</v>
      </c>
      <c r="L117" s="25">
        <v>1</v>
      </c>
      <c r="M117" s="25">
        <v>1</v>
      </c>
    </row>
    <row r="118" spans="3:16">
      <c r="C118" s="22" t="s">
        <v>914</v>
      </c>
      <c r="D118" t="str">
        <f>VLOOKUP(Table3[[#This Row],[Employee No.]],Table1_1[[Employee No.]:[Employee Name]],2,FALSE)</f>
        <v>PHUVANIT PHROMBANDID</v>
      </c>
      <c r="E118" t="str">
        <f>VLOOKUP(Table3[[#This Row],[Employee No.]],Table1_1[[Employee No.]:[Department]],6,FALSE)</f>
        <v>ENVIRONMENT</v>
      </c>
      <c r="F118" t="str">
        <f>VLOOKUP(Table3[[#This Row],[Employee No.]],Table1_1[[Employee No.]:[Gender]],7,FALSE)</f>
        <v>M</v>
      </c>
      <c r="G118" t="str">
        <f>VLOOKUP(Table3[[#This Row],[Employee No.]],Table1_1[[Employee No.]:[Shift]],9,FALSE)</f>
        <v>SHIFT C</v>
      </c>
      <c r="H118" s="25">
        <v>1</v>
      </c>
      <c r="I118" s="25">
        <v>1</v>
      </c>
      <c r="J118" s="25">
        <v>1</v>
      </c>
      <c r="K118" s="25">
        <v>1</v>
      </c>
      <c r="L118" s="25">
        <v>1</v>
      </c>
      <c r="M118" s="25">
        <v>1</v>
      </c>
    </row>
    <row r="119" spans="3:16">
      <c r="C119" s="22" t="s">
        <v>918</v>
      </c>
      <c r="D119" t="str">
        <f>VLOOKUP(Table3[[#This Row],[Employee No.]],Table1_1[[Employee No.]:[Employee Name]],2,FALSE)</f>
        <v>MUHAMMAD SHAHRIL NASRIN BIN BAKARI</v>
      </c>
      <c r="E119" t="str">
        <f>VLOOKUP(Table3[[#This Row],[Employee No.]],Table1_1[[Employee No.]:[Department]],6,FALSE)</f>
        <v>WAREHOUSE</v>
      </c>
      <c r="F119" t="str">
        <f>VLOOKUP(Table3[[#This Row],[Employee No.]],Table1_1[[Employee No.]:[Gender]],7,FALSE)</f>
        <v>M</v>
      </c>
      <c r="G119" t="str">
        <f>VLOOKUP(Table3[[#This Row],[Employee No.]],Table1_1[[Employee No.]:[Shift]],9,FALSE)</f>
        <v>SHIFT A</v>
      </c>
      <c r="H119" s="25">
        <v>1</v>
      </c>
      <c r="I119" s="25">
        <v>1</v>
      </c>
      <c r="J119" s="25">
        <v>1</v>
      </c>
      <c r="K119" s="25">
        <v>1</v>
      </c>
      <c r="L119" s="25">
        <v>1</v>
      </c>
      <c r="M119" s="25">
        <v>1</v>
      </c>
    </row>
    <row r="120" spans="3:16">
      <c r="C120" s="22" t="s">
        <v>932</v>
      </c>
      <c r="D120" t="str">
        <f>VLOOKUP(Table3[[#This Row],[Employee No.]],Table1_1[[Employee No.]:[Employee Name]],2,FALSE)</f>
        <v>MUHAMMAD ALI BIN MOHD NAZRI</v>
      </c>
      <c r="E120" t="str">
        <f>VLOOKUP(Table3[[#This Row],[Employee No.]],Table1_1[[Employee No.]:[Department]],6,FALSE)</f>
        <v>EQUIPMENT</v>
      </c>
      <c r="F120" t="str">
        <f>VLOOKUP(Table3[[#This Row],[Employee No.]],Table1_1[[Employee No.]:[Gender]],7,FALSE)</f>
        <v>M</v>
      </c>
      <c r="G120" t="str">
        <f>VLOOKUP(Table3[[#This Row],[Employee No.]],Table1_1[[Employee No.]:[Shift]],9,FALSE)</f>
        <v>SHIFT C</v>
      </c>
      <c r="H120" s="25">
        <v>1</v>
      </c>
      <c r="I120" s="25">
        <v>1</v>
      </c>
      <c r="J120" s="25">
        <v>1</v>
      </c>
      <c r="K120" s="25">
        <v>1</v>
      </c>
      <c r="L120" s="25">
        <v>0</v>
      </c>
      <c r="M120" s="25">
        <v>0</v>
      </c>
      <c r="P120" s="25"/>
    </row>
    <row r="121" spans="3:16">
      <c r="C121" s="22" t="s">
        <v>940</v>
      </c>
      <c r="D121" t="str">
        <f>VLOOKUP(Table3[[#This Row],[Employee No.]],Table1_1[[Employee No.]:[Employee Name]],2,FALSE)</f>
        <v>SITI NASHARIENIE NOERHANIE BINTI ABDUL AZIZ</v>
      </c>
      <c r="E121" t="str">
        <f>VLOOKUP(Table3[[#This Row],[Employee No.]],Table1_1[[Employee No.]:[Department]],6,FALSE)</f>
        <v>HS</v>
      </c>
      <c r="F121" t="str">
        <f>VLOOKUP(Table3[[#This Row],[Employee No.]],Table1_1[[Employee No.]:[Gender]],7,FALSE)</f>
        <v>F</v>
      </c>
      <c r="G121" t="str">
        <f>VLOOKUP(Table3[[#This Row],[Employee No.]],Table1_1[[Employee No.]:[Shift]],9,FALSE)</f>
        <v>SHIFT C</v>
      </c>
      <c r="H121" s="25">
        <v>1</v>
      </c>
      <c r="I121" s="25">
        <v>1</v>
      </c>
      <c r="J121" s="25">
        <v>1</v>
      </c>
      <c r="K121" s="25">
        <v>1</v>
      </c>
      <c r="L121" s="25">
        <v>1</v>
      </c>
      <c r="M121" s="25">
        <v>1</v>
      </c>
      <c r="P121" s="25"/>
    </row>
    <row r="122" spans="3:16">
      <c r="C122" s="22" t="s">
        <v>955</v>
      </c>
      <c r="D122" t="str">
        <f>VLOOKUP(Table3[[#This Row],[Employee No.]],Table1_1[[Employee No.]:[Employee Name]],2,FALSE)</f>
        <v>MUHAMAD ASYRAF BIN ISMAIL</v>
      </c>
      <c r="E122" t="str">
        <f>VLOOKUP(Table3[[#This Row],[Employee No.]],Table1_1[[Employee No.]:[Department]],6,FALSE)</f>
        <v>QUALITY</v>
      </c>
      <c r="F122" t="str">
        <f>VLOOKUP(Table3[[#This Row],[Employee No.]],Table1_1[[Employee No.]:[Gender]],7,FALSE)</f>
        <v>M</v>
      </c>
      <c r="G122" t="str">
        <f>VLOOKUP(Table3[[#This Row],[Employee No.]],Table1_1[[Employee No.]:[Shift]],9,FALSE)</f>
        <v>SHIFT A</v>
      </c>
      <c r="H122" s="25">
        <v>1</v>
      </c>
      <c r="I122" s="25">
        <v>1</v>
      </c>
      <c r="J122" s="25">
        <v>1</v>
      </c>
      <c r="K122" s="25">
        <v>1</v>
      </c>
      <c r="L122" s="25">
        <v>1</v>
      </c>
      <c r="M122" s="25">
        <v>1</v>
      </c>
    </row>
    <row r="123" spans="3:16">
      <c r="C123" s="22" t="s">
        <v>959</v>
      </c>
      <c r="D123" t="str">
        <f>VLOOKUP(Table3[[#This Row],[Employee No.]],Table1_1[[Employee No.]:[Employee Name]],2,FALSE)</f>
        <v>NORSAZRIN BIN CHE CHAN</v>
      </c>
      <c r="E123" t="str">
        <f>VLOOKUP(Table3[[#This Row],[Employee No.]],Table1_1[[Employee No.]:[Department]],6,FALSE)</f>
        <v>EQUIPMENT</v>
      </c>
      <c r="F123" t="str">
        <f>VLOOKUP(Table3[[#This Row],[Employee No.]],Table1_1[[Employee No.]:[Gender]],7,FALSE)</f>
        <v>M</v>
      </c>
      <c r="G123" t="str">
        <f>VLOOKUP(Table3[[#This Row],[Employee No.]],Table1_1[[Employee No.]:[Shift]],9,FALSE)</f>
        <v>SHIFT C</v>
      </c>
      <c r="H123" s="25">
        <v>1</v>
      </c>
      <c r="I123" s="25">
        <v>1</v>
      </c>
      <c r="J123" s="25">
        <v>1</v>
      </c>
      <c r="K123" s="25">
        <v>0</v>
      </c>
      <c r="L123" s="25">
        <v>1</v>
      </c>
      <c r="M123" s="25">
        <v>1</v>
      </c>
      <c r="P123" s="25"/>
    </row>
    <row r="124" spans="3:16">
      <c r="C124" s="22" t="s">
        <v>963</v>
      </c>
      <c r="D124" t="str">
        <f>VLOOKUP(Table3[[#This Row],[Employee No.]],Table1_1[[Employee No.]:[Employee Name]],2,FALSE)</f>
        <v>HAZRUL HIQMAN BIN ABDUL WAHAB</v>
      </c>
      <c r="E124" t="str">
        <f>VLOOKUP(Table3[[#This Row],[Employee No.]],Table1_1[[Employee No.]:[Department]],6,FALSE)</f>
        <v>EQUIPMENT</v>
      </c>
      <c r="F124" t="str">
        <f>VLOOKUP(Table3[[#This Row],[Employee No.]],Table1_1[[Employee No.]:[Gender]],7,FALSE)</f>
        <v>M</v>
      </c>
      <c r="G124" t="str">
        <f>VLOOKUP(Table3[[#This Row],[Employee No.]],Table1_1[[Employee No.]:[Shift]],9,FALSE)</f>
        <v>SHIFT A</v>
      </c>
      <c r="H124" s="25">
        <v>1</v>
      </c>
      <c r="I124" s="25">
        <v>1</v>
      </c>
      <c r="J124" s="25">
        <v>1</v>
      </c>
      <c r="K124" s="25">
        <v>1</v>
      </c>
      <c r="L124" s="25">
        <v>1</v>
      </c>
      <c r="M124" s="25">
        <v>1</v>
      </c>
    </row>
    <row r="125" spans="3:16">
      <c r="C125" s="22" t="s">
        <v>972</v>
      </c>
      <c r="D125" t="str">
        <f>VLOOKUP(Table3[[#This Row],[Employee No.]],Table1_1[[Employee No.]:[Employee Name]],2,FALSE)</f>
        <v>THINESH A/L MANIMARAN</v>
      </c>
      <c r="E125" t="str">
        <f>VLOOKUP(Table3[[#This Row],[Employee No.]],Table1_1[[Employee No.]:[Department]],6,FALSE)</f>
        <v>ENVIRONMENT</v>
      </c>
      <c r="F125" t="str">
        <f>VLOOKUP(Table3[[#This Row],[Employee No.]],Table1_1[[Employee No.]:[Gender]],7,FALSE)</f>
        <v>M</v>
      </c>
      <c r="G125" t="str">
        <f>VLOOKUP(Table3[[#This Row],[Employee No.]],Table1_1[[Employee No.]:[Shift]],9,FALSE)</f>
        <v>SHIFT B</v>
      </c>
      <c r="H125" s="25">
        <v>1</v>
      </c>
      <c r="I125" s="25">
        <v>1</v>
      </c>
      <c r="J125" s="25">
        <v>1</v>
      </c>
      <c r="K125" s="25">
        <v>1</v>
      </c>
      <c r="L125" s="25">
        <v>1</v>
      </c>
      <c r="M125" s="25">
        <v>1</v>
      </c>
    </row>
    <row r="126" spans="3:16">
      <c r="C126" s="22" t="s">
        <v>976</v>
      </c>
      <c r="D126" t="str">
        <f>VLOOKUP(Table3[[#This Row],[Employee No.]],Table1_1[[Employee No.]:[Employee Name]],2,FALSE)</f>
        <v>NOR AZLIFAH BINTI HASHIM</v>
      </c>
      <c r="E126" t="str">
        <f>VLOOKUP(Table3[[#This Row],[Employee No.]],Table1_1[[Employee No.]:[Department]],6,FALSE)</f>
        <v>QUALITY</v>
      </c>
      <c r="F126" t="str">
        <f>VLOOKUP(Table3[[#This Row],[Employee No.]],Table1_1[[Employee No.]:[Gender]],7,FALSE)</f>
        <v>F</v>
      </c>
      <c r="G126" t="str">
        <f>VLOOKUP(Table3[[#This Row],[Employee No.]],Table1_1[[Employee No.]:[Shift]],9,FALSE)</f>
        <v>SHIFT C</v>
      </c>
      <c r="H126" s="25">
        <v>1</v>
      </c>
      <c r="I126" s="25">
        <v>1</v>
      </c>
      <c r="J126" s="25">
        <v>1</v>
      </c>
      <c r="K126" s="25">
        <v>1</v>
      </c>
      <c r="L126" s="25">
        <v>1</v>
      </c>
      <c r="M126" s="25">
        <v>1</v>
      </c>
      <c r="P126" s="25"/>
    </row>
    <row r="127" spans="3:16">
      <c r="C127" s="22" t="s">
        <v>986</v>
      </c>
      <c r="D127" t="str">
        <f>VLOOKUP(Table3[[#This Row],[Employee No.]],Table1_1[[Employee No.]:[Employee Name]],2,FALSE)</f>
        <v>FARHAN BIN ROMMALI</v>
      </c>
      <c r="E127" t="str">
        <f>VLOOKUP(Table3[[#This Row],[Employee No.]],Table1_1[[Employee No.]:[Department]],6,FALSE)</f>
        <v>ENVIRONMENT</v>
      </c>
      <c r="F127" t="str">
        <f>VLOOKUP(Table3[[#This Row],[Employee No.]],Table1_1[[Employee No.]:[Gender]],7,FALSE)</f>
        <v>M</v>
      </c>
      <c r="G127" t="str">
        <f>VLOOKUP(Table3[[#This Row],[Employee No.]],Table1_1[[Employee No.]:[Shift]],9,FALSE)</f>
        <v>SHIFT A</v>
      </c>
      <c r="H127" s="25">
        <v>1</v>
      </c>
      <c r="I127" s="25">
        <v>1</v>
      </c>
      <c r="J127" s="25">
        <v>1</v>
      </c>
      <c r="K127" s="25">
        <v>1</v>
      </c>
      <c r="L127" s="25">
        <v>1</v>
      </c>
      <c r="M127" s="25">
        <v>1</v>
      </c>
    </row>
    <row r="128" spans="3:16">
      <c r="C128" s="22" t="s">
        <v>990</v>
      </c>
      <c r="D128" t="str">
        <f>VLOOKUP(Table3[[#This Row],[Employee No.]],Table1_1[[Employee No.]:[Employee Name]],2,FALSE)</f>
        <v>MOHD ANIQ HAMZAH BIN MOKHTAR</v>
      </c>
      <c r="E128" t="str">
        <f>VLOOKUP(Table3[[#This Row],[Employee No.]],Table1_1[[Employee No.]:[Department]],6,FALSE)</f>
        <v>EQUIPMENT</v>
      </c>
      <c r="F128" t="str">
        <f>VLOOKUP(Table3[[#This Row],[Employee No.]],Table1_1[[Employee No.]:[Gender]],7,FALSE)</f>
        <v>M</v>
      </c>
      <c r="G128" t="str">
        <f>VLOOKUP(Table3[[#This Row],[Employee No.]],Table1_1[[Employee No.]:[Shift]],9,FALSE)</f>
        <v>SHIFT A</v>
      </c>
      <c r="H128" s="25">
        <v>1</v>
      </c>
      <c r="I128" s="25">
        <v>1</v>
      </c>
      <c r="J128" s="25">
        <v>1</v>
      </c>
      <c r="K128" s="25">
        <v>1</v>
      </c>
      <c r="L128" s="25">
        <v>1</v>
      </c>
      <c r="M128" s="25">
        <v>1</v>
      </c>
    </row>
    <row r="129" spans="3:16">
      <c r="C129" s="22" t="s">
        <v>994</v>
      </c>
      <c r="D129" t="str">
        <f>VLOOKUP(Table3[[#This Row],[Employee No.]],Table1_1[[Employee No.]:[Employee Name]],2,FALSE)</f>
        <v>SUTHARSAN A/L BHUARASEN</v>
      </c>
      <c r="E129" t="str">
        <f>VLOOKUP(Table3[[#This Row],[Employee No.]],Table1_1[[Employee No.]:[Department]],6,FALSE)</f>
        <v>FACILITY</v>
      </c>
      <c r="F129" t="str">
        <f>VLOOKUP(Table3[[#This Row],[Employee No.]],Table1_1[[Employee No.]:[Gender]],7,FALSE)</f>
        <v>M</v>
      </c>
      <c r="G129" t="str">
        <f>VLOOKUP(Table3[[#This Row],[Employee No.]],Table1_1[[Employee No.]:[Shift]],9,FALSE)</f>
        <v>SHIFT A</v>
      </c>
      <c r="H129" s="25">
        <v>1</v>
      </c>
      <c r="I129" s="25">
        <v>1</v>
      </c>
      <c r="J129" s="25">
        <v>1</v>
      </c>
      <c r="K129" s="25">
        <v>1</v>
      </c>
      <c r="L129" s="25">
        <v>1</v>
      </c>
      <c r="M129" s="25">
        <v>1</v>
      </c>
    </row>
    <row r="130" spans="3:16">
      <c r="C130" s="22" t="s">
        <v>1004</v>
      </c>
      <c r="D130" t="str">
        <f>VLOOKUP(Table3[[#This Row],[Employee No.]],Table1_1[[Employee No.]:[Employee Name]],2,FALSE)</f>
        <v>MOHD RAHMAT BIN MAT AKHIR</v>
      </c>
      <c r="E130" t="str">
        <f>VLOOKUP(Table3[[#This Row],[Employee No.]],Table1_1[[Employee No.]:[Department]],6,FALSE)</f>
        <v>FACILITY</v>
      </c>
      <c r="F130" t="str">
        <f>VLOOKUP(Table3[[#This Row],[Employee No.]],Table1_1[[Employee No.]:[Gender]],7,FALSE)</f>
        <v>M</v>
      </c>
      <c r="G130" t="str">
        <f>VLOOKUP(Table3[[#This Row],[Employee No.]],Table1_1[[Employee No.]:[Shift]],9,FALSE)</f>
        <v>SHIFT A</v>
      </c>
      <c r="H130" s="25">
        <v>1</v>
      </c>
      <c r="I130" s="25">
        <v>1</v>
      </c>
      <c r="J130" s="25">
        <v>1</v>
      </c>
      <c r="K130" s="25">
        <v>1</v>
      </c>
      <c r="L130" s="25">
        <v>1</v>
      </c>
      <c r="M130" s="25">
        <v>1</v>
      </c>
    </row>
    <row r="131" spans="3:16">
      <c r="C131" s="22" t="s">
        <v>1008</v>
      </c>
      <c r="D131" t="str">
        <f>VLOOKUP(Table3[[#This Row],[Employee No.]],Table1_1[[Employee No.]:[Employee Name]],2,FALSE)</f>
        <v>RUJHAN BIN MUHD NOOR</v>
      </c>
      <c r="E131" t="str">
        <f>VLOOKUP(Table3[[#This Row],[Employee No.]],Table1_1[[Employee No.]:[Department]],6,FALSE)</f>
        <v>EQUIPMENT</v>
      </c>
      <c r="F131" t="str">
        <f>VLOOKUP(Table3[[#This Row],[Employee No.]],Table1_1[[Employee No.]:[Gender]],7,FALSE)</f>
        <v>M</v>
      </c>
      <c r="G131" t="str">
        <f>VLOOKUP(Table3[[#This Row],[Employee No.]],Table1_1[[Employee No.]:[Shift]],9,FALSE)</f>
        <v>SHIFT C</v>
      </c>
      <c r="H131" s="25">
        <v>1</v>
      </c>
      <c r="I131" s="25">
        <v>1</v>
      </c>
      <c r="J131" s="25">
        <v>1</v>
      </c>
      <c r="K131" s="25">
        <v>0</v>
      </c>
      <c r="L131" s="25">
        <v>1</v>
      </c>
      <c r="M131" s="25">
        <v>0</v>
      </c>
    </row>
    <row r="132" spans="3:16">
      <c r="C132" s="22" t="s">
        <v>1016</v>
      </c>
      <c r="D132" t="str">
        <f>VLOOKUP(Table3[[#This Row],[Employee No.]],Table1_1[[Employee No.]:[Employee Name]],2,FALSE)</f>
        <v>MOHAMAD KHAIRUDDIN BIN OTHMAN</v>
      </c>
      <c r="E132" t="str">
        <f>VLOOKUP(Table3[[#This Row],[Employee No.]],Table1_1[[Employee No.]:[Department]],6,FALSE)</f>
        <v>EQUIPMENT</v>
      </c>
      <c r="F132" t="str">
        <f>VLOOKUP(Table3[[#This Row],[Employee No.]],Table1_1[[Employee No.]:[Gender]],7,FALSE)</f>
        <v>M</v>
      </c>
      <c r="G132" t="str">
        <f>VLOOKUP(Table3[[#This Row],[Employee No.]],Table1_1[[Employee No.]:[Shift]],9,FALSE)</f>
        <v>SHIFT A</v>
      </c>
      <c r="H132" s="25">
        <v>1</v>
      </c>
      <c r="I132" s="25">
        <v>1</v>
      </c>
      <c r="J132" s="25">
        <v>1</v>
      </c>
      <c r="K132" s="25">
        <v>1</v>
      </c>
      <c r="L132" s="25">
        <v>1</v>
      </c>
      <c r="M132" s="25">
        <v>1</v>
      </c>
    </row>
    <row r="133" spans="3:16">
      <c r="C133" s="22" t="s">
        <v>1029</v>
      </c>
      <c r="D133" t="str">
        <f>VLOOKUP(Table3[[#This Row],[Employee No.]],Table1_1[[Employee No.]:[Employee Name]],2,FALSE)</f>
        <v>NORADILA BINTI MOHD JAMNAI</v>
      </c>
      <c r="E133" t="str">
        <f>VLOOKUP(Table3[[#This Row],[Employee No.]],Table1_1[[Employee No.]:[Department]],6,FALSE)</f>
        <v>AOI</v>
      </c>
      <c r="F133" t="str">
        <f>VLOOKUP(Table3[[#This Row],[Employee No.]],Table1_1[[Employee No.]:[Gender]],7,FALSE)</f>
        <v>F</v>
      </c>
      <c r="G133" t="str">
        <f>VLOOKUP(Table3[[#This Row],[Employee No.]],Table1_1[[Employee No.]:[Shift]],9,FALSE)</f>
        <v>SHIFT C</v>
      </c>
      <c r="H133" s="25">
        <v>1</v>
      </c>
      <c r="I133" s="25">
        <v>1</v>
      </c>
      <c r="J133" s="25">
        <v>1</v>
      </c>
      <c r="K133" s="25">
        <v>1</v>
      </c>
      <c r="L133" s="25">
        <v>1</v>
      </c>
      <c r="M133" s="25">
        <v>1</v>
      </c>
      <c r="P133" s="25"/>
    </row>
    <row r="134" spans="3:16">
      <c r="C134" s="22" t="s">
        <v>1035</v>
      </c>
      <c r="D134" t="str">
        <f>VLOOKUP(Table3[[#This Row],[Employee No.]],Table1_1[[Employee No.]:[Employee Name]],2,FALSE)</f>
        <v>MUHAMMAD RIDUAN BIN ADNAN</v>
      </c>
      <c r="E134" t="str">
        <f>VLOOKUP(Table3[[#This Row],[Employee No.]],Table1_1[[Employee No.]:[Department]],6,FALSE)</f>
        <v>QUALITY</v>
      </c>
      <c r="F134" t="str">
        <f>VLOOKUP(Table3[[#This Row],[Employee No.]],Table1_1[[Employee No.]:[Gender]],7,FALSE)</f>
        <v>M</v>
      </c>
      <c r="G134" t="str">
        <f>VLOOKUP(Table3[[#This Row],[Employee No.]],Table1_1[[Employee No.]:[Shift]],9,FALSE)</f>
        <v>SHIFT B</v>
      </c>
      <c r="H134" s="25">
        <v>1</v>
      </c>
      <c r="I134" s="25">
        <v>1</v>
      </c>
      <c r="J134" s="25">
        <v>1</v>
      </c>
      <c r="K134" s="25">
        <v>1</v>
      </c>
      <c r="L134" s="25">
        <v>1</v>
      </c>
      <c r="M134" s="25">
        <v>1</v>
      </c>
    </row>
    <row r="135" spans="3:16">
      <c r="C135" s="22" t="s">
        <v>1039</v>
      </c>
      <c r="D135" t="str">
        <f>VLOOKUP(Table3[[#This Row],[Employee No.]],Table1_1[[Employee No.]:[Employee Name]],2,FALSE)</f>
        <v>MUHAMMAD ZHAFIR BIN IBRAHIM</v>
      </c>
      <c r="E135" t="str">
        <f>VLOOKUP(Table3[[#This Row],[Employee No.]],Table1_1[[Employee No.]:[Department]],6,FALSE)</f>
        <v>QUALITY</v>
      </c>
      <c r="F135" t="str">
        <f>VLOOKUP(Table3[[#This Row],[Employee No.]],Table1_1[[Employee No.]:[Gender]],7,FALSE)</f>
        <v>M</v>
      </c>
      <c r="G135" t="str">
        <f>VLOOKUP(Table3[[#This Row],[Employee No.]],Table1_1[[Employee No.]:[Shift]],9,FALSE)</f>
        <v>SHIFT B</v>
      </c>
      <c r="H135" s="25">
        <v>1</v>
      </c>
      <c r="I135" s="25">
        <v>1</v>
      </c>
      <c r="J135" s="25">
        <v>1</v>
      </c>
      <c r="K135" s="25">
        <v>1</v>
      </c>
      <c r="L135" s="25">
        <v>1</v>
      </c>
      <c r="M135" s="25">
        <v>1</v>
      </c>
    </row>
    <row r="136" spans="3:16">
      <c r="C136" s="22" t="s">
        <v>1045</v>
      </c>
      <c r="D136" t="str">
        <f>VLOOKUP(Table3[[#This Row],[Employee No.]],Table1_1[[Employee No.]:[Employee Name]],2,FALSE)</f>
        <v>KAMAL ARIF BIN KAMARUDIN</v>
      </c>
      <c r="E136" t="str">
        <f>VLOOKUP(Table3[[#This Row],[Employee No.]],Table1_1[[Employee No.]:[Department]],6,FALSE)</f>
        <v>QUALITY</v>
      </c>
      <c r="F136" t="str">
        <f>VLOOKUP(Table3[[#This Row],[Employee No.]],Table1_1[[Employee No.]:[Gender]],7,FALSE)</f>
        <v>M</v>
      </c>
      <c r="G136" t="str">
        <f>VLOOKUP(Table3[[#This Row],[Employee No.]],Table1_1[[Employee No.]:[Shift]],9,FALSE)</f>
        <v>SHIFT C</v>
      </c>
      <c r="H136" s="25">
        <v>1</v>
      </c>
      <c r="I136" s="25">
        <v>1</v>
      </c>
      <c r="J136" s="25">
        <v>1</v>
      </c>
      <c r="K136" s="25">
        <v>1</v>
      </c>
      <c r="L136" s="25">
        <v>1</v>
      </c>
      <c r="M136" s="25">
        <v>1</v>
      </c>
      <c r="P136" s="25"/>
    </row>
    <row r="137" spans="3:16">
      <c r="C137" s="22" t="s">
        <v>1049</v>
      </c>
      <c r="D137" t="str">
        <f>VLOOKUP(Table3[[#This Row],[Employee No.]],Table1_1[[Employee No.]:[Employee Name]],2,FALSE)</f>
        <v>SACITHARAN A/L THANGAMANI</v>
      </c>
      <c r="E137" t="str">
        <f>VLOOKUP(Table3[[#This Row],[Employee No.]],Table1_1[[Employee No.]:[Department]],6,FALSE)</f>
        <v>QUALITY</v>
      </c>
      <c r="F137" t="str">
        <f>VLOOKUP(Table3[[#This Row],[Employee No.]],Table1_1[[Employee No.]:[Gender]],7,FALSE)</f>
        <v>M</v>
      </c>
      <c r="G137" t="str">
        <f>VLOOKUP(Table3[[#This Row],[Employee No.]],Table1_1[[Employee No.]:[Shift]],9,FALSE)</f>
        <v>SHIFT B</v>
      </c>
      <c r="H137" s="25">
        <v>1</v>
      </c>
      <c r="I137" s="25">
        <v>1</v>
      </c>
      <c r="J137" s="25">
        <v>1</v>
      </c>
      <c r="K137" s="25">
        <v>1</v>
      </c>
      <c r="L137" s="25">
        <v>1</v>
      </c>
      <c r="M137" s="25">
        <v>1</v>
      </c>
    </row>
    <row r="138" spans="3:16">
      <c r="C138" s="22" t="s">
        <v>1052</v>
      </c>
      <c r="D138" t="str">
        <f>VLOOKUP(Table3[[#This Row],[Employee No.]],Table1_1[[Employee No.]:[Employee Name]],2,FALSE)</f>
        <v>ZAID OTHMAN BIN MISDAN</v>
      </c>
      <c r="E138" t="str">
        <f>VLOOKUP(Table3[[#This Row],[Employee No.]],Table1_1[[Employee No.]:[Department]],6,FALSE)</f>
        <v>BBT</v>
      </c>
      <c r="F138" t="str">
        <f>VLOOKUP(Table3[[#This Row],[Employee No.]],Table1_1[[Employee No.]:[Gender]],7,FALSE)</f>
        <v>M</v>
      </c>
      <c r="G138" t="str">
        <f>VLOOKUP(Table3[[#This Row],[Employee No.]],Table1_1[[Employee No.]:[Shift]],9,FALSE)</f>
        <v>SHIFT O</v>
      </c>
      <c r="H138" s="25">
        <v>0</v>
      </c>
      <c r="I138" s="25">
        <v>1</v>
      </c>
      <c r="J138" s="25">
        <v>1</v>
      </c>
      <c r="K138" s="25">
        <v>1</v>
      </c>
      <c r="L138" s="25">
        <v>1</v>
      </c>
      <c r="M138" s="25">
        <v>0</v>
      </c>
    </row>
    <row r="139" spans="3:16">
      <c r="C139" s="22" t="s">
        <v>1056</v>
      </c>
      <c r="D139" t="str">
        <f>VLOOKUP(Table3[[#This Row],[Employee No.]],Table1_1[[Employee No.]:[Employee Name]],2,FALSE)</f>
        <v>ISHAM BIN ISHAK</v>
      </c>
      <c r="E139" t="str">
        <f>VLOOKUP(Table3[[#This Row],[Employee No.]],Table1_1[[Employee No.]:[Department]],6,FALSE)</f>
        <v>LASER</v>
      </c>
      <c r="F139" t="str">
        <f>VLOOKUP(Table3[[#This Row],[Employee No.]],Table1_1[[Employee No.]:[Gender]],7,FALSE)</f>
        <v>M</v>
      </c>
      <c r="G139" t="str">
        <f>VLOOKUP(Table3[[#This Row],[Employee No.]],Table1_1[[Employee No.]:[Shift]],9,FALSE)</f>
        <v>SHIFT A</v>
      </c>
      <c r="H139" s="25">
        <v>1</v>
      </c>
      <c r="I139" s="25">
        <v>1</v>
      </c>
      <c r="J139" s="25">
        <v>1</v>
      </c>
      <c r="K139" s="25">
        <v>1</v>
      </c>
      <c r="L139" s="25">
        <v>1</v>
      </c>
      <c r="M139" s="25">
        <v>1</v>
      </c>
    </row>
    <row r="140" spans="3:16">
      <c r="C140" s="22" t="s">
        <v>1062</v>
      </c>
      <c r="D140" t="str">
        <f>VLOOKUP(Table3[[#This Row],[Employee No.]],Table1_1[[Employee No.]:[Employee Name]],2,FALSE)</f>
        <v>ABDUL HAKIM BIN ABDULLAH</v>
      </c>
      <c r="E140" t="str">
        <f>VLOOKUP(Table3[[#This Row],[Employee No.]],Table1_1[[Employee No.]:[Department]],6,FALSE)</f>
        <v>DESIGN</v>
      </c>
      <c r="F140" t="str">
        <f>VLOOKUP(Table3[[#This Row],[Employee No.]],Table1_1[[Employee No.]:[Gender]],7,FALSE)</f>
        <v>M</v>
      </c>
      <c r="G140" t="str">
        <f>VLOOKUP(Table3[[#This Row],[Employee No.]],Table1_1[[Employee No.]:[Shift]],9,FALSE)</f>
        <v>SHIFT C</v>
      </c>
      <c r="H140" s="25">
        <v>1</v>
      </c>
      <c r="I140" s="25">
        <v>1</v>
      </c>
      <c r="J140" s="25">
        <v>1</v>
      </c>
      <c r="K140" s="25">
        <v>1</v>
      </c>
      <c r="L140" s="25">
        <v>1</v>
      </c>
      <c r="M140" s="25">
        <v>1</v>
      </c>
      <c r="P140" s="25"/>
    </row>
    <row r="141" spans="3:16">
      <c r="C141" s="22" t="s">
        <v>1067</v>
      </c>
      <c r="D141" t="str">
        <f>VLOOKUP(Table3[[#This Row],[Employee No.]],Table1_1[[Employee No.]:[Employee Name]],2,FALSE)</f>
        <v>NORLY ZULAIKHA BINTI ABU</v>
      </c>
      <c r="E141" t="str">
        <f>VLOOKUP(Table3[[#This Row],[Employee No.]],Table1_1[[Employee No.]:[Department]],6,FALSE)</f>
        <v>DESIGN</v>
      </c>
      <c r="F141" t="str">
        <f>VLOOKUP(Table3[[#This Row],[Employee No.]],Table1_1[[Employee No.]:[Gender]],7,FALSE)</f>
        <v>F</v>
      </c>
      <c r="G141" t="str">
        <f>VLOOKUP(Table3[[#This Row],[Employee No.]],Table1_1[[Employee No.]:[Shift]],9,FALSE)</f>
        <v>SHIFT A</v>
      </c>
      <c r="H141" s="25">
        <v>1</v>
      </c>
      <c r="I141" s="25">
        <v>1</v>
      </c>
      <c r="J141" s="25">
        <v>1</v>
      </c>
      <c r="K141" s="25">
        <v>1</v>
      </c>
      <c r="L141" s="25">
        <v>1</v>
      </c>
      <c r="M141" s="25">
        <v>1</v>
      </c>
    </row>
    <row r="142" spans="3:16">
      <c r="C142" s="22" t="s">
        <v>1071</v>
      </c>
      <c r="D142" t="str">
        <f>VLOOKUP(Table3[[#This Row],[Employee No.]],Table1_1[[Employee No.]:[Employee Name]],2,FALSE)</f>
        <v>NUR FATIN NABILAH BINTI DINO</v>
      </c>
      <c r="E142" t="str">
        <f>VLOOKUP(Table3[[#This Row],[Employee No.]],Table1_1[[Employee No.]:[Department]],6,FALSE)</f>
        <v>DESIGN</v>
      </c>
      <c r="F142" t="str">
        <f>VLOOKUP(Table3[[#This Row],[Employee No.]],Table1_1[[Employee No.]:[Gender]],7,FALSE)</f>
        <v>F</v>
      </c>
      <c r="G142" t="str">
        <f>VLOOKUP(Table3[[#This Row],[Employee No.]],Table1_1[[Employee No.]:[Shift]],9,FALSE)</f>
        <v>SHIFT C</v>
      </c>
      <c r="H142" s="25">
        <v>1</v>
      </c>
      <c r="I142" s="25">
        <v>1</v>
      </c>
      <c r="J142" s="25">
        <v>1</v>
      </c>
      <c r="K142" s="25">
        <v>1</v>
      </c>
      <c r="L142" s="25">
        <v>1</v>
      </c>
      <c r="M142" s="25">
        <v>1</v>
      </c>
      <c r="P142" s="25"/>
    </row>
    <row r="143" spans="3:16">
      <c r="C143" s="22" t="s">
        <v>1075</v>
      </c>
      <c r="D143" t="str">
        <f>VLOOKUP(Table3[[#This Row],[Employee No.]],Table1_1[[Employee No.]:[Employee Name]],2,FALSE)</f>
        <v>SITI ZURINAPUTRI BINTI OSMAN</v>
      </c>
      <c r="E143" t="str">
        <f>VLOOKUP(Table3[[#This Row],[Employee No.]],Table1_1[[Employee No.]:[Department]],6,FALSE)</f>
        <v>DESIGN</v>
      </c>
      <c r="F143" t="str">
        <f>VLOOKUP(Table3[[#This Row],[Employee No.]],Table1_1[[Employee No.]:[Gender]],7,FALSE)</f>
        <v>F</v>
      </c>
      <c r="G143" t="str">
        <f>VLOOKUP(Table3[[#This Row],[Employee No.]],Table1_1[[Employee No.]:[Shift]],9,FALSE)</f>
        <v>SHIFT A</v>
      </c>
      <c r="H143" s="25">
        <v>1</v>
      </c>
      <c r="I143" s="25">
        <v>1</v>
      </c>
      <c r="J143" s="25">
        <v>1</v>
      </c>
      <c r="K143" s="25">
        <v>1</v>
      </c>
      <c r="L143" s="25">
        <v>1</v>
      </c>
      <c r="M143" s="25">
        <v>1</v>
      </c>
    </row>
    <row r="144" spans="3:16">
      <c r="C144" s="22" t="s">
        <v>1079</v>
      </c>
      <c r="D144" t="str">
        <f>VLOOKUP(Table3[[#This Row],[Employee No.]],Table1_1[[Employee No.]:[Employee Name]],2,FALSE)</f>
        <v>SITI NURUL HAWA BINTI MOHD RADZI</v>
      </c>
      <c r="E144" t="str">
        <f>VLOOKUP(Table3[[#This Row],[Employee No.]],Table1_1[[Employee No.]:[Department]],6,FALSE)</f>
        <v>DESIGN</v>
      </c>
      <c r="F144" t="str">
        <f>VLOOKUP(Table3[[#This Row],[Employee No.]],Table1_1[[Employee No.]:[Gender]],7,FALSE)</f>
        <v>F</v>
      </c>
      <c r="G144" t="str">
        <f>VLOOKUP(Table3[[#This Row],[Employee No.]],Table1_1[[Employee No.]:[Shift]],9,FALSE)</f>
        <v>SHIFT B</v>
      </c>
      <c r="H144" s="25">
        <v>1</v>
      </c>
      <c r="I144" s="25">
        <v>1</v>
      </c>
      <c r="J144" s="25">
        <v>1</v>
      </c>
      <c r="K144" s="25">
        <v>1</v>
      </c>
      <c r="L144" s="25">
        <v>1</v>
      </c>
      <c r="M144" s="25">
        <v>1</v>
      </c>
    </row>
    <row r="145" spans="3:16">
      <c r="C145" s="22" t="s">
        <v>1084</v>
      </c>
      <c r="D145" t="str">
        <f>VLOOKUP(Table3[[#This Row],[Employee No.]],Table1_1[[Employee No.]:[Employee Name]],2,FALSE)</f>
        <v>MUHAMAD AMIN BIN SHUKRI</v>
      </c>
      <c r="E145" t="str">
        <f>VLOOKUP(Table3[[#This Row],[Employee No.]],Table1_1[[Employee No.]:[Department]],6,FALSE)</f>
        <v>DESIGN</v>
      </c>
      <c r="F145" t="str">
        <f>VLOOKUP(Table3[[#This Row],[Employee No.]],Table1_1[[Employee No.]:[Gender]],7,FALSE)</f>
        <v>M</v>
      </c>
      <c r="G145" t="str">
        <f>VLOOKUP(Table3[[#This Row],[Employee No.]],Table1_1[[Employee No.]:[Shift]],9,FALSE)</f>
        <v>SHIFT A</v>
      </c>
      <c r="H145" s="25">
        <v>1</v>
      </c>
      <c r="I145" s="25">
        <v>1</v>
      </c>
      <c r="J145" s="25">
        <v>1</v>
      </c>
      <c r="K145" s="25">
        <v>1</v>
      </c>
      <c r="L145" s="25">
        <v>1</v>
      </c>
      <c r="M145" s="25">
        <v>0</v>
      </c>
    </row>
    <row r="146" spans="3:16">
      <c r="C146" s="22" t="s">
        <v>1088</v>
      </c>
      <c r="D146" t="str">
        <f>VLOOKUP(Table3[[#This Row],[Employee No.]],Table1_1[[Employee No.]:[Employee Name]],2,FALSE)</f>
        <v>AZLAN BIN MAHMOOD</v>
      </c>
      <c r="E146" t="str">
        <f>VLOOKUP(Table3[[#This Row],[Employee No.]],Table1_1[[Employee No.]:[Department]],6,FALSE)</f>
        <v>AOI</v>
      </c>
      <c r="F146" t="str">
        <f>VLOOKUP(Table3[[#This Row],[Employee No.]],Table1_1[[Employee No.]:[Gender]],7,FALSE)</f>
        <v>M</v>
      </c>
      <c r="G146" t="str">
        <f>VLOOKUP(Table3[[#This Row],[Employee No.]],Table1_1[[Employee No.]:[Shift]],9,FALSE)</f>
        <v>SHIFT A</v>
      </c>
      <c r="H146" s="25">
        <v>1</v>
      </c>
      <c r="I146" s="25">
        <v>1</v>
      </c>
      <c r="J146" s="25">
        <v>1</v>
      </c>
      <c r="K146" s="25">
        <v>1</v>
      </c>
      <c r="L146" s="25">
        <v>1</v>
      </c>
      <c r="M146" s="25">
        <v>1</v>
      </c>
    </row>
    <row r="147" spans="3:16">
      <c r="C147" s="22" t="s">
        <v>1092</v>
      </c>
      <c r="D147" t="str">
        <f>VLOOKUP(Table3[[#This Row],[Employee No.]],Table1_1[[Employee No.]:[Employee Name]],2,FALSE)</f>
        <v>MUHAMMAD SYAZWAN BIN ISMAIL</v>
      </c>
      <c r="E147" t="str">
        <f>VLOOKUP(Table3[[#This Row],[Employee No.]],Table1_1[[Employee No.]:[Department]],6,FALSE)</f>
        <v>AU</v>
      </c>
      <c r="F147" t="str">
        <f>VLOOKUP(Table3[[#This Row],[Employee No.]],Table1_1[[Employee No.]:[Gender]],7,FALSE)</f>
        <v>M</v>
      </c>
      <c r="G147" t="str">
        <f>VLOOKUP(Table3[[#This Row],[Employee No.]],Table1_1[[Employee No.]:[Shift]],9,FALSE)</f>
        <v>SHIFT A</v>
      </c>
      <c r="H147" s="25">
        <v>1</v>
      </c>
      <c r="I147" s="25">
        <v>1</v>
      </c>
      <c r="J147" s="25">
        <v>1</v>
      </c>
      <c r="K147" s="25">
        <v>1</v>
      </c>
      <c r="L147" s="25">
        <v>1</v>
      </c>
      <c r="M147" s="25">
        <v>1</v>
      </c>
    </row>
    <row r="148" spans="3:16">
      <c r="C148" s="22" t="s">
        <v>1097</v>
      </c>
      <c r="D148" t="str">
        <f>VLOOKUP(Table3[[#This Row],[Employee No.]],Table1_1[[Employee No.]:[Employee Name]],2,FALSE)</f>
        <v>MOHD NOOR AZLI BIN OTHMAN</v>
      </c>
      <c r="E148" t="str">
        <f>VLOOKUP(Table3[[#This Row],[Employee No.]],Table1_1[[Employee No.]:[Department]],6,FALSE)</f>
        <v>BBT</v>
      </c>
      <c r="F148" t="str">
        <f>VLOOKUP(Table3[[#This Row],[Employee No.]],Table1_1[[Employee No.]:[Gender]],7,FALSE)</f>
        <v>M</v>
      </c>
      <c r="G148" t="str">
        <f>VLOOKUP(Table3[[#This Row],[Employee No.]],Table1_1[[Employee No.]:[Shift]],9,FALSE)</f>
        <v>SHIFT B</v>
      </c>
      <c r="H148" s="25">
        <v>1</v>
      </c>
      <c r="I148" s="25">
        <v>1</v>
      </c>
      <c r="J148" s="25">
        <v>1</v>
      </c>
      <c r="K148" s="25">
        <v>1</v>
      </c>
      <c r="L148" s="25">
        <v>1</v>
      </c>
      <c r="M148" s="25">
        <v>1</v>
      </c>
    </row>
    <row r="149" spans="3:16">
      <c r="C149" s="22" t="s">
        <v>1106</v>
      </c>
      <c r="D149" t="str">
        <f>VLOOKUP(Table3[[#This Row],[Employee No.]],Table1_1[[Employee No.]:[Employee Name]],2,FALSE)</f>
        <v>SITI SARAH BINTI RAHIM</v>
      </c>
      <c r="E149" t="str">
        <f>VLOOKUP(Table3[[#This Row],[Employee No.]],Table1_1[[Employee No.]:[Department]],6,FALSE)</f>
        <v>AU</v>
      </c>
      <c r="F149" t="str">
        <f>VLOOKUP(Table3[[#This Row],[Employee No.]],Table1_1[[Employee No.]:[Gender]],7,FALSE)</f>
        <v>F</v>
      </c>
      <c r="G149" t="str">
        <f>VLOOKUP(Table3[[#This Row],[Employee No.]],Table1_1[[Employee No.]:[Shift]],9,FALSE)</f>
        <v>SHIFT A</v>
      </c>
      <c r="H149" s="25">
        <v>1</v>
      </c>
      <c r="I149" s="25">
        <v>1</v>
      </c>
      <c r="J149" s="25">
        <v>1</v>
      </c>
      <c r="K149" s="25">
        <v>1</v>
      </c>
      <c r="L149" s="25">
        <v>1</v>
      </c>
      <c r="M149" s="25">
        <v>1</v>
      </c>
    </row>
    <row r="150" spans="3:16">
      <c r="C150" s="22" t="s">
        <v>1110</v>
      </c>
      <c r="D150" t="str">
        <f>VLOOKUP(Table3[[#This Row],[Employee No.]],Table1_1[[Employee No.]:[Employee Name]],2,FALSE)</f>
        <v>MUHAMMAD HAFIZUL FAIZ BIN HASHIM</v>
      </c>
      <c r="E150" t="str">
        <f>VLOOKUP(Table3[[#This Row],[Employee No.]],Table1_1[[Employee No.]:[Department]],6,FALSE)</f>
        <v>LASER</v>
      </c>
      <c r="F150" t="str">
        <f>VLOOKUP(Table3[[#This Row],[Employee No.]],Table1_1[[Employee No.]:[Gender]],7,FALSE)</f>
        <v>M</v>
      </c>
      <c r="G150" t="str">
        <f>VLOOKUP(Table3[[#This Row],[Employee No.]],Table1_1[[Employee No.]:[Shift]],9,FALSE)</f>
        <v>SHIFT B</v>
      </c>
      <c r="H150" s="25">
        <v>1</v>
      </c>
      <c r="I150" s="25">
        <v>1</v>
      </c>
      <c r="J150" s="25">
        <v>1</v>
      </c>
      <c r="K150" s="25">
        <v>1</v>
      </c>
      <c r="L150" s="25">
        <v>1</v>
      </c>
      <c r="M150" s="25">
        <v>1</v>
      </c>
    </row>
    <row r="151" spans="3:16">
      <c r="C151" s="22" t="s">
        <v>1114</v>
      </c>
      <c r="D151" t="str">
        <f>VLOOKUP(Table3[[#This Row],[Employee No.]],Table1_1[[Employee No.]:[Employee Name]],2,FALSE)</f>
        <v>NURUL HASANAH BINTI A'SHARUDDIN</v>
      </c>
      <c r="E151" t="str">
        <f>VLOOKUP(Table3[[#This Row],[Employee No.]],Table1_1[[Employee No.]:[Department]],6,FALSE)</f>
        <v>PACKING</v>
      </c>
      <c r="F151" t="str">
        <f>VLOOKUP(Table3[[#This Row],[Employee No.]],Table1_1[[Employee No.]:[Gender]],7,FALSE)</f>
        <v>F</v>
      </c>
      <c r="G151" t="str">
        <f>VLOOKUP(Table3[[#This Row],[Employee No.]],Table1_1[[Employee No.]:[Shift]],9,FALSE)</f>
        <v>SHIFT B</v>
      </c>
      <c r="H151" s="25">
        <v>1</v>
      </c>
      <c r="I151" s="25">
        <v>1</v>
      </c>
      <c r="J151" s="25">
        <v>1</v>
      </c>
      <c r="K151" s="25">
        <v>1</v>
      </c>
      <c r="L151" s="25">
        <v>1</v>
      </c>
      <c r="M151" s="25">
        <v>1</v>
      </c>
    </row>
    <row r="152" spans="3:16">
      <c r="C152" s="22" t="s">
        <v>1117</v>
      </c>
      <c r="D152" t="str">
        <f>VLOOKUP(Table3[[#This Row],[Employee No.]],Table1_1[[Employee No.]:[Employee Name]],2,FALSE)</f>
        <v>NUR SHAHIRAH BINTI MOHD ARIFF NOR FADZLI</v>
      </c>
      <c r="E152" t="str">
        <f>VLOOKUP(Table3[[#This Row],[Employee No.]],Table1_1[[Employee No.]:[Department]],6,FALSE)</f>
        <v>PACKING</v>
      </c>
      <c r="F152" t="str">
        <f>VLOOKUP(Table3[[#This Row],[Employee No.]],Table1_1[[Employee No.]:[Gender]],7,FALSE)</f>
        <v>F</v>
      </c>
      <c r="G152" t="str">
        <f>VLOOKUP(Table3[[#This Row],[Employee No.]],Table1_1[[Employee No.]:[Shift]],9,FALSE)</f>
        <v>SHIFT B</v>
      </c>
      <c r="H152" s="25">
        <v>1</v>
      </c>
      <c r="I152" s="25">
        <v>1</v>
      </c>
      <c r="J152" s="25">
        <v>1</v>
      </c>
      <c r="K152" s="25">
        <v>1</v>
      </c>
      <c r="L152" s="25">
        <v>1</v>
      </c>
      <c r="M152" s="25">
        <v>1</v>
      </c>
    </row>
    <row r="153" spans="3:16">
      <c r="C153" s="22" t="s">
        <v>1121</v>
      </c>
      <c r="D153" t="str">
        <f>VLOOKUP(Table3[[#This Row],[Employee No.]],Table1_1[[Employee No.]:[Employee Name]],2,FALSE)</f>
        <v>MUHAMMAD AMIRUL SHAHIR BIN SHAHARUDIN</v>
      </c>
      <c r="E153" t="str">
        <f>VLOOKUP(Table3[[#This Row],[Employee No.]],Table1_1[[Employee No.]:[Department]],6,FALSE)</f>
        <v>DESIGN</v>
      </c>
      <c r="F153" t="str">
        <f>VLOOKUP(Table3[[#This Row],[Employee No.]],Table1_1[[Employee No.]:[Gender]],7,FALSE)</f>
        <v>M</v>
      </c>
      <c r="G153" t="str">
        <f>VLOOKUP(Table3[[#This Row],[Employee No.]],Table1_1[[Employee No.]:[Shift]],9,FALSE)</f>
        <v>SHIFT A</v>
      </c>
      <c r="H153" s="25">
        <v>1</v>
      </c>
      <c r="I153" s="25">
        <v>1</v>
      </c>
      <c r="J153" s="25">
        <v>1</v>
      </c>
      <c r="K153" s="25">
        <v>1</v>
      </c>
      <c r="L153" s="25">
        <v>1</v>
      </c>
      <c r="M153" s="25">
        <v>1</v>
      </c>
    </row>
    <row r="154" spans="3:16">
      <c r="C154" s="22" t="s">
        <v>1125</v>
      </c>
      <c r="D154" t="str">
        <f>VLOOKUP(Table3[[#This Row],[Employee No.]],Table1_1[[Employee No.]:[Employee Name]],2,FALSE)</f>
        <v>THANUSHA A/P KRISHNANSAMY</v>
      </c>
      <c r="E154" t="str">
        <f>VLOOKUP(Table3[[#This Row],[Employee No.]],Table1_1[[Employee No.]:[Department]],6,FALSE)</f>
        <v>PACKING</v>
      </c>
      <c r="F154" t="str">
        <f>VLOOKUP(Table3[[#This Row],[Employee No.]],Table1_1[[Employee No.]:[Gender]],7,FALSE)</f>
        <v>F</v>
      </c>
      <c r="G154" t="str">
        <f>VLOOKUP(Table3[[#This Row],[Employee No.]],Table1_1[[Employee No.]:[Shift]],9,FALSE)</f>
        <v>SHIFT C</v>
      </c>
      <c r="H154" s="25">
        <v>1</v>
      </c>
      <c r="I154" s="25">
        <v>1</v>
      </c>
      <c r="J154" s="25">
        <v>1</v>
      </c>
      <c r="K154" s="25">
        <v>1</v>
      </c>
      <c r="L154" s="25">
        <v>1</v>
      </c>
      <c r="M154" s="25">
        <v>1</v>
      </c>
      <c r="P154" s="25"/>
    </row>
    <row r="155" spans="3:16">
      <c r="C155" s="22" t="s">
        <v>1129</v>
      </c>
      <c r="D155" t="str">
        <f>VLOOKUP(Table3[[#This Row],[Employee No.]],Table1_1[[Employee No.]:[Employee Name]],2,FALSE)</f>
        <v>YUSOFF KHUZAIRI BIN CHE HARUN</v>
      </c>
      <c r="E155" t="str">
        <f>VLOOKUP(Table3[[#This Row],[Employee No.]],Table1_1[[Employee No.]:[Department]],6,FALSE)</f>
        <v>ROUTER</v>
      </c>
      <c r="F155" t="str">
        <f>VLOOKUP(Table3[[#This Row],[Employee No.]],Table1_1[[Employee No.]:[Gender]],7,FALSE)</f>
        <v>M</v>
      </c>
      <c r="G155" t="str">
        <f>VLOOKUP(Table3[[#This Row],[Employee No.]],Table1_1[[Employee No.]:[Shift]],9,FALSE)</f>
        <v>SHIFT C</v>
      </c>
      <c r="H155" s="25">
        <v>1</v>
      </c>
      <c r="I155" s="25">
        <v>1</v>
      </c>
      <c r="J155" s="25">
        <v>1</v>
      </c>
      <c r="K155" s="25">
        <v>1</v>
      </c>
      <c r="L155" s="25">
        <v>1</v>
      </c>
      <c r="M155" s="25">
        <v>1</v>
      </c>
      <c r="P155" s="25"/>
    </row>
    <row r="156" spans="3:16">
      <c r="C156" s="22" t="s">
        <v>1133</v>
      </c>
      <c r="D156" t="str">
        <f>VLOOKUP(Table3[[#This Row],[Employee No.]],Table1_1[[Employee No.]:[Employee Name]],2,FALSE)</f>
        <v>HASSAN IZZUDDIN SALAM BIN KHALID HASSAN</v>
      </c>
      <c r="E156" t="str">
        <f>VLOOKUP(Table3[[#This Row],[Employee No.]],Table1_1[[Employee No.]:[Department]],6,FALSE)</f>
        <v>AU</v>
      </c>
      <c r="F156" t="str">
        <f>VLOOKUP(Table3[[#This Row],[Employee No.]],Table1_1[[Employee No.]:[Gender]],7,FALSE)</f>
        <v>M</v>
      </c>
      <c r="G156" t="str">
        <f>VLOOKUP(Table3[[#This Row],[Employee No.]],Table1_1[[Employee No.]:[Shift]],9,FALSE)</f>
        <v>SHIFT C</v>
      </c>
      <c r="H156" s="25">
        <v>1</v>
      </c>
      <c r="I156" s="25">
        <v>1</v>
      </c>
      <c r="J156" s="25">
        <v>1</v>
      </c>
      <c r="K156" s="25">
        <v>1</v>
      </c>
      <c r="L156" s="25">
        <v>1</v>
      </c>
      <c r="M156" s="25">
        <v>1</v>
      </c>
      <c r="P156" s="25"/>
    </row>
    <row r="157" spans="3:16">
      <c r="C157" s="22" t="s">
        <v>1137</v>
      </c>
      <c r="D157" t="str">
        <f>VLOOKUP(Table3[[#This Row],[Employee No.]],Table1_1[[Employee No.]:[Employee Name]],2,FALSE)</f>
        <v>MUHAMMAD AZRA ASHRAF BIN ABDUL RASHID</v>
      </c>
      <c r="E157" t="str">
        <f>VLOOKUP(Table3[[#This Row],[Employee No.]],Table1_1[[Employee No.]:[Department]],6,FALSE)</f>
        <v>QUALITY</v>
      </c>
      <c r="F157" t="str">
        <f>VLOOKUP(Table3[[#This Row],[Employee No.]],Table1_1[[Employee No.]:[Gender]],7,FALSE)</f>
        <v>M</v>
      </c>
      <c r="G157" t="str">
        <f>VLOOKUP(Table3[[#This Row],[Employee No.]],Table1_1[[Employee No.]:[Shift]],9,FALSE)</f>
        <v>SHIFT B</v>
      </c>
      <c r="H157" s="25">
        <v>1</v>
      </c>
      <c r="I157" s="25">
        <v>1</v>
      </c>
      <c r="J157" s="25">
        <v>1</v>
      </c>
      <c r="K157" s="25">
        <v>1</v>
      </c>
      <c r="L157" s="25">
        <v>1</v>
      </c>
      <c r="M157" s="25">
        <v>1</v>
      </c>
    </row>
    <row r="158" spans="3:16">
      <c r="C158" s="22" t="s">
        <v>1141</v>
      </c>
      <c r="D158" t="str">
        <f>VLOOKUP(Table3[[#This Row],[Employee No.]],Table1_1[[Employee No.]:[Employee Name]],2,FALSE)</f>
        <v>MUHAMMAD AFIQ AIZUDDIN BIN MOHD JALIL</v>
      </c>
      <c r="E158" t="str">
        <f>VLOOKUP(Table3[[#This Row],[Employee No.]],Table1_1[[Employee No.]:[Department]],6,FALSE)</f>
        <v>BBT</v>
      </c>
      <c r="F158" t="str">
        <f>VLOOKUP(Table3[[#This Row],[Employee No.]],Table1_1[[Employee No.]:[Gender]],7,FALSE)</f>
        <v>M</v>
      </c>
      <c r="G158" t="str">
        <f>VLOOKUP(Table3[[#This Row],[Employee No.]],Table1_1[[Employee No.]:[Shift]],9,FALSE)</f>
        <v>SHIFT A</v>
      </c>
      <c r="H158" s="25">
        <v>1</v>
      </c>
      <c r="I158" s="25">
        <v>1</v>
      </c>
      <c r="J158" s="25">
        <v>1</v>
      </c>
      <c r="K158" s="25">
        <v>1</v>
      </c>
      <c r="L158" s="25">
        <v>1</v>
      </c>
      <c r="M158" s="25">
        <v>1</v>
      </c>
    </row>
    <row r="159" spans="3:16">
      <c r="C159" s="22" t="s">
        <v>1146</v>
      </c>
      <c r="D159" t="str">
        <f>VLOOKUP(Table3[[#This Row],[Employee No.]],Table1_1[[Employee No.]:[Employee Name]],2,FALSE)</f>
        <v>MUHAMAD FARET BIN ALIAS</v>
      </c>
      <c r="E159" t="str">
        <f>VLOOKUP(Table3[[#This Row],[Employee No.]],Table1_1[[Employee No.]:[Department]],6,FALSE)</f>
        <v>BBT</v>
      </c>
      <c r="F159" t="str">
        <f>VLOOKUP(Table3[[#This Row],[Employee No.]],Table1_1[[Employee No.]:[Gender]],7,FALSE)</f>
        <v>M</v>
      </c>
      <c r="G159" t="str">
        <f>VLOOKUP(Table3[[#This Row],[Employee No.]],Table1_1[[Employee No.]:[Shift]],9,FALSE)</f>
        <v>SHIFT C</v>
      </c>
      <c r="H159" s="25">
        <v>1</v>
      </c>
      <c r="I159" s="25">
        <v>1</v>
      </c>
      <c r="J159" s="25">
        <v>1</v>
      </c>
      <c r="K159" s="25">
        <v>1</v>
      </c>
      <c r="L159" s="25">
        <v>1</v>
      </c>
      <c r="M159" s="25">
        <v>1</v>
      </c>
      <c r="P159" s="25"/>
    </row>
    <row r="160" spans="3:16">
      <c r="C160" s="22" t="s">
        <v>1151</v>
      </c>
      <c r="D160" t="str">
        <f>VLOOKUP(Table3[[#This Row],[Employee No.]],Table1_1[[Employee No.]:[Employee Name]],2,FALSE)</f>
        <v>AHMAD ZAKI BIN SAUAT</v>
      </c>
      <c r="E160" t="str">
        <f>VLOOKUP(Table3[[#This Row],[Employee No.]],Table1_1[[Employee No.]:[Department]],6,FALSE)</f>
        <v>DF</v>
      </c>
      <c r="F160" t="str">
        <f>VLOOKUP(Table3[[#This Row],[Employee No.]],Table1_1[[Employee No.]:[Gender]],7,FALSE)</f>
        <v>M</v>
      </c>
      <c r="G160" t="str">
        <f>VLOOKUP(Table3[[#This Row],[Employee No.]],Table1_1[[Employee No.]:[Shift]],9,FALSE)</f>
        <v>SHIFT C</v>
      </c>
      <c r="H160" s="25">
        <v>1</v>
      </c>
      <c r="I160" s="25">
        <v>1</v>
      </c>
      <c r="J160" s="25">
        <v>1</v>
      </c>
      <c r="K160" s="25">
        <v>1</v>
      </c>
      <c r="L160" s="25">
        <v>1</v>
      </c>
      <c r="M160" s="25">
        <v>1</v>
      </c>
      <c r="P160" s="25"/>
    </row>
    <row r="161" spans="3:16">
      <c r="C161" s="22" t="s">
        <v>1156</v>
      </c>
      <c r="D161" t="str">
        <f>VLOOKUP(Table3[[#This Row],[Employee No.]],Table1_1[[Employee No.]:[Employee Name]],2,FALSE)</f>
        <v>MOHAMMAD HAKIMIN BIN AMRAN</v>
      </c>
      <c r="E161" t="str">
        <f>VLOOKUP(Table3[[#This Row],[Employee No.]],Table1_1[[Employee No.]:[Department]],6,FALSE)</f>
        <v>BBT</v>
      </c>
      <c r="F161" t="str">
        <f>VLOOKUP(Table3[[#This Row],[Employee No.]],Table1_1[[Employee No.]:[Gender]],7,FALSE)</f>
        <v>M</v>
      </c>
      <c r="G161" t="str">
        <f>VLOOKUP(Table3[[#This Row],[Employee No.]],Table1_1[[Employee No.]:[Shift]],9,FALSE)</f>
        <v>SHIFT C</v>
      </c>
      <c r="H161" s="25">
        <v>1</v>
      </c>
      <c r="I161" s="25">
        <v>1</v>
      </c>
      <c r="J161" s="25">
        <v>1</v>
      </c>
      <c r="K161" s="25">
        <v>1</v>
      </c>
      <c r="L161" s="25">
        <v>1</v>
      </c>
      <c r="M161" s="25">
        <v>1</v>
      </c>
      <c r="P161" s="25"/>
    </row>
    <row r="162" spans="3:16">
      <c r="C162" s="22" t="s">
        <v>1160</v>
      </c>
      <c r="D162" t="str">
        <f>VLOOKUP(Table3[[#This Row],[Employee No.]],Table1_1[[Employee No.]:[Employee Name]],2,FALSE)</f>
        <v>MUHAMAD FITRI BIN MOHD ZAINI</v>
      </c>
      <c r="E162" t="str">
        <f>VLOOKUP(Table3[[#This Row],[Employee No.]],Table1_1[[Employee No.]:[Department]],6,FALSE)</f>
        <v>DESIGN</v>
      </c>
      <c r="F162" t="str">
        <f>VLOOKUP(Table3[[#This Row],[Employee No.]],Table1_1[[Employee No.]:[Gender]],7,FALSE)</f>
        <v>M</v>
      </c>
      <c r="G162" t="str">
        <f>VLOOKUP(Table3[[#This Row],[Employee No.]],Table1_1[[Employee No.]:[Shift]],9,FALSE)</f>
        <v>SHIFT B</v>
      </c>
      <c r="H162" s="25">
        <v>1</v>
      </c>
      <c r="I162" s="25">
        <v>1</v>
      </c>
      <c r="J162" s="25">
        <v>1</v>
      </c>
      <c r="K162" s="25">
        <v>1</v>
      </c>
      <c r="L162" s="25">
        <v>1</v>
      </c>
      <c r="M162" s="25">
        <v>1</v>
      </c>
    </row>
    <row r="163" spans="3:16">
      <c r="C163" s="22" t="s">
        <v>1164</v>
      </c>
      <c r="D163" t="str">
        <f>VLOOKUP(Table3[[#This Row],[Employee No.]],Table1_1[[Employee No.]:[Employee Name]],2,FALSE)</f>
        <v>MUHAMMAD IZZAT BIN JAMHARI</v>
      </c>
      <c r="E163" t="str">
        <f>VLOOKUP(Table3[[#This Row],[Employee No.]],Table1_1[[Employee No.]:[Department]],6,FALSE)</f>
        <v>AU</v>
      </c>
      <c r="F163" t="str">
        <f>VLOOKUP(Table3[[#This Row],[Employee No.]],Table1_1[[Employee No.]:[Gender]],7,FALSE)</f>
        <v>M</v>
      </c>
      <c r="G163" t="str">
        <f>VLOOKUP(Table3[[#This Row],[Employee No.]],Table1_1[[Employee No.]:[Shift]],9,FALSE)</f>
        <v>SHIFT A</v>
      </c>
      <c r="H163" s="25">
        <v>1</v>
      </c>
      <c r="I163" s="25">
        <v>1</v>
      </c>
      <c r="J163" s="25">
        <v>1</v>
      </c>
      <c r="K163" s="25">
        <v>0</v>
      </c>
      <c r="L163" s="25">
        <v>1</v>
      </c>
      <c r="M163" s="25">
        <v>1</v>
      </c>
    </row>
    <row r="164" spans="3:16">
      <c r="C164" s="22" t="s">
        <v>1167</v>
      </c>
      <c r="D164" t="str">
        <f>VLOOKUP(Table3[[#This Row],[Employee No.]],Table1_1[[Employee No.]:[Employee Name]],2,FALSE)</f>
        <v>NADIA HAZREEN BINTI MORAD</v>
      </c>
      <c r="E164" t="str">
        <f>VLOOKUP(Table3[[#This Row],[Employee No.]],Table1_1[[Employee No.]:[Department]],6,FALSE)</f>
        <v>DESIGN</v>
      </c>
      <c r="F164" t="str">
        <f>VLOOKUP(Table3[[#This Row],[Employee No.]],Table1_1[[Employee No.]:[Gender]],7,FALSE)</f>
        <v>F</v>
      </c>
      <c r="G164" t="str">
        <f>VLOOKUP(Table3[[#This Row],[Employee No.]],Table1_1[[Employee No.]:[Shift]],9,FALSE)</f>
        <v>SHIFT C</v>
      </c>
      <c r="H164" s="25">
        <v>1</v>
      </c>
      <c r="I164" s="25">
        <v>1</v>
      </c>
      <c r="J164" s="25">
        <v>1</v>
      </c>
      <c r="K164" s="25">
        <v>1</v>
      </c>
      <c r="L164" s="25">
        <v>1</v>
      </c>
      <c r="M164" s="25">
        <v>1</v>
      </c>
      <c r="P164" s="25"/>
    </row>
    <row r="165" spans="3:16">
      <c r="C165" s="22" t="s">
        <v>1171</v>
      </c>
      <c r="D165" t="str">
        <f>VLOOKUP(Table3[[#This Row],[Employee No.]],Table1_1[[Employee No.]:[Employee Name]],2,FALSE)</f>
        <v>NUR IRADATUL FARIHA BINTI AZIZAN</v>
      </c>
      <c r="E165" t="str">
        <f>VLOOKUP(Table3[[#This Row],[Employee No.]],Table1_1[[Employee No.]:[Department]],6,FALSE)</f>
        <v>BBT</v>
      </c>
      <c r="F165" t="str">
        <f>VLOOKUP(Table3[[#This Row],[Employee No.]],Table1_1[[Employee No.]:[Gender]],7,FALSE)</f>
        <v>F</v>
      </c>
      <c r="G165" t="str">
        <f>VLOOKUP(Table3[[#This Row],[Employee No.]],Table1_1[[Employee No.]:[Shift]],9,FALSE)</f>
        <v>SHIFT C</v>
      </c>
      <c r="H165" s="25">
        <v>1</v>
      </c>
      <c r="I165" s="25">
        <v>1</v>
      </c>
      <c r="J165" s="25">
        <v>1</v>
      </c>
      <c r="K165" s="25">
        <v>1</v>
      </c>
      <c r="L165" s="25">
        <v>1</v>
      </c>
      <c r="M165" s="25">
        <v>1</v>
      </c>
      <c r="P165" s="25"/>
    </row>
    <row r="166" spans="3:16">
      <c r="C166" s="22" t="s">
        <v>1175</v>
      </c>
      <c r="D166" t="str">
        <f>VLOOKUP(Table3[[#This Row],[Employee No.]],Table1_1[[Employee No.]:[Employee Name]],2,FALSE)</f>
        <v>MUHAMMAD AIDIL AZRI BIN ZAMBERI</v>
      </c>
      <c r="E166" t="str">
        <f>VLOOKUP(Table3[[#This Row],[Employee No.]],Table1_1[[Employee No.]:[Department]],6,FALSE)</f>
        <v>DESIGN</v>
      </c>
      <c r="F166" t="str">
        <f>VLOOKUP(Table3[[#This Row],[Employee No.]],Table1_1[[Employee No.]:[Gender]],7,FALSE)</f>
        <v>M</v>
      </c>
      <c r="G166" t="str">
        <f>VLOOKUP(Table3[[#This Row],[Employee No.]],Table1_1[[Employee No.]:[Shift]],9,FALSE)</f>
        <v>SHIFT C</v>
      </c>
      <c r="H166" s="25">
        <v>1</v>
      </c>
      <c r="I166" s="25">
        <v>1</v>
      </c>
      <c r="J166" s="25">
        <v>1</v>
      </c>
      <c r="K166" s="25">
        <v>1</v>
      </c>
      <c r="L166" s="25">
        <v>1</v>
      </c>
      <c r="M166" s="25">
        <v>1</v>
      </c>
      <c r="P166" s="25"/>
    </row>
    <row r="167" spans="3:16">
      <c r="C167" s="22" t="s">
        <v>1179</v>
      </c>
      <c r="D167" t="str">
        <f>VLOOKUP(Table3[[#This Row],[Employee No.]],Table1_1[[Employee No.]:[Employee Name]],2,FALSE)</f>
        <v>ZHARIF LUQMAN BIN MOHD ZAIHAM</v>
      </c>
      <c r="E167" t="str">
        <f>VLOOKUP(Table3[[#This Row],[Employee No.]],Table1_1[[Employee No.]:[Department]],6,FALSE)</f>
        <v>AOI</v>
      </c>
      <c r="F167" t="str">
        <f>VLOOKUP(Table3[[#This Row],[Employee No.]],Table1_1[[Employee No.]:[Gender]],7,FALSE)</f>
        <v>M</v>
      </c>
      <c r="G167" t="str">
        <f>VLOOKUP(Table3[[#This Row],[Employee No.]],Table1_1[[Employee No.]:[Shift]],9,FALSE)</f>
        <v>SHIFT A</v>
      </c>
      <c r="H167" s="25">
        <v>1</v>
      </c>
      <c r="I167" s="25">
        <v>1</v>
      </c>
      <c r="J167" s="25">
        <v>1</v>
      </c>
      <c r="K167" s="25">
        <v>1</v>
      </c>
      <c r="L167" s="25">
        <v>1</v>
      </c>
      <c r="M167" s="25">
        <v>1</v>
      </c>
    </row>
    <row r="168" spans="3:16">
      <c r="C168" s="22" t="s">
        <v>1183</v>
      </c>
      <c r="D168" t="str">
        <f>VLOOKUP(Table3[[#This Row],[Employee No.]],Table1_1[[Employee No.]:[Employee Name]],2,FALSE)</f>
        <v>MOHD REDHWAN BASRI BIN ROMLI</v>
      </c>
      <c r="E168" t="str">
        <f>VLOOKUP(Table3[[#This Row],[Employee No.]],Table1_1[[Employee No.]:[Department]],6,FALSE)</f>
        <v>BBT</v>
      </c>
      <c r="F168" t="str">
        <f>VLOOKUP(Table3[[#This Row],[Employee No.]],Table1_1[[Employee No.]:[Gender]],7,FALSE)</f>
        <v>M</v>
      </c>
      <c r="G168" t="str">
        <f>VLOOKUP(Table3[[#This Row],[Employee No.]],Table1_1[[Employee No.]:[Shift]],9,FALSE)</f>
        <v>SHIFT C</v>
      </c>
      <c r="H168" s="25">
        <v>1</v>
      </c>
      <c r="I168" s="25">
        <v>1</v>
      </c>
      <c r="J168" s="25">
        <v>1</v>
      </c>
      <c r="K168" s="25">
        <v>1</v>
      </c>
      <c r="L168" s="25">
        <v>1</v>
      </c>
      <c r="M168" s="25">
        <v>1</v>
      </c>
      <c r="P168" s="25"/>
    </row>
    <row r="169" spans="3:16">
      <c r="C169" s="22" t="s">
        <v>1187</v>
      </c>
      <c r="D169" t="str">
        <f>VLOOKUP(Table3[[#This Row],[Employee No.]],Table1_1[[Employee No.]:[Employee Name]],2,FALSE)</f>
        <v>MUHAMAD YUSMAN BIN OMAR</v>
      </c>
      <c r="E169" t="str">
        <f>VLOOKUP(Table3[[#This Row],[Employee No.]],Table1_1[[Employee No.]:[Department]],6,FALSE)</f>
        <v>AOI</v>
      </c>
      <c r="F169" t="str">
        <f>VLOOKUP(Table3[[#This Row],[Employee No.]],Table1_1[[Employee No.]:[Gender]],7,FALSE)</f>
        <v>M</v>
      </c>
      <c r="G169" t="str">
        <f>VLOOKUP(Table3[[#This Row],[Employee No.]],Table1_1[[Employee No.]:[Shift]],9,FALSE)</f>
        <v>SHIFT C</v>
      </c>
      <c r="H169" s="25">
        <v>1</v>
      </c>
      <c r="I169" s="25">
        <v>1</v>
      </c>
      <c r="J169" s="25">
        <v>1</v>
      </c>
      <c r="K169" s="25">
        <v>1</v>
      </c>
      <c r="L169" s="25">
        <v>1</v>
      </c>
      <c r="M169" s="25">
        <v>1</v>
      </c>
      <c r="P169" s="25"/>
    </row>
    <row r="170" spans="3:16">
      <c r="C170" s="22" t="s">
        <v>1191</v>
      </c>
      <c r="D170" t="str">
        <f>VLOOKUP(Table3[[#This Row],[Employee No.]],Table1_1[[Employee No.]:[Employee Name]],2,FALSE)</f>
        <v>MOHD NURUL HAFIS BIN MOHD NOR</v>
      </c>
      <c r="E170" t="str">
        <f>VLOOKUP(Table3[[#This Row],[Employee No.]],Table1_1[[Employee No.]:[Department]],6,FALSE)</f>
        <v>AU</v>
      </c>
      <c r="F170" t="str">
        <f>VLOOKUP(Table3[[#This Row],[Employee No.]],Table1_1[[Employee No.]:[Gender]],7,FALSE)</f>
        <v>M</v>
      </c>
      <c r="G170" t="str">
        <f>VLOOKUP(Table3[[#This Row],[Employee No.]],Table1_1[[Employee No.]:[Shift]],9,FALSE)</f>
        <v>SHIFT E</v>
      </c>
      <c r="H170" s="25">
        <v>0</v>
      </c>
      <c r="I170" s="25">
        <v>1</v>
      </c>
      <c r="J170" s="25">
        <v>1</v>
      </c>
      <c r="K170" s="25">
        <v>1</v>
      </c>
      <c r="L170" s="25">
        <v>1</v>
      </c>
      <c r="M170" s="25">
        <v>1</v>
      </c>
    </row>
    <row r="171" spans="3:16">
      <c r="C171" s="22" t="s">
        <v>1195</v>
      </c>
      <c r="D171" t="str">
        <f>VLOOKUP(Table3[[#This Row],[Employee No.]],Table1_1[[Employee No.]:[Employee Name]],2,FALSE)</f>
        <v>NURUL NAJWA BINTI JOHARI</v>
      </c>
      <c r="E171" t="str">
        <f>VLOOKUP(Table3[[#This Row],[Employee No.]],Table1_1[[Employee No.]:[Department]],6,FALSE)</f>
        <v>PACKING</v>
      </c>
      <c r="F171" t="str">
        <f>VLOOKUP(Table3[[#This Row],[Employee No.]],Table1_1[[Employee No.]:[Gender]],7,FALSE)</f>
        <v>F</v>
      </c>
      <c r="G171" t="str">
        <f>VLOOKUP(Table3[[#This Row],[Employee No.]],Table1_1[[Employee No.]:[Shift]],9,FALSE)</f>
        <v>SHIFT A</v>
      </c>
      <c r="H171" s="25">
        <v>1</v>
      </c>
      <c r="I171" s="25">
        <v>1</v>
      </c>
      <c r="J171" s="25">
        <v>1</v>
      </c>
      <c r="K171" s="25">
        <v>1</v>
      </c>
      <c r="L171" s="25">
        <v>1</v>
      </c>
      <c r="M171" s="25">
        <v>1</v>
      </c>
    </row>
    <row r="172" spans="3:16">
      <c r="C172" s="22" t="s">
        <v>1201</v>
      </c>
      <c r="D172" t="str">
        <f>VLOOKUP(Table3[[#This Row],[Employee No.]],Table1_1[[Employee No.]:[Employee Name]],2,FALSE)</f>
        <v>MUHAMMAD AMAL ZIKRY BIN RAZALI</v>
      </c>
      <c r="E172" t="str">
        <f>VLOOKUP(Table3[[#This Row],[Employee No.]],Table1_1[[Employee No.]:[Department]],6,FALSE)</f>
        <v>LASER</v>
      </c>
      <c r="F172" t="str">
        <f>VLOOKUP(Table3[[#This Row],[Employee No.]],Table1_1[[Employee No.]:[Gender]],7,FALSE)</f>
        <v>M</v>
      </c>
      <c r="G172" t="str">
        <f>VLOOKUP(Table3[[#This Row],[Employee No.]],Table1_1[[Employee No.]:[Shift]],9,FALSE)</f>
        <v>SHIFT C</v>
      </c>
      <c r="H172" s="25">
        <v>1</v>
      </c>
      <c r="I172" s="25">
        <v>1</v>
      </c>
      <c r="J172" s="25">
        <v>1</v>
      </c>
      <c r="K172" s="25">
        <v>1</v>
      </c>
      <c r="L172" s="25">
        <v>1</v>
      </c>
      <c r="M172" s="25">
        <v>1</v>
      </c>
      <c r="P172" s="25"/>
    </row>
    <row r="173" spans="3:16">
      <c r="C173" s="22" t="s">
        <v>1205</v>
      </c>
      <c r="D173" t="str">
        <f>VLOOKUP(Table3[[#This Row],[Employee No.]],Table1_1[[Employee No.]:[Employee Name]],2,FALSE)</f>
        <v>MOHAMAD AZRUL AMIR BIN KHAIRUL</v>
      </c>
      <c r="E173" t="str">
        <f>VLOOKUP(Table3[[#This Row],[Employee No.]],Table1_1[[Employee No.]:[Department]],6,FALSE)</f>
        <v>QUALITY</v>
      </c>
      <c r="F173" t="str">
        <f>VLOOKUP(Table3[[#This Row],[Employee No.]],Table1_1[[Employee No.]:[Gender]],7,FALSE)</f>
        <v>M</v>
      </c>
      <c r="G173" t="str">
        <f>VLOOKUP(Table3[[#This Row],[Employee No.]],Table1_1[[Employee No.]:[Shift]],9,FALSE)</f>
        <v>SHIFT B</v>
      </c>
      <c r="H173" s="25">
        <v>1</v>
      </c>
      <c r="I173" s="25">
        <v>1</v>
      </c>
      <c r="J173" s="25">
        <v>1</v>
      </c>
      <c r="K173" s="25">
        <v>1</v>
      </c>
      <c r="L173" s="25">
        <v>1</v>
      </c>
      <c r="M173" s="25">
        <v>1</v>
      </c>
    </row>
    <row r="174" spans="3:16">
      <c r="C174" s="22" t="s">
        <v>1209</v>
      </c>
      <c r="D174" t="str">
        <f>VLOOKUP(Table3[[#This Row],[Employee No.]],Table1_1[[Employee No.]:[Employee Name]],2,FALSE)</f>
        <v>NUR IZATUL RAIHANA BINTI MOHMAD YUSRI</v>
      </c>
      <c r="E174" t="str">
        <f>VLOOKUP(Table3[[#This Row],[Employee No.]],Table1_1[[Employee No.]:[Department]],6,FALSE)</f>
        <v>FVI</v>
      </c>
      <c r="F174" t="str">
        <f>VLOOKUP(Table3[[#This Row],[Employee No.]],Table1_1[[Employee No.]:[Gender]],7,FALSE)</f>
        <v>F</v>
      </c>
      <c r="G174" t="str">
        <f>VLOOKUP(Table3[[#This Row],[Employee No.]],Table1_1[[Employee No.]:[Shift]],9,FALSE)</f>
        <v>SHIFT O</v>
      </c>
      <c r="H174" s="25">
        <v>0</v>
      </c>
      <c r="I174" s="25">
        <v>1</v>
      </c>
      <c r="J174" s="25">
        <v>1</v>
      </c>
      <c r="K174" s="25">
        <v>1</v>
      </c>
      <c r="L174" s="25">
        <v>1</v>
      </c>
      <c r="M174" s="25">
        <v>1</v>
      </c>
    </row>
    <row r="175" spans="3:16">
      <c r="C175" s="22" t="s">
        <v>1220</v>
      </c>
      <c r="D175" t="str">
        <f>VLOOKUP(Table3[[#This Row],[Employee No.]],Table1_1[[Employee No.]:[Employee Name]],2,FALSE)</f>
        <v>FAIRUZ BINTI MUHAMAD KHALIL</v>
      </c>
      <c r="E175" t="str">
        <f>VLOOKUP(Table3[[#This Row],[Employee No.]],Table1_1[[Employee No.]:[Department]],6,FALSE)</f>
        <v>FVI</v>
      </c>
      <c r="F175" t="str">
        <f>VLOOKUP(Table3[[#This Row],[Employee No.]],Table1_1[[Employee No.]:[Gender]],7,FALSE)</f>
        <v>F</v>
      </c>
      <c r="G175" t="str">
        <f>VLOOKUP(Table3[[#This Row],[Employee No.]],Table1_1[[Employee No.]:[Shift]],9,FALSE)</f>
        <v>SHIFT A</v>
      </c>
      <c r="H175" s="25">
        <v>0</v>
      </c>
      <c r="I175" s="25">
        <v>1</v>
      </c>
      <c r="J175" s="25">
        <v>1</v>
      </c>
      <c r="K175" s="25">
        <v>1</v>
      </c>
      <c r="L175" s="25">
        <v>1</v>
      </c>
      <c r="M175" s="25">
        <v>1</v>
      </c>
    </row>
    <row r="176" spans="3:16">
      <c r="C176" s="22" t="s">
        <v>1224</v>
      </c>
      <c r="D176" t="str">
        <f>VLOOKUP(Table3[[#This Row],[Employee No.]],Table1_1[[Employee No.]:[Employee Name]],2,FALSE)</f>
        <v>MOHAMAD FITRY BIN MOHD HALIB</v>
      </c>
      <c r="E176" t="str">
        <f>VLOOKUP(Table3[[#This Row],[Employee No.]],Table1_1[[Employee No.]:[Department]],6,FALSE)</f>
        <v>SM</v>
      </c>
      <c r="F176" t="str">
        <f>VLOOKUP(Table3[[#This Row],[Employee No.]],Table1_1[[Employee No.]:[Gender]],7,FALSE)</f>
        <v>M</v>
      </c>
      <c r="G176" t="str">
        <f>VLOOKUP(Table3[[#This Row],[Employee No.]],Table1_1[[Employee No.]:[Shift]],9,FALSE)</f>
        <v>SHIFT A</v>
      </c>
      <c r="H176" s="25">
        <v>0</v>
      </c>
      <c r="I176" s="25">
        <v>1</v>
      </c>
      <c r="J176" s="25">
        <v>1</v>
      </c>
      <c r="K176" s="25">
        <v>1</v>
      </c>
      <c r="L176" s="25">
        <v>1</v>
      </c>
      <c r="M176" s="25">
        <v>1</v>
      </c>
    </row>
    <row r="177" spans="3:16">
      <c r="C177" s="22" t="s">
        <v>1228</v>
      </c>
      <c r="D177" t="str">
        <f>VLOOKUP(Table3[[#This Row],[Employee No.]],Table1_1[[Employee No.]:[Employee Name]],2,FALSE)</f>
        <v>MOHAMAD NOOR AKBAR BIN MOHAMAD ZAINI</v>
      </c>
      <c r="E177" t="str">
        <f>VLOOKUP(Table3[[#This Row],[Employee No.]],Table1_1[[Employee No.]:[Department]],6,FALSE)</f>
        <v>FVI</v>
      </c>
      <c r="F177" t="str">
        <f>VLOOKUP(Table3[[#This Row],[Employee No.]],Table1_1[[Employee No.]:[Gender]],7,FALSE)</f>
        <v>M</v>
      </c>
      <c r="G177" t="str">
        <f>VLOOKUP(Table3[[#This Row],[Employee No.]],Table1_1[[Employee No.]:[Shift]],9,FALSE)</f>
        <v>SHIFT B</v>
      </c>
      <c r="H177" s="25">
        <v>1</v>
      </c>
      <c r="I177" s="25">
        <v>1</v>
      </c>
      <c r="J177" s="25">
        <v>1</v>
      </c>
      <c r="K177" s="25">
        <v>1</v>
      </c>
      <c r="L177" s="25">
        <v>1</v>
      </c>
      <c r="M177" s="25">
        <v>1</v>
      </c>
    </row>
    <row r="178" spans="3:16">
      <c r="C178" s="22" t="s">
        <v>1232</v>
      </c>
      <c r="D178" t="str">
        <f>VLOOKUP(Table3[[#This Row],[Employee No.]],Table1_1[[Employee No.]:[Employee Name]],2,FALSE)</f>
        <v>MOHAMAD SHUKOR BIN IDRIS</v>
      </c>
      <c r="E178" t="str">
        <f>VLOOKUP(Table3[[#This Row],[Employee No.]],Table1_1[[Employee No.]:[Department]],6,FALSE)</f>
        <v>QUALITY</v>
      </c>
      <c r="F178" t="str">
        <f>VLOOKUP(Table3[[#This Row],[Employee No.]],Table1_1[[Employee No.]:[Gender]],7,FALSE)</f>
        <v>M</v>
      </c>
      <c r="G178" t="str">
        <f>VLOOKUP(Table3[[#This Row],[Employee No.]],Table1_1[[Employee No.]:[Shift]],9,FALSE)</f>
        <v>SHIFT C</v>
      </c>
      <c r="H178" s="25">
        <v>1</v>
      </c>
      <c r="I178" s="25">
        <v>1</v>
      </c>
      <c r="J178" s="25">
        <v>1</v>
      </c>
      <c r="K178" s="25">
        <v>1</v>
      </c>
      <c r="L178" s="25">
        <v>1</v>
      </c>
      <c r="M178" s="25">
        <v>1</v>
      </c>
      <c r="P178" s="25"/>
    </row>
    <row r="179" spans="3:16">
      <c r="C179" s="22" t="s">
        <v>1235</v>
      </c>
      <c r="D179" t="str">
        <f>VLOOKUP(Table3[[#This Row],[Employee No.]],Table1_1[[Employee No.]:[Employee Name]],2,FALSE)</f>
        <v>NURSAFIANATUL HUDA BINTI AZMAN</v>
      </c>
      <c r="E179" t="str">
        <f>VLOOKUP(Table3[[#This Row],[Employee No.]],Table1_1[[Employee No.]:[Department]],6,FALSE)</f>
        <v>QUALITY</v>
      </c>
      <c r="F179" t="str">
        <f>VLOOKUP(Table3[[#This Row],[Employee No.]],Table1_1[[Employee No.]:[Gender]],7,FALSE)</f>
        <v>F</v>
      </c>
      <c r="G179" t="str">
        <f>VLOOKUP(Table3[[#This Row],[Employee No.]],Table1_1[[Employee No.]:[Shift]],9,FALSE)</f>
        <v>SHIFT C</v>
      </c>
      <c r="H179" s="25">
        <v>1</v>
      </c>
      <c r="I179" s="25">
        <v>1</v>
      </c>
      <c r="J179" s="25">
        <v>1</v>
      </c>
      <c r="K179" s="25">
        <v>1</v>
      </c>
      <c r="L179" s="25">
        <v>1</v>
      </c>
      <c r="M179" s="25">
        <v>1</v>
      </c>
    </row>
    <row r="180" spans="3:16">
      <c r="C180" s="22" t="s">
        <v>1239</v>
      </c>
      <c r="D180" t="str">
        <f>VLOOKUP(Table3[[#This Row],[Employee No.]],Table1_1[[Employee No.]:[Employee Name]],2,FALSE)</f>
        <v>HAFIZ AKMAL BIN BAKAR</v>
      </c>
      <c r="E180" t="str">
        <f>VLOOKUP(Table3[[#This Row],[Employee No.]],Table1_1[[Employee No.]:[Department]],6,FALSE)</f>
        <v>EQUIPMENT</v>
      </c>
      <c r="F180" t="str">
        <f>VLOOKUP(Table3[[#This Row],[Employee No.]],Table1_1[[Employee No.]:[Gender]],7,FALSE)</f>
        <v>M</v>
      </c>
      <c r="G180" t="str">
        <f>VLOOKUP(Table3[[#This Row],[Employee No.]],Table1_1[[Employee No.]:[Shift]],9,FALSE)</f>
        <v>SHIFT A</v>
      </c>
      <c r="H180" s="25">
        <v>1</v>
      </c>
      <c r="I180" s="25">
        <v>1</v>
      </c>
      <c r="J180" s="25">
        <v>1</v>
      </c>
      <c r="K180" s="25">
        <v>1</v>
      </c>
      <c r="L180" s="25">
        <v>1</v>
      </c>
      <c r="M180" s="25">
        <v>1</v>
      </c>
    </row>
    <row r="181" spans="3:16">
      <c r="C181" s="22" t="s">
        <v>1247</v>
      </c>
      <c r="D181" t="str">
        <f>VLOOKUP(Table3[[#This Row],[Employee No.]],Table1_1[[Employee No.]:[Employee Name]],2,FALSE)</f>
        <v>NURUL BASHIRDA RAHMA BINTI BACIK</v>
      </c>
      <c r="E181" t="str">
        <f>VLOOKUP(Table3[[#This Row],[Employee No.]],Table1_1[[Employee No.]:[Department]],6,FALSE)</f>
        <v>QUALITY</v>
      </c>
      <c r="F181" t="str">
        <f>VLOOKUP(Table3[[#This Row],[Employee No.]],Table1_1[[Employee No.]:[Gender]],7,FALSE)</f>
        <v>F</v>
      </c>
      <c r="G181" t="str">
        <f>VLOOKUP(Table3[[#This Row],[Employee No.]],Table1_1[[Employee No.]:[Shift]],9,FALSE)</f>
        <v>SHIFT B</v>
      </c>
      <c r="H181" s="25">
        <v>1</v>
      </c>
      <c r="I181" s="25">
        <v>1</v>
      </c>
      <c r="J181" s="25">
        <v>1</v>
      </c>
      <c r="K181" s="25">
        <v>1</v>
      </c>
      <c r="L181" s="25">
        <v>1</v>
      </c>
      <c r="M181" s="25">
        <v>1</v>
      </c>
    </row>
    <row r="182" spans="3:16">
      <c r="C182" s="22" t="s">
        <v>1255</v>
      </c>
      <c r="D182" t="str">
        <f>VLOOKUP(Table3[[#This Row],[Employee No.]],Table1_1[[Employee No.]:[Employee Name]],2,FALSE)</f>
        <v>MUHAMMAD FIRDAUS BIN AHMAD</v>
      </c>
      <c r="E182" t="str">
        <f>VLOOKUP(Table3[[#This Row],[Employee No.]],Table1_1[[Employee No.]:[Department]],6,FALSE)</f>
        <v>EQUIPMENT</v>
      </c>
      <c r="F182" t="str">
        <f>VLOOKUP(Table3[[#This Row],[Employee No.]],Table1_1[[Employee No.]:[Gender]],7,FALSE)</f>
        <v>M</v>
      </c>
      <c r="G182" t="str">
        <f>VLOOKUP(Table3[[#This Row],[Employee No.]],Table1_1[[Employee No.]:[Shift]],9,FALSE)</f>
        <v>SHIFT B</v>
      </c>
      <c r="H182" s="25">
        <v>1</v>
      </c>
      <c r="I182" s="25">
        <v>1</v>
      </c>
      <c r="J182" s="25">
        <v>1</v>
      </c>
      <c r="K182" s="25">
        <v>1</v>
      </c>
      <c r="L182" s="25">
        <v>1</v>
      </c>
      <c r="M182" s="25">
        <v>0</v>
      </c>
    </row>
    <row r="183" spans="3:16">
      <c r="C183" s="22" t="s">
        <v>1263</v>
      </c>
      <c r="D183" t="str">
        <f>VLOOKUP(Table3[[#This Row],[Employee No.]],Table1_1[[Employee No.]:[Employee Name]],2,FALSE)</f>
        <v>NUR SYAZWANNIZA BINTI RAZALI</v>
      </c>
      <c r="E183" t="str">
        <f>VLOOKUP(Table3[[#This Row],[Employee No.]],Table1_1[[Employee No.]:[Department]],6,FALSE)</f>
        <v>BBT</v>
      </c>
      <c r="F183" t="str">
        <f>VLOOKUP(Table3[[#This Row],[Employee No.]],Table1_1[[Employee No.]:[Gender]],7,FALSE)</f>
        <v>F</v>
      </c>
      <c r="G183" t="str">
        <f>VLOOKUP(Table3[[#This Row],[Employee No.]],Table1_1[[Employee No.]:[Shift]],9,FALSE)</f>
        <v>SHIFT B</v>
      </c>
      <c r="H183" s="25">
        <v>1</v>
      </c>
      <c r="I183" s="25">
        <v>1</v>
      </c>
      <c r="J183" s="25">
        <v>1</v>
      </c>
      <c r="K183" s="25">
        <v>1</v>
      </c>
      <c r="L183" s="25">
        <v>1</v>
      </c>
      <c r="M183" s="25">
        <v>1</v>
      </c>
    </row>
    <row r="184" spans="3:16">
      <c r="C184" s="22" t="s">
        <v>1276</v>
      </c>
      <c r="D184" t="str">
        <f>VLOOKUP(Table3[[#This Row],[Employee No.]],Table1_1[[Employee No.]:[Employee Name]],2,FALSE)</f>
        <v>NOOR AZIRA BINTI NANYAN</v>
      </c>
      <c r="E184" t="str">
        <f>VLOOKUP(Table3[[#This Row],[Employee No.]],Table1_1[[Employee No.]:[Department]],6,FALSE)</f>
        <v>FVI</v>
      </c>
      <c r="F184" t="str">
        <f>VLOOKUP(Table3[[#This Row],[Employee No.]],Table1_1[[Employee No.]:[Gender]],7,FALSE)</f>
        <v>F</v>
      </c>
      <c r="G184" t="str">
        <f>VLOOKUP(Table3[[#This Row],[Employee No.]],Table1_1[[Employee No.]:[Shift]],9,FALSE)</f>
        <v>SHIFT B</v>
      </c>
      <c r="H184" s="25">
        <v>1</v>
      </c>
      <c r="I184" s="25">
        <v>1</v>
      </c>
      <c r="J184" s="25">
        <v>1</v>
      </c>
      <c r="K184" s="25">
        <v>1</v>
      </c>
      <c r="L184" s="25">
        <v>1</v>
      </c>
      <c r="M184" s="25">
        <v>1</v>
      </c>
    </row>
    <row r="185" spans="3:16">
      <c r="C185" s="22" t="s">
        <v>1280</v>
      </c>
      <c r="D185" t="str">
        <f>VLOOKUP(Table3[[#This Row],[Employee No.]],Table1_1[[Employee No.]:[Employee Name]],2,FALSE)</f>
        <v>NUR IZZATI BINTI MOHAMAD SANUSI</v>
      </c>
      <c r="E185" t="str">
        <f>VLOOKUP(Table3[[#This Row],[Employee No.]],Table1_1[[Employee No.]:[Department]],6,FALSE)</f>
        <v>FVI</v>
      </c>
      <c r="F185" t="str">
        <f>VLOOKUP(Table3[[#This Row],[Employee No.]],Table1_1[[Employee No.]:[Gender]],7,FALSE)</f>
        <v>F</v>
      </c>
      <c r="G185" t="str">
        <f>VLOOKUP(Table3[[#This Row],[Employee No.]],Table1_1[[Employee No.]:[Shift]],9,FALSE)</f>
        <v>SHIFT C</v>
      </c>
      <c r="H185" s="25">
        <v>1</v>
      </c>
      <c r="I185" s="25">
        <v>1</v>
      </c>
      <c r="J185" s="25">
        <v>1</v>
      </c>
      <c r="K185" s="25">
        <v>1</v>
      </c>
      <c r="L185" s="25">
        <v>1</v>
      </c>
      <c r="M185" s="25">
        <v>1</v>
      </c>
      <c r="P185" s="25"/>
    </row>
    <row r="186" spans="3:16">
      <c r="C186" s="22" t="s">
        <v>1284</v>
      </c>
      <c r="D186" t="str">
        <f>VLOOKUP(Table3[[#This Row],[Employee No.]],Table1_1[[Employee No.]:[Employee Name]],2,FALSE)</f>
        <v>MUHAMMAD AIZUDDIN BIN IBRAHIM</v>
      </c>
      <c r="E186" t="str">
        <f>VLOOKUP(Table3[[#This Row],[Employee No.]],Table1_1[[Employee No.]:[Department]],6,FALSE)</f>
        <v>FVI</v>
      </c>
      <c r="F186" t="str">
        <f>VLOOKUP(Table3[[#This Row],[Employee No.]],Table1_1[[Employee No.]:[Gender]],7,FALSE)</f>
        <v>M</v>
      </c>
      <c r="G186" t="str">
        <f>VLOOKUP(Table3[[#This Row],[Employee No.]],Table1_1[[Employee No.]:[Shift]],9,FALSE)</f>
        <v>SHIFT C</v>
      </c>
      <c r="H186" s="25">
        <v>1</v>
      </c>
      <c r="I186" s="25">
        <v>1</v>
      </c>
      <c r="J186" s="25">
        <v>1</v>
      </c>
      <c r="K186" s="25">
        <v>1</v>
      </c>
      <c r="L186" s="25">
        <v>1</v>
      </c>
      <c r="M186" s="25">
        <v>1</v>
      </c>
      <c r="P186" s="25"/>
    </row>
    <row r="187" spans="3:16">
      <c r="C187" s="22" t="s">
        <v>1288</v>
      </c>
      <c r="D187" t="str">
        <f>VLOOKUP(Table3[[#This Row],[Employee No.]],Table1_1[[Employee No.]:[Employee Name]],2,FALSE)</f>
        <v>RAPHELLA SACHARISSA ANAK SALIM</v>
      </c>
      <c r="E187" t="str">
        <f>VLOOKUP(Table3[[#This Row],[Employee No.]],Table1_1[[Employee No.]:[Department]],6,FALSE)</f>
        <v>AU</v>
      </c>
      <c r="F187" t="str">
        <f>VLOOKUP(Table3[[#This Row],[Employee No.]],Table1_1[[Employee No.]:[Gender]],7,FALSE)</f>
        <v>F</v>
      </c>
      <c r="G187" t="str">
        <f>VLOOKUP(Table3[[#This Row],[Employee No.]],Table1_1[[Employee No.]:[Shift]],9,FALSE)</f>
        <v>SHIFT B</v>
      </c>
      <c r="H187" s="25">
        <v>1</v>
      </c>
      <c r="I187" s="25">
        <v>1</v>
      </c>
      <c r="J187" s="25">
        <v>1</v>
      </c>
      <c r="K187" s="25">
        <v>1</v>
      </c>
      <c r="L187" s="25">
        <v>1</v>
      </c>
      <c r="M187" s="25">
        <v>1</v>
      </c>
    </row>
    <row r="188" spans="3:16">
      <c r="C188" s="22" t="s">
        <v>1297</v>
      </c>
      <c r="D188" t="str">
        <f>VLOOKUP(Table3[[#This Row],[Employee No.]],Table1_1[[Employee No.]:[Employee Name]],2,FALSE)</f>
        <v>AHMAD MU'IZZ LUQMAN BIN ZAINOL ABIDIN</v>
      </c>
      <c r="E188" t="str">
        <f>VLOOKUP(Table3[[#This Row],[Employee No.]],Table1_1[[Employee No.]:[Department]],6,FALSE)</f>
        <v>MLB</v>
      </c>
      <c r="F188" t="str">
        <f>VLOOKUP(Table3[[#This Row],[Employee No.]],Table1_1[[Employee No.]:[Gender]],7,FALSE)</f>
        <v>M</v>
      </c>
      <c r="G188" t="str">
        <f>VLOOKUP(Table3[[#This Row],[Employee No.]],Table1_1[[Employee No.]:[Shift]],9,FALSE)</f>
        <v>SHIFT B</v>
      </c>
      <c r="H188" s="25">
        <v>1</v>
      </c>
      <c r="I188" s="25">
        <v>1</v>
      </c>
      <c r="J188" s="25">
        <v>1</v>
      </c>
      <c r="K188" s="25">
        <v>1</v>
      </c>
      <c r="L188" s="25">
        <v>1</v>
      </c>
      <c r="M188" s="25">
        <v>1</v>
      </c>
    </row>
    <row r="189" spans="3:16">
      <c r="C189" s="22" t="s">
        <v>1301</v>
      </c>
      <c r="D189" t="str">
        <f>VLOOKUP(Table3[[#This Row],[Employee No.]],Table1_1[[Employee No.]:[Employee Name]],2,FALSE)</f>
        <v>MOHAMMAD UZAIR BIN AHMAD</v>
      </c>
      <c r="E189" t="str">
        <f>VLOOKUP(Table3[[#This Row],[Employee No.]],Table1_1[[Employee No.]:[Department]],6,FALSE)</f>
        <v>FVI</v>
      </c>
      <c r="F189" t="str">
        <f>VLOOKUP(Table3[[#This Row],[Employee No.]],Table1_1[[Employee No.]:[Gender]],7,FALSE)</f>
        <v>M</v>
      </c>
      <c r="G189" t="str">
        <f>VLOOKUP(Table3[[#This Row],[Employee No.]],Table1_1[[Employee No.]:[Shift]],9,FALSE)</f>
        <v>SHIFT A</v>
      </c>
      <c r="H189" s="25">
        <v>1</v>
      </c>
      <c r="I189" s="25">
        <v>0</v>
      </c>
      <c r="J189" s="25">
        <v>1</v>
      </c>
      <c r="K189" s="25">
        <v>0</v>
      </c>
      <c r="L189" s="25">
        <v>0</v>
      </c>
      <c r="M189" s="25">
        <v>1</v>
      </c>
    </row>
    <row r="190" spans="3:16">
      <c r="C190" s="22" t="s">
        <v>1305</v>
      </c>
      <c r="D190" t="str">
        <f>VLOOKUP(Table3[[#This Row],[Employee No.]],Table1_1[[Employee No.]:[Employee Name]],2,FALSE)</f>
        <v>MUHAMAD ADHAM BIN SHARIFF</v>
      </c>
      <c r="E190" t="str">
        <f>VLOOKUP(Table3[[#This Row],[Employee No.]],Table1_1[[Employee No.]:[Department]],6,FALSE)</f>
        <v>MLB</v>
      </c>
      <c r="F190" t="str">
        <f>VLOOKUP(Table3[[#This Row],[Employee No.]],Table1_1[[Employee No.]:[Gender]],7,FALSE)</f>
        <v>M</v>
      </c>
      <c r="G190" t="str">
        <f>VLOOKUP(Table3[[#This Row],[Employee No.]],Table1_1[[Employee No.]:[Shift]],9,FALSE)</f>
        <v>SHIFT A</v>
      </c>
      <c r="H190" s="25">
        <v>0</v>
      </c>
      <c r="I190" s="25">
        <v>1</v>
      </c>
      <c r="J190" s="25">
        <v>1</v>
      </c>
      <c r="K190" s="25">
        <v>1</v>
      </c>
      <c r="L190" s="25">
        <v>1</v>
      </c>
      <c r="M190" s="25">
        <v>1</v>
      </c>
    </row>
    <row r="191" spans="3:16">
      <c r="C191" s="22" t="s">
        <v>1309</v>
      </c>
      <c r="D191" t="str">
        <f>VLOOKUP(Table3[[#This Row],[Employee No.]],Table1_1[[Employee No.]:[Employee Name]],2,FALSE)</f>
        <v>MUHAMMAD MASLAN BIN MAHSUN</v>
      </c>
      <c r="E191" t="str">
        <f>VLOOKUP(Table3[[#This Row],[Employee No.]],Table1_1[[Employee No.]:[Department]],6,FALSE)</f>
        <v>PACKING</v>
      </c>
      <c r="F191" t="str">
        <f>VLOOKUP(Table3[[#This Row],[Employee No.]],Table1_1[[Employee No.]:[Gender]],7,FALSE)</f>
        <v>M</v>
      </c>
      <c r="G191" t="str">
        <f>VLOOKUP(Table3[[#This Row],[Employee No.]],Table1_1[[Employee No.]:[Shift]],9,FALSE)</f>
        <v>SHIFT A</v>
      </c>
      <c r="H191" s="25">
        <v>1</v>
      </c>
      <c r="I191" s="25">
        <v>1</v>
      </c>
      <c r="J191" s="25">
        <v>1</v>
      </c>
      <c r="K191" s="25">
        <v>1</v>
      </c>
      <c r="L191" s="25">
        <v>1</v>
      </c>
      <c r="M191" s="25">
        <v>1</v>
      </c>
    </row>
    <row r="192" spans="3:16">
      <c r="C192" s="22" t="s">
        <v>1313</v>
      </c>
      <c r="D192" t="str">
        <f>VLOOKUP(Table3[[#This Row],[Employee No.]],Table1_1[[Employee No.]:[Employee Name]],2,FALSE)</f>
        <v>NAZIRAH BINTI ABDUL NIZAM</v>
      </c>
      <c r="E192" t="str">
        <f>VLOOKUP(Table3[[#This Row],[Employee No.]],Table1_1[[Employee No.]:[Department]],6,FALSE)</f>
        <v>FVI</v>
      </c>
      <c r="F192" t="str">
        <f>VLOOKUP(Table3[[#This Row],[Employee No.]],Table1_1[[Employee No.]:[Gender]],7,FALSE)</f>
        <v>F</v>
      </c>
      <c r="G192" t="str">
        <f>VLOOKUP(Table3[[#This Row],[Employee No.]],Table1_1[[Employee No.]:[Shift]],9,FALSE)</f>
        <v>SHIFT B</v>
      </c>
      <c r="H192" s="25">
        <v>1</v>
      </c>
      <c r="I192" s="25">
        <v>1</v>
      </c>
      <c r="J192" s="25">
        <v>1</v>
      </c>
      <c r="K192" s="25">
        <v>1</v>
      </c>
      <c r="L192" s="25">
        <v>1</v>
      </c>
      <c r="M192" s="25">
        <v>1</v>
      </c>
    </row>
    <row r="193" spans="3:16">
      <c r="C193" s="22" t="s">
        <v>1317</v>
      </c>
      <c r="D193" t="str">
        <f>VLOOKUP(Table3[[#This Row],[Employee No.]],Table1_1[[Employee No.]:[Employee Name]],2,FALSE)</f>
        <v>MUHAMMAD HAKIM BIN AZMI</v>
      </c>
      <c r="E193" t="str">
        <f>VLOOKUP(Table3[[#This Row],[Employee No.]],Table1_1[[Employee No.]:[Department]],6,FALSE)</f>
        <v>ROUTER</v>
      </c>
      <c r="F193" t="str">
        <f>VLOOKUP(Table3[[#This Row],[Employee No.]],Table1_1[[Employee No.]:[Gender]],7,FALSE)</f>
        <v>M</v>
      </c>
      <c r="G193" t="str">
        <f>VLOOKUP(Table3[[#This Row],[Employee No.]],Table1_1[[Employee No.]:[Shift]],9,FALSE)</f>
        <v>SHIFT A</v>
      </c>
      <c r="H193" s="25">
        <v>1</v>
      </c>
      <c r="I193" s="25">
        <v>1</v>
      </c>
      <c r="J193" s="25">
        <v>1</v>
      </c>
      <c r="K193" s="25">
        <v>1</v>
      </c>
      <c r="L193" s="25">
        <v>1</v>
      </c>
      <c r="M193" s="25">
        <v>1</v>
      </c>
    </row>
    <row r="194" spans="3:16">
      <c r="C194" s="22" t="s">
        <v>1321</v>
      </c>
      <c r="D194" t="str">
        <f>VLOOKUP(Table3[[#This Row],[Employee No.]],Table1_1[[Employee No.]:[Employee Name]],2,FALSE)</f>
        <v>NURUL NAJIHA BINTI MD ISA</v>
      </c>
      <c r="E194" t="str">
        <f>VLOOKUP(Table3[[#This Row],[Employee No.]],Table1_1[[Employee No.]:[Department]],6,FALSE)</f>
        <v>FVI</v>
      </c>
      <c r="F194" t="str">
        <f>VLOOKUP(Table3[[#This Row],[Employee No.]],Table1_1[[Employee No.]:[Gender]],7,FALSE)</f>
        <v>F</v>
      </c>
      <c r="G194" t="str">
        <f>VLOOKUP(Table3[[#This Row],[Employee No.]],Table1_1[[Employee No.]:[Shift]],9,FALSE)</f>
        <v>SHIFT A</v>
      </c>
      <c r="H194" s="25">
        <v>1</v>
      </c>
      <c r="I194" s="25">
        <v>1</v>
      </c>
      <c r="J194" s="25">
        <v>0</v>
      </c>
      <c r="K194" s="25">
        <v>0</v>
      </c>
      <c r="L194" s="25">
        <v>0</v>
      </c>
      <c r="M194" s="25">
        <v>1</v>
      </c>
    </row>
    <row r="195" spans="3:16">
      <c r="C195" s="22" t="s">
        <v>1325</v>
      </c>
      <c r="D195" t="str">
        <f>VLOOKUP(Table3[[#This Row],[Employee No.]],Table1_1[[Employee No.]:[Employee Name]],2,FALSE)</f>
        <v>RAIDAH BINTI OMAR</v>
      </c>
      <c r="E195" t="str">
        <f>VLOOKUP(Table3[[#This Row],[Employee No.]],Table1_1[[Employee No.]:[Department]],6,FALSE)</f>
        <v>PRODUCTION CONTROL</v>
      </c>
      <c r="F195" t="str">
        <f>VLOOKUP(Table3[[#This Row],[Employee No.]],Table1_1[[Employee No.]:[Gender]],7,FALSE)</f>
        <v>F</v>
      </c>
      <c r="G195" t="str">
        <f>VLOOKUP(Table3[[#This Row],[Employee No.]],Table1_1[[Employee No.]:[Shift]],9,FALSE)</f>
        <v>SHIFT A</v>
      </c>
      <c r="H195" s="25">
        <v>1</v>
      </c>
      <c r="I195" s="25">
        <v>1</v>
      </c>
      <c r="J195" s="25">
        <v>1</v>
      </c>
      <c r="K195" s="25">
        <v>1</v>
      </c>
      <c r="L195" s="25">
        <v>1</v>
      </c>
      <c r="M195" s="25">
        <v>0</v>
      </c>
    </row>
    <row r="196" spans="3:16">
      <c r="C196" s="22" t="s">
        <v>1329</v>
      </c>
      <c r="D196" t="str">
        <f>VLOOKUP(Table3[[#This Row],[Employee No.]],Table1_1[[Employee No.]:[Employee Name]],2,FALSE)</f>
        <v>NUR SUFINA BINTI NIZAN</v>
      </c>
      <c r="E196" t="str">
        <f>VLOOKUP(Table3[[#This Row],[Employee No.]],Table1_1[[Employee No.]:[Department]],6,FALSE)</f>
        <v>FVI</v>
      </c>
      <c r="F196" t="str">
        <f>VLOOKUP(Table3[[#This Row],[Employee No.]],Table1_1[[Employee No.]:[Gender]],7,FALSE)</f>
        <v>F</v>
      </c>
      <c r="G196" t="str">
        <f>VLOOKUP(Table3[[#This Row],[Employee No.]],Table1_1[[Employee No.]:[Shift]],9,FALSE)</f>
        <v>SHIFT O</v>
      </c>
      <c r="H196" s="25">
        <v>0</v>
      </c>
      <c r="I196" s="25">
        <v>1</v>
      </c>
      <c r="J196" s="25">
        <v>1</v>
      </c>
      <c r="K196" s="25">
        <v>1</v>
      </c>
      <c r="L196" s="25">
        <v>1</v>
      </c>
      <c r="M196" s="25">
        <v>1</v>
      </c>
    </row>
    <row r="197" spans="3:16">
      <c r="C197" s="22" t="s">
        <v>1333</v>
      </c>
      <c r="D197" t="str">
        <f>VLOOKUP(Table3[[#This Row],[Employee No.]],Table1_1[[Employee No.]:[Employee Name]],2,FALSE)</f>
        <v>NUR ANIS NAJWA BINTI AHMAD NOOR</v>
      </c>
      <c r="E197" t="str">
        <f>VLOOKUP(Table3[[#This Row],[Employee No.]],Table1_1[[Employee No.]:[Department]],6,FALSE)</f>
        <v>CHAMFER</v>
      </c>
      <c r="F197" t="str">
        <f>VLOOKUP(Table3[[#This Row],[Employee No.]],Table1_1[[Employee No.]:[Gender]],7,FALSE)</f>
        <v>F</v>
      </c>
      <c r="G197" t="str">
        <f>VLOOKUP(Table3[[#This Row],[Employee No.]],Table1_1[[Employee No.]:[Shift]],9,FALSE)</f>
        <v>SHIFT C</v>
      </c>
      <c r="H197" s="25">
        <v>1</v>
      </c>
      <c r="I197" s="25">
        <v>1</v>
      </c>
      <c r="J197" s="25">
        <v>1</v>
      </c>
      <c r="K197" s="25">
        <v>1</v>
      </c>
      <c r="L197" s="25">
        <v>1</v>
      </c>
      <c r="M197" s="25">
        <v>1</v>
      </c>
      <c r="P197" s="25"/>
    </row>
    <row r="198" spans="3:16">
      <c r="C198" s="22" t="s">
        <v>1337</v>
      </c>
      <c r="D198" t="str">
        <f>VLOOKUP(Table3[[#This Row],[Employee No.]],Table1_1[[Employee No.]:[Employee Name]],2,FALSE)</f>
        <v>MOHAMAD AIZAD BIN MAT ABU</v>
      </c>
      <c r="E198" t="str">
        <f>VLOOKUP(Table3[[#This Row],[Employee No.]],Table1_1[[Employee No.]:[Department]],6,FALSE)</f>
        <v>ROUTER</v>
      </c>
      <c r="F198" t="str">
        <f>VLOOKUP(Table3[[#This Row],[Employee No.]],Table1_1[[Employee No.]:[Gender]],7,FALSE)</f>
        <v>M</v>
      </c>
      <c r="G198" t="str">
        <f>VLOOKUP(Table3[[#This Row],[Employee No.]],Table1_1[[Employee No.]:[Shift]],9,FALSE)</f>
        <v>SHIFT B</v>
      </c>
      <c r="H198" s="25">
        <v>1</v>
      </c>
      <c r="I198" s="25">
        <v>1</v>
      </c>
      <c r="J198" s="25">
        <v>1</v>
      </c>
      <c r="K198" s="25">
        <v>1</v>
      </c>
      <c r="L198" s="25">
        <v>1</v>
      </c>
      <c r="M198" s="25">
        <v>1</v>
      </c>
    </row>
    <row r="199" spans="3:16">
      <c r="C199" s="22" t="s">
        <v>1341</v>
      </c>
      <c r="D199" t="str">
        <f>VLOOKUP(Table3[[#This Row],[Employee No.]],Table1_1[[Employee No.]:[Employee Name]],2,FALSE)</f>
        <v>MUHAMMAD RIDZUAN BIN ABDUL HAMID</v>
      </c>
      <c r="E199" t="str">
        <f>VLOOKUP(Table3[[#This Row],[Employee No.]],Table1_1[[Employee No.]:[Department]],6,FALSE)</f>
        <v>FVI</v>
      </c>
      <c r="F199" t="str">
        <f>VLOOKUP(Table3[[#This Row],[Employee No.]],Table1_1[[Employee No.]:[Gender]],7,FALSE)</f>
        <v>M</v>
      </c>
      <c r="G199" t="str">
        <f>VLOOKUP(Table3[[#This Row],[Employee No.]],Table1_1[[Employee No.]:[Shift]],9,FALSE)</f>
        <v>SHIFT C</v>
      </c>
      <c r="H199" s="25">
        <v>1</v>
      </c>
      <c r="I199" s="25">
        <v>1</v>
      </c>
      <c r="J199" s="25">
        <v>1</v>
      </c>
      <c r="K199" s="25">
        <v>1</v>
      </c>
      <c r="L199" s="25">
        <v>1</v>
      </c>
      <c r="M199" s="25">
        <v>1</v>
      </c>
      <c r="P199" s="25"/>
    </row>
    <row r="200" spans="3:16">
      <c r="C200" s="22" t="s">
        <v>1345</v>
      </c>
      <c r="D200" t="str">
        <f>VLOOKUP(Table3[[#This Row],[Employee No.]],Table1_1[[Employee No.]:[Employee Name]],2,FALSE)</f>
        <v>MUHAMMAD ARIF MUQRI BIN IDRUS</v>
      </c>
      <c r="E200" t="str">
        <f>VLOOKUP(Table3[[#This Row],[Employee No.]],Table1_1[[Employee No.]:[Department]],6,FALSE)</f>
        <v>ROUTER</v>
      </c>
      <c r="F200" t="str">
        <f>VLOOKUP(Table3[[#This Row],[Employee No.]],Table1_1[[Employee No.]:[Gender]],7,FALSE)</f>
        <v>M</v>
      </c>
      <c r="G200" t="str">
        <f>VLOOKUP(Table3[[#This Row],[Employee No.]],Table1_1[[Employee No.]:[Shift]],9,FALSE)</f>
        <v>SHIFT A</v>
      </c>
      <c r="H200" s="25">
        <v>1</v>
      </c>
      <c r="I200" s="25">
        <v>1</v>
      </c>
      <c r="J200" s="25">
        <v>1</v>
      </c>
      <c r="K200" s="25">
        <v>1</v>
      </c>
      <c r="L200" s="25">
        <v>1</v>
      </c>
      <c r="M200" s="25">
        <v>1</v>
      </c>
    </row>
    <row r="201" spans="3:16">
      <c r="C201" s="22" t="s">
        <v>1349</v>
      </c>
      <c r="D201" t="str">
        <f>VLOOKUP(Table3[[#This Row],[Employee No.]],Table1_1[[Employee No.]:[Employee Name]],2,FALSE)</f>
        <v>MUHAMMAD BIN MOHAMAD FADZIL</v>
      </c>
      <c r="E201" t="str">
        <f>VLOOKUP(Table3[[#This Row],[Employee No.]],Table1_1[[Employee No.]:[Department]],6,FALSE)</f>
        <v>FVI</v>
      </c>
      <c r="F201" t="str">
        <f>VLOOKUP(Table3[[#This Row],[Employee No.]],Table1_1[[Employee No.]:[Gender]],7,FALSE)</f>
        <v>M</v>
      </c>
      <c r="G201" t="str">
        <f>VLOOKUP(Table3[[#This Row],[Employee No.]],Table1_1[[Employee No.]:[Shift]],9,FALSE)</f>
        <v>SHIFT B</v>
      </c>
      <c r="H201" s="25">
        <v>1</v>
      </c>
      <c r="I201" s="25">
        <v>1</v>
      </c>
      <c r="J201" s="25">
        <v>1</v>
      </c>
      <c r="K201" s="25">
        <v>1</v>
      </c>
      <c r="L201" s="25">
        <v>1</v>
      </c>
      <c r="M201" s="25">
        <v>1</v>
      </c>
    </row>
    <row r="202" spans="3:16">
      <c r="C202" s="22" t="s">
        <v>1353</v>
      </c>
      <c r="D202" t="str">
        <f>VLOOKUP(Table3[[#This Row],[Employee No.]],Table1_1[[Employee No.]:[Employee Name]],2,FALSE)</f>
        <v>MUHAMMAD NOR IRFAN BIN AZHAR</v>
      </c>
      <c r="E202" t="str">
        <f>VLOOKUP(Table3[[#This Row],[Employee No.]],Table1_1[[Employee No.]:[Department]],6,FALSE)</f>
        <v>FVI</v>
      </c>
      <c r="F202" t="str">
        <f>VLOOKUP(Table3[[#This Row],[Employee No.]],Table1_1[[Employee No.]:[Gender]],7,FALSE)</f>
        <v>M</v>
      </c>
      <c r="G202" t="str">
        <f>VLOOKUP(Table3[[#This Row],[Employee No.]],Table1_1[[Employee No.]:[Shift]],9,FALSE)</f>
        <v>SHIFT B</v>
      </c>
      <c r="H202" s="25">
        <v>1</v>
      </c>
      <c r="I202" s="25">
        <v>1</v>
      </c>
      <c r="J202" s="25">
        <v>1</v>
      </c>
      <c r="K202" s="25">
        <v>1</v>
      </c>
      <c r="L202" s="25">
        <v>1</v>
      </c>
      <c r="M202" s="25">
        <v>1</v>
      </c>
    </row>
    <row r="203" spans="3:16">
      <c r="C203" s="22" t="s">
        <v>1357</v>
      </c>
      <c r="D203" t="str">
        <f>VLOOKUP(Table3[[#This Row],[Employee No.]],Table1_1[[Employee No.]:[Employee Name]],2,FALSE)</f>
        <v>MUHAMMAD HAFIZZUDIN NAJMI BIN SHAHRUL</v>
      </c>
      <c r="E203" t="str">
        <f>VLOOKUP(Table3[[#This Row],[Employee No.]],Table1_1[[Employee No.]:[Department]],6,FALSE)</f>
        <v>SM</v>
      </c>
      <c r="F203" t="str">
        <f>VLOOKUP(Table3[[#This Row],[Employee No.]],Table1_1[[Employee No.]:[Gender]],7,FALSE)</f>
        <v>M</v>
      </c>
      <c r="G203" t="str">
        <f>VLOOKUP(Table3[[#This Row],[Employee No.]],Table1_1[[Employee No.]:[Shift]],9,FALSE)</f>
        <v>SHIFT A</v>
      </c>
      <c r="H203" s="25">
        <v>1</v>
      </c>
      <c r="I203" s="25">
        <v>1</v>
      </c>
      <c r="J203" s="25">
        <v>1</v>
      </c>
      <c r="K203" s="25">
        <v>1</v>
      </c>
      <c r="L203" s="25">
        <v>1</v>
      </c>
      <c r="M203" s="25">
        <v>1</v>
      </c>
    </row>
    <row r="204" spans="3:16">
      <c r="C204" s="22" t="s">
        <v>1360</v>
      </c>
      <c r="D204" t="str">
        <f>VLOOKUP(Table3[[#This Row],[Employee No.]],Table1_1[[Employee No.]:[Employee Name]],2,FALSE)</f>
        <v>ATIKAH SYAZWANI BINTI ALIAS</v>
      </c>
      <c r="E204" t="str">
        <f>VLOOKUP(Table3[[#This Row],[Employee No.]],Table1_1[[Employee No.]:[Department]],6,FALSE)</f>
        <v>QUALITY</v>
      </c>
      <c r="F204" t="str">
        <f>VLOOKUP(Table3[[#This Row],[Employee No.]],Table1_1[[Employee No.]:[Gender]],7,FALSE)</f>
        <v>F</v>
      </c>
      <c r="G204" t="str">
        <f>VLOOKUP(Table3[[#This Row],[Employee No.]],Table1_1[[Employee No.]:[Shift]],9,FALSE)</f>
        <v>SHIFT A</v>
      </c>
      <c r="H204" s="25">
        <v>1</v>
      </c>
      <c r="I204" s="25">
        <v>1</v>
      </c>
      <c r="J204" s="25">
        <v>1</v>
      </c>
      <c r="K204" s="25">
        <v>1</v>
      </c>
      <c r="L204" s="25">
        <v>1</v>
      </c>
      <c r="M204" s="25">
        <v>1</v>
      </c>
    </row>
    <row r="205" spans="3:16">
      <c r="C205" s="22" t="s">
        <v>1364</v>
      </c>
      <c r="D205" t="str">
        <f>VLOOKUP(Table3[[#This Row],[Employee No.]],Table1_1[[Employee No.]:[Employee Name]],2,FALSE)</f>
        <v>SITI AMINAH BINTI SHARIFF</v>
      </c>
      <c r="E205" t="str">
        <f>VLOOKUP(Table3[[#This Row],[Employee No.]],Table1_1[[Employee No.]:[Department]],6,FALSE)</f>
        <v>FVI</v>
      </c>
      <c r="F205" t="str">
        <f>VLOOKUP(Table3[[#This Row],[Employee No.]],Table1_1[[Employee No.]:[Gender]],7,FALSE)</f>
        <v>F</v>
      </c>
      <c r="G205" t="str">
        <f>VLOOKUP(Table3[[#This Row],[Employee No.]],Table1_1[[Employee No.]:[Shift]],9,FALSE)</f>
        <v>SHIFT C</v>
      </c>
      <c r="H205" s="25">
        <v>1</v>
      </c>
      <c r="I205" s="25">
        <v>1</v>
      </c>
      <c r="J205" s="25">
        <v>1</v>
      </c>
      <c r="K205" s="25">
        <v>1</v>
      </c>
      <c r="L205" s="25">
        <v>1</v>
      </c>
      <c r="M205" s="25">
        <v>1</v>
      </c>
      <c r="P205" s="25"/>
    </row>
    <row r="206" spans="3:16">
      <c r="C206" s="22" t="s">
        <v>1368</v>
      </c>
      <c r="D206" t="str">
        <f>VLOOKUP(Table3[[#This Row],[Employee No.]],Table1_1[[Employee No.]:[Employee Name]],2,FALSE)</f>
        <v>SITI NUR HAYATI BINTI BAHAROM</v>
      </c>
      <c r="E206" t="str">
        <f>VLOOKUP(Table3[[#This Row],[Employee No.]],Table1_1[[Employee No.]:[Department]],6,FALSE)</f>
        <v>FVI</v>
      </c>
      <c r="F206" t="str">
        <f>VLOOKUP(Table3[[#This Row],[Employee No.]],Table1_1[[Employee No.]:[Gender]],7,FALSE)</f>
        <v>F</v>
      </c>
      <c r="G206" t="str">
        <f>VLOOKUP(Table3[[#This Row],[Employee No.]],Table1_1[[Employee No.]:[Shift]],9,FALSE)</f>
        <v>SHIFT C</v>
      </c>
      <c r="H206" s="25">
        <v>1</v>
      </c>
      <c r="I206" s="25">
        <v>1</v>
      </c>
      <c r="J206" s="25">
        <v>1</v>
      </c>
      <c r="K206" s="25">
        <v>1</v>
      </c>
      <c r="L206" s="25">
        <v>1</v>
      </c>
      <c r="M206" s="25">
        <v>1</v>
      </c>
      <c r="P206" s="25"/>
    </row>
    <row r="207" spans="3:16">
      <c r="C207" s="22" t="s">
        <v>1372</v>
      </c>
      <c r="D207" t="str">
        <f>VLOOKUP(Table3[[#This Row],[Employee No.]],Table1_1[[Employee No.]:[Employee Name]],2,FALSE)</f>
        <v>MOHAMAD RAZIF BIN JELANI</v>
      </c>
      <c r="E207" t="str">
        <f>VLOOKUP(Table3[[#This Row],[Employee No.]],Table1_1[[Employee No.]:[Department]],6,FALSE)</f>
        <v>ROUTER</v>
      </c>
      <c r="F207" t="str">
        <f>VLOOKUP(Table3[[#This Row],[Employee No.]],Table1_1[[Employee No.]:[Gender]],7,FALSE)</f>
        <v>M</v>
      </c>
      <c r="G207" t="str">
        <f>VLOOKUP(Table3[[#This Row],[Employee No.]],Table1_1[[Employee No.]:[Shift]],9,FALSE)</f>
        <v>SHIFT A</v>
      </c>
      <c r="H207" s="25">
        <v>1</v>
      </c>
      <c r="I207" s="25">
        <v>1</v>
      </c>
      <c r="J207" s="25">
        <v>1</v>
      </c>
      <c r="K207" s="25">
        <v>1</v>
      </c>
      <c r="L207" s="25">
        <v>1</v>
      </c>
      <c r="M207" s="25">
        <v>1</v>
      </c>
    </row>
    <row r="208" spans="3:16">
      <c r="C208" s="22" t="s">
        <v>1376</v>
      </c>
      <c r="D208" t="str">
        <f>VLOOKUP(Table3[[#This Row],[Employee No.]],Table1_1[[Employee No.]:[Employee Name]],2,FALSE)</f>
        <v>MUHAMMAD SAFARIN BIN SHAMSOL ALBAR</v>
      </c>
      <c r="E208" t="str">
        <f>VLOOKUP(Table3[[#This Row],[Employee No.]],Table1_1[[Employee No.]:[Department]],6,FALSE)</f>
        <v>ROUTER</v>
      </c>
      <c r="F208" t="str">
        <f>VLOOKUP(Table3[[#This Row],[Employee No.]],Table1_1[[Employee No.]:[Gender]],7,FALSE)</f>
        <v>M</v>
      </c>
      <c r="G208" t="str">
        <f>VLOOKUP(Table3[[#This Row],[Employee No.]],Table1_1[[Employee No.]:[Shift]],9,FALSE)</f>
        <v>SHIFT C</v>
      </c>
      <c r="H208" s="25">
        <v>1</v>
      </c>
      <c r="I208" s="25">
        <v>1</v>
      </c>
      <c r="J208" s="25">
        <v>1</v>
      </c>
      <c r="K208" s="25">
        <v>1</v>
      </c>
      <c r="L208" s="25">
        <v>1</v>
      </c>
      <c r="M208" s="25">
        <v>1</v>
      </c>
      <c r="P208" s="25"/>
    </row>
    <row r="209" spans="3:16">
      <c r="C209" s="22" t="s">
        <v>1380</v>
      </c>
      <c r="D209" t="str">
        <f>VLOOKUP(Table3[[#This Row],[Employee No.]],Table1_1[[Employee No.]:[Employee Name]],2,FALSE)</f>
        <v>MOHAMAD IDRIS BIN AHMAD FADZIL</v>
      </c>
      <c r="E209" t="str">
        <f>VLOOKUP(Table3[[#This Row],[Employee No.]],Table1_1[[Employee No.]:[Department]],6,FALSE)</f>
        <v>FVI</v>
      </c>
      <c r="F209" t="str">
        <f>VLOOKUP(Table3[[#This Row],[Employee No.]],Table1_1[[Employee No.]:[Gender]],7,FALSE)</f>
        <v>M</v>
      </c>
      <c r="G209" t="str">
        <f>VLOOKUP(Table3[[#This Row],[Employee No.]],Table1_1[[Employee No.]:[Shift]],9,FALSE)</f>
        <v>SHIFT A</v>
      </c>
      <c r="H209" s="25">
        <v>1</v>
      </c>
      <c r="I209" s="25">
        <v>1</v>
      </c>
      <c r="J209" s="25">
        <v>1</v>
      </c>
      <c r="K209" s="25">
        <v>1</v>
      </c>
      <c r="L209" s="25">
        <v>1</v>
      </c>
      <c r="M209" s="25">
        <v>1</v>
      </c>
    </row>
    <row r="210" spans="3:16">
      <c r="C210" s="22" t="s">
        <v>1384</v>
      </c>
      <c r="D210" t="str">
        <f>VLOOKUP(Table3[[#This Row],[Employee No.]],Table1_1[[Employee No.]:[Employee Name]],2,FALSE)</f>
        <v>MOHAMAD FAIZ BIN AZHAR</v>
      </c>
      <c r="E210" t="str">
        <f>VLOOKUP(Table3[[#This Row],[Employee No.]],Table1_1[[Employee No.]:[Department]],6,FALSE)</f>
        <v>SM</v>
      </c>
      <c r="F210" t="str">
        <f>VLOOKUP(Table3[[#This Row],[Employee No.]],Table1_1[[Employee No.]:[Gender]],7,FALSE)</f>
        <v>M</v>
      </c>
      <c r="G210" t="str">
        <f>VLOOKUP(Table3[[#This Row],[Employee No.]],Table1_1[[Employee No.]:[Shift]],9,FALSE)</f>
        <v>SHIFT B</v>
      </c>
      <c r="H210" s="25">
        <v>1</v>
      </c>
      <c r="I210" s="25">
        <v>1</v>
      </c>
      <c r="J210" s="25">
        <v>1</v>
      </c>
      <c r="K210" s="25">
        <v>1</v>
      </c>
      <c r="L210" s="25">
        <v>1</v>
      </c>
      <c r="M210" s="25">
        <v>1</v>
      </c>
    </row>
    <row r="211" spans="3:16">
      <c r="C211" s="22" t="s">
        <v>1389</v>
      </c>
      <c r="D211" t="str">
        <f>VLOOKUP(Table3[[#This Row],[Employee No.]],Table1_1[[Employee No.]:[Employee Name]],2,FALSE)</f>
        <v>MUHAMMAD DINIE BIN HASHIMI</v>
      </c>
      <c r="E211" t="str">
        <f>VLOOKUP(Table3[[#This Row],[Employee No.]],Table1_1[[Employee No.]:[Department]],6,FALSE)</f>
        <v>SM</v>
      </c>
      <c r="F211" t="str">
        <f>VLOOKUP(Table3[[#This Row],[Employee No.]],Table1_1[[Employee No.]:[Gender]],7,FALSE)</f>
        <v>M</v>
      </c>
      <c r="G211" t="str">
        <f>VLOOKUP(Table3[[#This Row],[Employee No.]],Table1_1[[Employee No.]:[Shift]],9,FALSE)</f>
        <v>SHIFT E</v>
      </c>
      <c r="H211" s="25">
        <v>0</v>
      </c>
      <c r="I211" s="25">
        <v>1</v>
      </c>
      <c r="J211" s="25">
        <v>0</v>
      </c>
      <c r="K211" s="25">
        <v>1</v>
      </c>
      <c r="L211" s="25">
        <v>1</v>
      </c>
      <c r="M211" s="25">
        <v>1</v>
      </c>
    </row>
    <row r="212" spans="3:16">
      <c r="C212" s="22" t="s">
        <v>1393</v>
      </c>
      <c r="D212" t="str">
        <f>VLOOKUP(Table3[[#This Row],[Employee No.]],Table1_1[[Employee No.]:[Employee Name]],2,FALSE)</f>
        <v>ADAM FITRI BIN JEFFREY</v>
      </c>
      <c r="E212" t="str">
        <f>VLOOKUP(Table3[[#This Row],[Employee No.]],Table1_1[[Employee No.]:[Department]],6,FALSE)</f>
        <v>MAKE UP</v>
      </c>
      <c r="F212" t="str">
        <f>VLOOKUP(Table3[[#This Row],[Employee No.]],Table1_1[[Employee No.]:[Gender]],7,FALSE)</f>
        <v>M</v>
      </c>
      <c r="G212" t="str">
        <f>VLOOKUP(Table3[[#This Row],[Employee No.]],Table1_1[[Employee No.]:[Shift]],9,FALSE)</f>
        <v>SHIFT O</v>
      </c>
      <c r="H212" s="25">
        <v>0</v>
      </c>
      <c r="I212" s="25">
        <v>0</v>
      </c>
      <c r="J212" s="25">
        <v>1</v>
      </c>
      <c r="K212" s="25">
        <v>1</v>
      </c>
      <c r="L212" s="25">
        <v>1</v>
      </c>
      <c r="M212" s="25">
        <v>0</v>
      </c>
    </row>
    <row r="213" spans="3:16">
      <c r="C213" s="22" t="s">
        <v>1399</v>
      </c>
      <c r="D213" t="str">
        <f>VLOOKUP(Table3[[#This Row],[Employee No.]],Table1_1[[Employee No.]:[Employee Name]],2,FALSE)</f>
        <v>NORSYAFIRAH BINTI SHAFFIE</v>
      </c>
      <c r="E213" t="str">
        <f>VLOOKUP(Table3[[#This Row],[Employee No.]],Table1_1[[Employee No.]:[Department]],6,FALSE)</f>
        <v>AOI</v>
      </c>
      <c r="F213" t="str">
        <f>VLOOKUP(Table3[[#This Row],[Employee No.]],Table1_1[[Employee No.]:[Gender]],7,FALSE)</f>
        <v>F</v>
      </c>
      <c r="G213" t="str">
        <f>VLOOKUP(Table3[[#This Row],[Employee No.]],Table1_1[[Employee No.]:[Shift]],9,FALSE)</f>
        <v>SHIFT A</v>
      </c>
      <c r="H213" s="25">
        <v>1</v>
      </c>
      <c r="I213" s="25">
        <v>1</v>
      </c>
      <c r="J213" s="25">
        <v>1</v>
      </c>
      <c r="K213" s="25">
        <v>1</v>
      </c>
      <c r="L213" s="25">
        <v>1</v>
      </c>
      <c r="M213" s="25">
        <v>1</v>
      </c>
    </row>
    <row r="214" spans="3:16">
      <c r="C214" s="22" t="s">
        <v>1403</v>
      </c>
      <c r="D214" t="str">
        <f>VLOOKUP(Table3[[#This Row],[Employee No.]],Table1_1[[Employee No.]:[Employee Name]],2,FALSE)</f>
        <v>AMIRUL ASHRAF BIN ROPIE</v>
      </c>
      <c r="E214" t="str">
        <f>VLOOKUP(Table3[[#This Row],[Employee No.]],Table1_1[[Employee No.]:[Department]],6,FALSE)</f>
        <v>BBT</v>
      </c>
      <c r="F214" t="str">
        <f>VLOOKUP(Table3[[#This Row],[Employee No.]],Table1_1[[Employee No.]:[Gender]],7,FALSE)</f>
        <v>M</v>
      </c>
      <c r="G214" t="str">
        <f>VLOOKUP(Table3[[#This Row],[Employee No.]],Table1_1[[Employee No.]:[Shift]],9,FALSE)</f>
        <v>SHIFT E</v>
      </c>
      <c r="H214" s="25">
        <v>0</v>
      </c>
      <c r="I214" s="25">
        <v>1</v>
      </c>
      <c r="J214" s="25">
        <v>1</v>
      </c>
      <c r="K214" s="25">
        <v>1</v>
      </c>
      <c r="L214" s="25">
        <v>1</v>
      </c>
      <c r="M214" s="25">
        <v>1</v>
      </c>
    </row>
    <row r="215" spans="3:16">
      <c r="C215" s="22" t="s">
        <v>1407</v>
      </c>
      <c r="D215" t="str">
        <f>VLOOKUP(Table3[[#This Row],[Employee No.]],Table1_1[[Employee No.]:[Employee Name]],2,FALSE)</f>
        <v>MUHAMMAD RIDZUAN BIN MAT ISA</v>
      </c>
      <c r="E215" t="str">
        <f>VLOOKUP(Table3[[#This Row],[Employee No.]],Table1_1[[Employee No.]:[Department]],6,FALSE)</f>
        <v>LASER</v>
      </c>
      <c r="F215" t="str">
        <f>VLOOKUP(Table3[[#This Row],[Employee No.]],Table1_1[[Employee No.]:[Gender]],7,FALSE)</f>
        <v>M</v>
      </c>
      <c r="G215" t="str">
        <f>VLOOKUP(Table3[[#This Row],[Employee No.]],Table1_1[[Employee No.]:[Shift]],9,FALSE)</f>
        <v>SHIFT A</v>
      </c>
      <c r="H215" s="25">
        <v>0</v>
      </c>
      <c r="I215" s="25">
        <v>1</v>
      </c>
      <c r="J215" s="25">
        <v>1</v>
      </c>
      <c r="K215" s="25">
        <v>1</v>
      </c>
      <c r="L215" s="25">
        <v>1</v>
      </c>
      <c r="M215" s="25">
        <v>1</v>
      </c>
    </row>
    <row r="216" spans="3:16">
      <c r="C216" s="22" t="s">
        <v>1418</v>
      </c>
      <c r="D216" t="str">
        <f>VLOOKUP(Table3[[#This Row],[Employee No.]],Table1_1[[Employee No.]:[Employee Name]],2,FALSE)</f>
        <v>CHE MUHAMMAD SYAZWAN BIN CHE ZOLLKEFLI</v>
      </c>
      <c r="E216" t="str">
        <f>VLOOKUP(Table3[[#This Row],[Employee No.]],Table1_1[[Employee No.]:[Department]],6,FALSE)</f>
        <v>EQUIPMENT</v>
      </c>
      <c r="F216" t="str">
        <f>VLOOKUP(Table3[[#This Row],[Employee No.]],Table1_1[[Employee No.]:[Gender]],7,FALSE)</f>
        <v>M</v>
      </c>
      <c r="G216" t="str">
        <f>VLOOKUP(Table3[[#This Row],[Employee No.]],Table1_1[[Employee No.]:[Shift]],9,FALSE)</f>
        <v>SHIFT C</v>
      </c>
      <c r="H216" s="25">
        <v>1</v>
      </c>
      <c r="I216" s="25">
        <v>1</v>
      </c>
      <c r="J216" s="25">
        <v>1</v>
      </c>
      <c r="K216" s="25">
        <v>1</v>
      </c>
      <c r="L216" s="25">
        <v>0</v>
      </c>
      <c r="M216" s="25">
        <v>0</v>
      </c>
      <c r="P216" s="25"/>
    </row>
    <row r="217" spans="3:16">
      <c r="C217" s="22" t="s">
        <v>1422</v>
      </c>
      <c r="D217" t="str">
        <f>VLOOKUP(Table3[[#This Row],[Employee No.]],Table1_1[[Employee No.]:[Employee Name]],2,FALSE)</f>
        <v>MOHAMAD IKMAL HAKIM BIN ZAINOL ABIDIN</v>
      </c>
      <c r="E217" t="str">
        <f>VLOOKUP(Table3[[#This Row],[Employee No.]],Table1_1[[Employee No.]:[Department]],6,FALSE)</f>
        <v>DRILL</v>
      </c>
      <c r="F217" t="str">
        <f>VLOOKUP(Table3[[#This Row],[Employee No.]],Table1_1[[Employee No.]:[Gender]],7,FALSE)</f>
        <v>M</v>
      </c>
      <c r="G217" t="str">
        <f>VLOOKUP(Table3[[#This Row],[Employee No.]],Table1_1[[Employee No.]:[Shift]],9,FALSE)</f>
        <v>SHIFT C</v>
      </c>
      <c r="H217" s="25">
        <v>1</v>
      </c>
      <c r="I217" s="25">
        <v>1</v>
      </c>
      <c r="J217" s="25">
        <v>1</v>
      </c>
      <c r="K217" s="25">
        <v>1</v>
      </c>
      <c r="L217" s="25">
        <v>1</v>
      </c>
      <c r="M217" s="25">
        <v>1</v>
      </c>
      <c r="P217" s="25"/>
    </row>
    <row r="218" spans="3:16">
      <c r="C218" s="22" t="s">
        <v>1426</v>
      </c>
      <c r="D218" t="str">
        <f>VLOOKUP(Table3[[#This Row],[Employee No.]],Table1_1[[Employee No.]:[Employee Name]],2,FALSE)</f>
        <v>MOHD HAFIZ BIN SULAIMAN</v>
      </c>
      <c r="E218" t="str">
        <f>VLOOKUP(Table3[[#This Row],[Employee No.]],Table1_1[[Employee No.]:[Department]],6,FALSE)</f>
        <v>SM</v>
      </c>
      <c r="F218" t="str">
        <f>VLOOKUP(Table3[[#This Row],[Employee No.]],Table1_1[[Employee No.]:[Gender]],7,FALSE)</f>
        <v>M</v>
      </c>
      <c r="G218" t="str">
        <f>VLOOKUP(Table3[[#This Row],[Employee No.]],Table1_1[[Employee No.]:[Shift]],9,FALSE)</f>
        <v>SHIFT E</v>
      </c>
      <c r="H218" s="25">
        <v>0</v>
      </c>
      <c r="I218" s="25">
        <v>1</v>
      </c>
      <c r="J218" s="25">
        <v>1</v>
      </c>
      <c r="K218" s="25">
        <v>1</v>
      </c>
      <c r="L218" s="25">
        <v>1</v>
      </c>
      <c r="M218" s="25">
        <v>0</v>
      </c>
    </row>
    <row r="219" spans="3:16">
      <c r="C219" s="22" t="s">
        <v>1430</v>
      </c>
      <c r="D219" t="str">
        <f>VLOOKUP(Table3[[#This Row],[Employee No.]],Table1_1[[Employee No.]:[Employee Name]],2,FALSE)</f>
        <v>MUHAMMAD ANIS RAHIMI BIN MOHD SOBRI</v>
      </c>
      <c r="E219" t="str">
        <f>VLOOKUP(Table3[[#This Row],[Employee No.]],Table1_1[[Employee No.]:[Department]],6,FALSE)</f>
        <v>MLB</v>
      </c>
      <c r="F219" t="str">
        <f>VLOOKUP(Table3[[#This Row],[Employee No.]],Table1_1[[Employee No.]:[Gender]],7,FALSE)</f>
        <v>M</v>
      </c>
      <c r="G219" t="str">
        <f>VLOOKUP(Table3[[#This Row],[Employee No.]],Table1_1[[Employee No.]:[Shift]],9,FALSE)</f>
        <v>SHIFT B</v>
      </c>
      <c r="H219" s="25">
        <v>1</v>
      </c>
      <c r="I219" s="25">
        <v>1</v>
      </c>
      <c r="J219" s="25">
        <v>1</v>
      </c>
      <c r="K219" s="25">
        <v>1</v>
      </c>
      <c r="L219" s="25">
        <v>1</v>
      </c>
      <c r="M219" s="25">
        <v>1</v>
      </c>
    </row>
    <row r="220" spans="3:16">
      <c r="C220" s="22" t="s">
        <v>1441</v>
      </c>
      <c r="D220" t="str">
        <f>VLOOKUP(Table3[[#This Row],[Employee No.]],Table1_1[[Employee No.]:[Employee Name]],2,FALSE)</f>
        <v>MUHAMMAD AMIRUL BIN NAGOR GANI</v>
      </c>
      <c r="E220" t="str">
        <f>VLOOKUP(Table3[[#This Row],[Employee No.]],Table1_1[[Employee No.]:[Department]],6,FALSE)</f>
        <v>WAREHOUSE</v>
      </c>
      <c r="F220" t="str">
        <f>VLOOKUP(Table3[[#This Row],[Employee No.]],Table1_1[[Employee No.]:[Gender]],7,FALSE)</f>
        <v>M</v>
      </c>
      <c r="G220" t="str">
        <f>VLOOKUP(Table3[[#This Row],[Employee No.]],Table1_1[[Employee No.]:[Shift]],9,FALSE)</f>
        <v>SHIFT C</v>
      </c>
      <c r="H220" s="25">
        <v>1</v>
      </c>
      <c r="I220" s="25">
        <v>1</v>
      </c>
      <c r="J220" s="25">
        <v>1</v>
      </c>
      <c r="K220" s="25">
        <v>1</v>
      </c>
      <c r="L220" s="25">
        <v>1</v>
      </c>
      <c r="M220" s="25">
        <v>1</v>
      </c>
      <c r="P220" s="25"/>
    </row>
    <row r="221" spans="3:16">
      <c r="C221" s="22" t="s">
        <v>1450</v>
      </c>
      <c r="D221" t="str">
        <f>VLOOKUP(Table3[[#This Row],[Employee No.]],Table1_1[[Employee No.]:[Employee Name]],2,FALSE)</f>
        <v>NURUL ATIKAH BINTI ZAKARIA</v>
      </c>
      <c r="E221" t="str">
        <f>VLOOKUP(Table3[[#This Row],[Employee No.]],Table1_1[[Employee No.]:[Department]],6,FALSE)</f>
        <v>QUALITY</v>
      </c>
      <c r="F221" t="str">
        <f>VLOOKUP(Table3[[#This Row],[Employee No.]],Table1_1[[Employee No.]:[Gender]],7,FALSE)</f>
        <v>F</v>
      </c>
      <c r="G221" t="str">
        <f>VLOOKUP(Table3[[#This Row],[Employee No.]],Table1_1[[Employee No.]:[Shift]],9,FALSE)</f>
        <v>SHIFT A</v>
      </c>
      <c r="H221" s="25">
        <v>0</v>
      </c>
      <c r="I221" s="25">
        <v>1</v>
      </c>
      <c r="J221" s="25">
        <v>1</v>
      </c>
      <c r="K221" s="25">
        <v>1</v>
      </c>
      <c r="L221" s="25">
        <v>1</v>
      </c>
      <c r="M221" s="25">
        <v>1</v>
      </c>
    </row>
    <row r="222" spans="3:16">
      <c r="C222" s="22" t="s">
        <v>1454</v>
      </c>
      <c r="D222" t="str">
        <f>VLOOKUP(Table3[[#This Row],[Employee No.]],Table1_1[[Employee No.]:[Employee Name]],2,FALSE)</f>
        <v>NURUL NADIA BINTI AZIZ</v>
      </c>
      <c r="E222" t="str">
        <f>VLOOKUP(Table3[[#This Row],[Employee No.]],Table1_1[[Employee No.]:[Department]],6,FALSE)</f>
        <v>QUALITY</v>
      </c>
      <c r="F222" t="str">
        <f>VLOOKUP(Table3[[#This Row],[Employee No.]],Table1_1[[Employee No.]:[Gender]],7,FALSE)</f>
        <v>F</v>
      </c>
      <c r="G222" t="str">
        <f>VLOOKUP(Table3[[#This Row],[Employee No.]],Table1_1[[Employee No.]:[Shift]],9,FALSE)</f>
        <v>SHIFT C</v>
      </c>
      <c r="H222" s="25">
        <v>1</v>
      </c>
      <c r="I222" s="25">
        <v>1</v>
      </c>
      <c r="J222" s="25">
        <v>1</v>
      </c>
      <c r="K222" s="25">
        <v>1</v>
      </c>
      <c r="L222" s="25">
        <v>1</v>
      </c>
      <c r="M222" s="25">
        <v>1</v>
      </c>
      <c r="P222" s="25"/>
    </row>
    <row r="223" spans="3:16">
      <c r="C223" s="22" t="s">
        <v>1462</v>
      </c>
      <c r="D223" t="str">
        <f>VLOOKUP(Table3[[#This Row],[Employee No.]],Table1_1[[Employee No.]:[Employee Name]],2,FALSE)</f>
        <v>MOHD HASBI BIN BADROL SHAM</v>
      </c>
      <c r="E223" t="str">
        <f>VLOOKUP(Table3[[#This Row],[Employee No.]],Table1_1[[Employee No.]:[Department]],6,FALSE)</f>
        <v>QUALITY</v>
      </c>
      <c r="F223" t="str">
        <f>VLOOKUP(Table3[[#This Row],[Employee No.]],Table1_1[[Employee No.]:[Gender]],7,FALSE)</f>
        <v>M</v>
      </c>
      <c r="G223" t="str">
        <f>VLOOKUP(Table3[[#This Row],[Employee No.]],Table1_1[[Employee No.]:[Shift]],9,FALSE)</f>
        <v>SHIFT B</v>
      </c>
      <c r="H223" s="25">
        <v>1</v>
      </c>
      <c r="I223" s="25">
        <v>1</v>
      </c>
      <c r="J223" s="25">
        <v>1</v>
      </c>
      <c r="K223" s="25">
        <v>1</v>
      </c>
      <c r="L223" s="25">
        <v>1</v>
      </c>
      <c r="M223" s="25">
        <v>1</v>
      </c>
    </row>
    <row r="224" spans="3:16">
      <c r="C224" s="22" t="s">
        <v>1470</v>
      </c>
      <c r="D224" t="str">
        <f>VLOOKUP(Table3[[#This Row],[Employee No.]],Table1_1[[Employee No.]:[Employee Name]],2,FALSE)</f>
        <v>NUR ATIKAH FARHANA BINTI SUHARDI</v>
      </c>
      <c r="E224" t="str">
        <f>VLOOKUP(Table3[[#This Row],[Employee No.]],Table1_1[[Employee No.]:[Department]],6,FALSE)</f>
        <v>QUALITY</v>
      </c>
      <c r="F224" t="str">
        <f>VLOOKUP(Table3[[#This Row],[Employee No.]],Table1_1[[Employee No.]:[Gender]],7,FALSE)</f>
        <v>F</v>
      </c>
      <c r="G224" t="str">
        <f>VLOOKUP(Table3[[#This Row],[Employee No.]],Table1_1[[Employee No.]:[Shift]],9,FALSE)</f>
        <v>SHIFT O</v>
      </c>
      <c r="H224" s="25">
        <v>0</v>
      </c>
      <c r="I224" s="25">
        <v>1</v>
      </c>
      <c r="J224" s="25">
        <v>1</v>
      </c>
      <c r="K224" s="25">
        <v>1</v>
      </c>
      <c r="L224" s="25">
        <v>1</v>
      </c>
      <c r="M224" s="25">
        <v>0</v>
      </c>
    </row>
    <row r="225" spans="3:16">
      <c r="C225" s="22" t="s">
        <v>1475</v>
      </c>
      <c r="D225" t="str">
        <f>VLOOKUP(Table3[[#This Row],[Employee No.]],Table1_1[[Employee No.]:[Employee Name]],2,FALSE)</f>
        <v>HAFIZAL FITRI BIN RAZALI</v>
      </c>
      <c r="E225" t="str">
        <f>VLOOKUP(Table3[[#This Row],[Employee No.]],Table1_1[[Employee No.]:[Department]],6,FALSE)</f>
        <v>DESIGN</v>
      </c>
      <c r="F225" t="str">
        <f>VLOOKUP(Table3[[#This Row],[Employee No.]],Table1_1[[Employee No.]:[Gender]],7,FALSE)</f>
        <v>M</v>
      </c>
      <c r="G225" t="str">
        <f>VLOOKUP(Table3[[#This Row],[Employee No.]],Table1_1[[Employee No.]:[Shift]],9,FALSE)</f>
        <v>SHIFT A</v>
      </c>
      <c r="H225" s="25">
        <v>1</v>
      </c>
      <c r="I225" s="25">
        <v>1</v>
      </c>
      <c r="J225" s="25">
        <v>1</v>
      </c>
      <c r="K225" s="25">
        <v>1</v>
      </c>
      <c r="L225" s="25">
        <v>1</v>
      </c>
      <c r="M225" s="25">
        <v>1</v>
      </c>
    </row>
    <row r="226" spans="3:16">
      <c r="C226" s="22" t="s">
        <v>1479</v>
      </c>
      <c r="D226" t="str">
        <f>VLOOKUP(Table3[[#This Row],[Employee No.]],Table1_1[[Employee No.]:[Employee Name]],2,FALSE)</f>
        <v>ZHAFRI BIN MOHD NASAIR</v>
      </c>
      <c r="E226" t="str">
        <f>VLOOKUP(Table3[[#This Row],[Employee No.]],Table1_1[[Employee No.]:[Department]],6,FALSE)</f>
        <v>ROUTER</v>
      </c>
      <c r="F226" t="str">
        <f>VLOOKUP(Table3[[#This Row],[Employee No.]],Table1_1[[Employee No.]:[Gender]],7,FALSE)</f>
        <v>M</v>
      </c>
      <c r="G226" t="str">
        <f>VLOOKUP(Table3[[#This Row],[Employee No.]],Table1_1[[Employee No.]:[Shift]],9,FALSE)</f>
        <v>SHIFT C</v>
      </c>
      <c r="H226" s="25">
        <v>1</v>
      </c>
      <c r="I226" s="25">
        <v>1</v>
      </c>
      <c r="J226" s="25">
        <v>1</v>
      </c>
      <c r="K226" s="25">
        <v>1</v>
      </c>
      <c r="L226" s="25">
        <v>1</v>
      </c>
      <c r="M226" s="25">
        <v>1</v>
      </c>
      <c r="P226" s="25"/>
    </row>
    <row r="227" spans="3:16">
      <c r="C227" s="22" t="s">
        <v>1483</v>
      </c>
      <c r="D227" t="str">
        <f>VLOOKUP(Table3[[#This Row],[Employee No.]],Table1_1[[Employee No.]:[Employee Name]],2,FALSE)</f>
        <v>MUHAMMAD ZAKWAN BIN HAMID</v>
      </c>
      <c r="E227" t="str">
        <f>VLOOKUP(Table3[[#This Row],[Employee No.]],Table1_1[[Employee No.]:[Department]],6,FALSE)</f>
        <v>DRILL</v>
      </c>
      <c r="F227" t="str">
        <f>VLOOKUP(Table3[[#This Row],[Employee No.]],Table1_1[[Employee No.]:[Gender]],7,FALSE)</f>
        <v>M</v>
      </c>
      <c r="G227" t="str">
        <f>VLOOKUP(Table3[[#This Row],[Employee No.]],Table1_1[[Employee No.]:[Shift]],9,FALSE)</f>
        <v>SHIFT A</v>
      </c>
      <c r="H227" s="25">
        <v>1</v>
      </c>
      <c r="I227" s="25">
        <v>1</v>
      </c>
      <c r="J227" s="25">
        <v>1</v>
      </c>
      <c r="K227" s="25">
        <v>1</v>
      </c>
      <c r="L227" s="25">
        <v>1</v>
      </c>
      <c r="M227" s="25">
        <v>1</v>
      </c>
    </row>
    <row r="228" spans="3:16">
      <c r="C228" s="22" t="s">
        <v>1486</v>
      </c>
      <c r="D228" t="str">
        <f>VLOOKUP(Table3[[#This Row],[Employee No.]],Table1_1[[Employee No.]:[Employee Name]],2,FALSE)</f>
        <v>AHMAD AQIL AKMAL BIN AHMAD ZUKI</v>
      </c>
      <c r="E228" t="str">
        <f>VLOOKUP(Table3[[#This Row],[Employee No.]],Table1_1[[Employee No.]:[Department]],6,FALSE)</f>
        <v>AU</v>
      </c>
      <c r="F228" t="str">
        <f>VLOOKUP(Table3[[#This Row],[Employee No.]],Table1_1[[Employee No.]:[Gender]],7,FALSE)</f>
        <v>M</v>
      </c>
      <c r="G228" t="str">
        <f>VLOOKUP(Table3[[#This Row],[Employee No.]],Table1_1[[Employee No.]:[Shift]],9,FALSE)</f>
        <v>SHIFT E</v>
      </c>
      <c r="H228" s="25">
        <v>0</v>
      </c>
      <c r="I228" s="25">
        <v>1</v>
      </c>
      <c r="J228" s="25">
        <v>1</v>
      </c>
      <c r="K228" s="25">
        <v>1</v>
      </c>
      <c r="L228" s="25">
        <v>1</v>
      </c>
      <c r="M228" s="25">
        <v>0</v>
      </c>
    </row>
    <row r="229" spans="3:16">
      <c r="C229" s="22" t="s">
        <v>1490</v>
      </c>
      <c r="D229" t="str">
        <f>VLOOKUP(Table3[[#This Row],[Employee No.]],Table1_1[[Employee No.]:[Employee Name]],2,FALSE)</f>
        <v>MUHAMMAD FAIZ HAIKAL BIN AHMAD RADZI</v>
      </c>
      <c r="E229" t="str">
        <f>VLOOKUP(Table3[[#This Row],[Employee No.]],Table1_1[[Employee No.]:[Department]],6,FALSE)</f>
        <v>ROUTER</v>
      </c>
      <c r="F229" t="str">
        <f>VLOOKUP(Table3[[#This Row],[Employee No.]],Table1_1[[Employee No.]:[Gender]],7,FALSE)</f>
        <v>M</v>
      </c>
      <c r="G229" t="str">
        <f>VLOOKUP(Table3[[#This Row],[Employee No.]],Table1_1[[Employee No.]:[Shift]],9,FALSE)</f>
        <v>SHIFT A</v>
      </c>
      <c r="H229" s="25">
        <v>1</v>
      </c>
      <c r="I229" s="25">
        <v>1</v>
      </c>
      <c r="J229" s="25">
        <v>1</v>
      </c>
      <c r="K229" s="25">
        <v>1</v>
      </c>
      <c r="L229" s="25">
        <v>1</v>
      </c>
      <c r="M229" s="25">
        <v>1</v>
      </c>
    </row>
    <row r="230" spans="3:16">
      <c r="C230" s="22" t="s">
        <v>1494</v>
      </c>
      <c r="D230" t="str">
        <f>VLOOKUP(Table3[[#This Row],[Employee No.]],Table1_1[[Employee No.]:[Employee Name]],2,FALSE)</f>
        <v>NUR MUHAMMAD ASYRAF BIN JAHAYA</v>
      </c>
      <c r="E230" t="str">
        <f>VLOOKUP(Table3[[#This Row],[Employee No.]],Table1_1[[Employee No.]:[Department]],6,FALSE)</f>
        <v>WAREHOUSE</v>
      </c>
      <c r="F230" t="str">
        <f>VLOOKUP(Table3[[#This Row],[Employee No.]],Table1_1[[Employee No.]:[Gender]],7,FALSE)</f>
        <v>M</v>
      </c>
      <c r="G230" t="str">
        <f>VLOOKUP(Table3[[#This Row],[Employee No.]],Table1_1[[Employee No.]:[Shift]],9,FALSE)</f>
        <v>SHIFT C</v>
      </c>
      <c r="H230" s="25">
        <v>1</v>
      </c>
      <c r="I230" s="25">
        <v>1</v>
      </c>
      <c r="J230" s="25">
        <v>1</v>
      </c>
      <c r="K230" s="25">
        <v>1</v>
      </c>
      <c r="L230" s="25">
        <v>1</v>
      </c>
      <c r="M230" s="25">
        <v>1</v>
      </c>
      <c r="P230" s="25"/>
    </row>
    <row r="231" spans="3:16">
      <c r="C231" s="22" t="s">
        <v>1498</v>
      </c>
      <c r="D231" t="str">
        <f>VLOOKUP(Table3[[#This Row],[Employee No.]],Table1_1[[Employee No.]:[Employee Name]],2,FALSE)</f>
        <v>MOHAMMAD TASNIM BIN ARBAIN</v>
      </c>
      <c r="E231" t="str">
        <f>VLOOKUP(Table3[[#This Row],[Employee No.]],Table1_1[[Employee No.]:[Department]],6,FALSE)</f>
        <v>PACKING</v>
      </c>
      <c r="F231" t="str">
        <f>VLOOKUP(Table3[[#This Row],[Employee No.]],Table1_1[[Employee No.]:[Gender]],7,FALSE)</f>
        <v>M</v>
      </c>
      <c r="G231" t="str">
        <f>VLOOKUP(Table3[[#This Row],[Employee No.]],Table1_1[[Employee No.]:[Shift]],9,FALSE)</f>
        <v>SHIFT C</v>
      </c>
      <c r="H231" s="25">
        <v>1</v>
      </c>
      <c r="I231" s="25">
        <v>1</v>
      </c>
      <c r="J231" s="25">
        <v>1</v>
      </c>
      <c r="K231" s="25">
        <v>1</v>
      </c>
      <c r="L231" s="25">
        <v>1</v>
      </c>
      <c r="M231" s="25">
        <v>1</v>
      </c>
      <c r="P231" s="25"/>
    </row>
    <row r="232" spans="3:16">
      <c r="C232" s="22" t="s">
        <v>1502</v>
      </c>
      <c r="D232" t="str">
        <f>VLOOKUP(Table3[[#This Row],[Employee No.]],Table1_1[[Employee No.]:[Employee Name]],2,FALSE)</f>
        <v>MUHAMMAD HANIF BIN AZNI</v>
      </c>
      <c r="E232" t="str">
        <f>VLOOKUP(Table3[[#This Row],[Employee No.]],Table1_1[[Employee No.]:[Department]],6,FALSE)</f>
        <v>AU</v>
      </c>
      <c r="F232" t="str">
        <f>VLOOKUP(Table3[[#This Row],[Employee No.]],Table1_1[[Employee No.]:[Gender]],7,FALSE)</f>
        <v>M</v>
      </c>
      <c r="G232" t="str">
        <f>VLOOKUP(Table3[[#This Row],[Employee No.]],Table1_1[[Employee No.]:[Shift]],9,FALSE)</f>
        <v>SHIFT E</v>
      </c>
      <c r="H232" s="25">
        <v>0</v>
      </c>
      <c r="I232" s="25">
        <v>1</v>
      </c>
      <c r="J232" s="25">
        <v>0</v>
      </c>
      <c r="K232" s="25">
        <v>0</v>
      </c>
      <c r="L232" s="25">
        <v>0</v>
      </c>
      <c r="M232" s="25">
        <v>1</v>
      </c>
    </row>
    <row r="233" spans="3:16">
      <c r="C233" s="22" t="s">
        <v>1506</v>
      </c>
      <c r="D233" t="str">
        <f>VLOOKUP(Table3[[#This Row],[Employee No.]],Table1_1[[Employee No.]:[Employee Name]],2,FALSE)</f>
        <v>ABDULLAH BIN SAID</v>
      </c>
      <c r="E233" t="str">
        <f>VLOOKUP(Table3[[#This Row],[Employee No.]],Table1_1[[Employee No.]:[Department]],6,FALSE)</f>
        <v>ROUTER</v>
      </c>
      <c r="F233" t="str">
        <f>VLOOKUP(Table3[[#This Row],[Employee No.]],Table1_1[[Employee No.]:[Gender]],7,FALSE)</f>
        <v>M</v>
      </c>
      <c r="G233" t="str">
        <f>VLOOKUP(Table3[[#This Row],[Employee No.]],Table1_1[[Employee No.]:[Shift]],9,FALSE)</f>
        <v>SHIFT C</v>
      </c>
      <c r="H233" s="25">
        <v>1</v>
      </c>
      <c r="I233" s="25">
        <v>1</v>
      </c>
      <c r="J233" s="25">
        <v>1</v>
      </c>
      <c r="K233" s="25">
        <v>1</v>
      </c>
      <c r="L233" s="25">
        <v>1</v>
      </c>
      <c r="M233" s="25">
        <v>1</v>
      </c>
      <c r="P233" s="25"/>
    </row>
    <row r="234" spans="3:16">
      <c r="C234" s="22" t="s">
        <v>1510</v>
      </c>
      <c r="D234" t="str">
        <f>VLOOKUP(Table3[[#This Row],[Employee No.]],Table1_1[[Employee No.]:[Employee Name]],2,FALSE)</f>
        <v>KHAIRUNNISA BINTI MOHD SABELI</v>
      </c>
      <c r="E234" t="str">
        <f>VLOOKUP(Table3[[#This Row],[Employee No.]],Table1_1[[Employee No.]:[Department]],6,FALSE)</f>
        <v>AU</v>
      </c>
      <c r="F234" t="str">
        <f>VLOOKUP(Table3[[#This Row],[Employee No.]],Table1_1[[Employee No.]:[Gender]],7,FALSE)</f>
        <v>F</v>
      </c>
      <c r="G234" t="str">
        <f>VLOOKUP(Table3[[#This Row],[Employee No.]],Table1_1[[Employee No.]:[Shift]],9,FALSE)</f>
        <v>SHIFT B</v>
      </c>
      <c r="H234" s="25">
        <v>1</v>
      </c>
      <c r="I234" s="25">
        <v>1</v>
      </c>
      <c r="J234" s="25">
        <v>1</v>
      </c>
      <c r="K234" s="25">
        <v>1</v>
      </c>
      <c r="L234" s="25">
        <v>1</v>
      </c>
      <c r="M234" s="25">
        <v>1</v>
      </c>
    </row>
    <row r="235" spans="3:16">
      <c r="C235" s="22" t="s">
        <v>1514</v>
      </c>
      <c r="D235" t="str">
        <f>VLOOKUP(Table3[[#This Row],[Employee No.]],Table1_1[[Employee No.]:[Employee Name]],2,FALSE)</f>
        <v>SHANGARI A/P SIVAKUMAR</v>
      </c>
      <c r="E235" t="str">
        <f>VLOOKUP(Table3[[#This Row],[Employee No.]],Table1_1[[Employee No.]:[Department]],6,FALSE)</f>
        <v>MLB</v>
      </c>
      <c r="F235" t="str">
        <f>VLOOKUP(Table3[[#This Row],[Employee No.]],Table1_1[[Employee No.]:[Gender]],7,FALSE)</f>
        <v>F</v>
      </c>
      <c r="G235" t="str">
        <f>VLOOKUP(Table3[[#This Row],[Employee No.]],Table1_1[[Employee No.]:[Shift]],9,FALSE)</f>
        <v>SHIFT C</v>
      </c>
      <c r="H235" s="25">
        <v>1</v>
      </c>
      <c r="I235" s="25">
        <v>1</v>
      </c>
      <c r="J235" s="25">
        <v>1</v>
      </c>
      <c r="K235" s="25">
        <v>1</v>
      </c>
      <c r="L235" s="25">
        <v>1</v>
      </c>
      <c r="M235" s="25">
        <v>1</v>
      </c>
      <c r="P235" s="25"/>
    </row>
    <row r="236" spans="3:16">
      <c r="C236" s="22" t="s">
        <v>1530</v>
      </c>
      <c r="D236" t="str">
        <f>VLOOKUP(Table3[[#This Row],[Employee No.]],Table1_1[[Employee No.]:[Employee Name]],2,FALSE)</f>
        <v>MUHAMMAD ADAM VIJAYA BIN NADARAJAH</v>
      </c>
      <c r="E236" t="str">
        <f>VLOOKUP(Table3[[#This Row],[Employee No.]],Table1_1[[Employee No.]:[Department]],6,FALSE)</f>
        <v>FACILITY</v>
      </c>
      <c r="F236" t="str">
        <f>VLOOKUP(Table3[[#This Row],[Employee No.]],Table1_1[[Employee No.]:[Gender]],7,FALSE)</f>
        <v>M</v>
      </c>
      <c r="G236" t="str">
        <f>VLOOKUP(Table3[[#This Row],[Employee No.]],Table1_1[[Employee No.]:[Shift]],9,FALSE)</f>
        <v>SHIFT C</v>
      </c>
      <c r="H236" s="25">
        <v>1</v>
      </c>
      <c r="I236" s="25">
        <v>1</v>
      </c>
      <c r="J236" s="25">
        <v>1</v>
      </c>
      <c r="K236" s="25">
        <v>1</v>
      </c>
      <c r="L236" s="25">
        <v>1</v>
      </c>
      <c r="M236" s="25">
        <v>1</v>
      </c>
      <c r="P236" s="25"/>
    </row>
    <row r="237" spans="3:16">
      <c r="C237" s="22" t="s">
        <v>1534</v>
      </c>
      <c r="D237" t="str">
        <f>VLOOKUP(Table3[[#This Row],[Employee No.]],Table1_1[[Employee No.]:[Employee Name]],2,FALSE)</f>
        <v>MUHAMMAD DANIAL HANIS BIN AZMAN</v>
      </c>
      <c r="E237" t="str">
        <f>VLOOKUP(Table3[[#This Row],[Employee No.]],Table1_1[[Employee No.]:[Department]],6,FALSE)</f>
        <v>WAREHOUSE</v>
      </c>
      <c r="F237" t="str">
        <f>VLOOKUP(Table3[[#This Row],[Employee No.]],Table1_1[[Employee No.]:[Gender]],7,FALSE)</f>
        <v>M</v>
      </c>
      <c r="G237" t="str">
        <f>VLOOKUP(Table3[[#This Row],[Employee No.]],Table1_1[[Employee No.]:[Shift]],9,FALSE)</f>
        <v>SHIFT B</v>
      </c>
      <c r="H237" s="25">
        <v>1</v>
      </c>
      <c r="I237" s="25">
        <v>1</v>
      </c>
      <c r="J237" s="25">
        <v>1</v>
      </c>
      <c r="K237" s="25">
        <v>1</v>
      </c>
      <c r="L237" s="25">
        <v>1</v>
      </c>
      <c r="M237" s="25">
        <v>0</v>
      </c>
    </row>
    <row r="238" spans="3:16">
      <c r="C238" s="22" t="s">
        <v>1538</v>
      </c>
      <c r="D238" t="str">
        <f>VLOOKUP(Table3[[#This Row],[Employee No.]],Table1_1[[Employee No.]:[Employee Name]],2,FALSE)</f>
        <v>MUHAMMAD MUSTAQIM BIN MAZLAN</v>
      </c>
      <c r="E238" t="str">
        <f>VLOOKUP(Table3[[#This Row],[Employee No.]],Table1_1[[Employee No.]:[Department]],6,FALSE)</f>
        <v>AOI</v>
      </c>
      <c r="F238" t="str">
        <f>VLOOKUP(Table3[[#This Row],[Employee No.]],Table1_1[[Employee No.]:[Gender]],7,FALSE)</f>
        <v>M</v>
      </c>
      <c r="G238" t="str">
        <f>VLOOKUP(Table3[[#This Row],[Employee No.]],Table1_1[[Employee No.]:[Shift]],9,FALSE)</f>
        <v>SHIFT A</v>
      </c>
      <c r="H238" s="25">
        <v>0</v>
      </c>
      <c r="I238" s="25">
        <v>1</v>
      </c>
      <c r="J238" s="25">
        <v>1</v>
      </c>
      <c r="K238" s="25">
        <v>1</v>
      </c>
      <c r="L238" s="25">
        <v>1</v>
      </c>
      <c r="M238" s="25">
        <v>1</v>
      </c>
    </row>
    <row r="239" spans="3:16">
      <c r="C239" s="22" t="s">
        <v>1542</v>
      </c>
      <c r="D239" t="str">
        <f>VLOOKUP(Table3[[#This Row],[Employee No.]],Table1_1[[Employee No.]:[Employee Name]],2,FALSE)</f>
        <v>NURUL BALQIS BINTI ARSHAD</v>
      </c>
      <c r="E239" t="str">
        <f>VLOOKUP(Table3[[#This Row],[Employee No.]],Table1_1[[Employee No.]:[Department]],6,FALSE)</f>
        <v>AOI</v>
      </c>
      <c r="F239" t="str">
        <f>VLOOKUP(Table3[[#This Row],[Employee No.]],Table1_1[[Employee No.]:[Gender]],7,FALSE)</f>
        <v>F</v>
      </c>
      <c r="G239" t="str">
        <f>VLOOKUP(Table3[[#This Row],[Employee No.]],Table1_1[[Employee No.]:[Shift]],9,FALSE)</f>
        <v>SHIFT E</v>
      </c>
      <c r="H239" s="25">
        <v>0</v>
      </c>
      <c r="I239" s="25">
        <v>1</v>
      </c>
      <c r="J239" s="25">
        <v>1</v>
      </c>
      <c r="K239" s="25">
        <v>1</v>
      </c>
      <c r="L239" s="25">
        <v>1</v>
      </c>
      <c r="M239" s="25">
        <v>1</v>
      </c>
    </row>
    <row r="240" spans="3:16">
      <c r="C240" s="22" t="s">
        <v>1546</v>
      </c>
      <c r="D240" t="str">
        <f>VLOOKUP(Table3[[#This Row],[Employee No.]],Table1_1[[Employee No.]:[Employee Name]],2,FALSE)</f>
        <v>MOHAMAD AZMIR BIN MOHD SHAARI</v>
      </c>
      <c r="E240" t="str">
        <f>VLOOKUP(Table3[[#This Row],[Employee No.]],Table1_1[[Employee No.]:[Department]],6,FALSE)</f>
        <v>SM</v>
      </c>
      <c r="F240" t="str">
        <f>VLOOKUP(Table3[[#This Row],[Employee No.]],Table1_1[[Employee No.]:[Gender]],7,FALSE)</f>
        <v>M</v>
      </c>
      <c r="G240" t="str">
        <f>VLOOKUP(Table3[[#This Row],[Employee No.]],Table1_1[[Employee No.]:[Shift]],9,FALSE)</f>
        <v>SHIFT E</v>
      </c>
      <c r="H240" s="25">
        <v>0</v>
      </c>
      <c r="I240" s="25">
        <v>1</v>
      </c>
      <c r="J240" s="25">
        <v>1</v>
      </c>
      <c r="K240" s="25">
        <v>1</v>
      </c>
      <c r="L240" s="25">
        <v>1</v>
      </c>
      <c r="M240" s="25">
        <v>1</v>
      </c>
    </row>
    <row r="241" spans="3:16">
      <c r="C241" s="22" t="s">
        <v>1550</v>
      </c>
      <c r="D241" t="str">
        <f>VLOOKUP(Table3[[#This Row],[Employee No.]],Table1_1[[Employee No.]:[Employee Name]],2,FALSE)</f>
        <v>SITI ZUNIKAPUTRI BINTI OSMAN</v>
      </c>
      <c r="E241" t="str">
        <f>VLOOKUP(Table3[[#This Row],[Employee No.]],Table1_1[[Employee No.]:[Department]],6,FALSE)</f>
        <v>AU</v>
      </c>
      <c r="F241" t="str">
        <f>VLOOKUP(Table3[[#This Row],[Employee No.]],Table1_1[[Employee No.]:[Gender]],7,FALSE)</f>
        <v>F</v>
      </c>
      <c r="G241" t="str">
        <f>VLOOKUP(Table3[[#This Row],[Employee No.]],Table1_1[[Employee No.]:[Shift]],9,FALSE)</f>
        <v>SHIFT A</v>
      </c>
      <c r="H241" s="25">
        <v>1</v>
      </c>
      <c r="I241" s="25">
        <v>1</v>
      </c>
      <c r="J241" s="25">
        <v>1</v>
      </c>
      <c r="K241" s="25">
        <v>1</v>
      </c>
      <c r="L241" s="25">
        <v>1</v>
      </c>
      <c r="M241" s="25">
        <v>1</v>
      </c>
    </row>
    <row r="242" spans="3:16">
      <c r="C242" s="22" t="s">
        <v>1554</v>
      </c>
      <c r="D242" t="str">
        <f>VLOOKUP(Table3[[#This Row],[Employee No.]],Table1_1[[Employee No.]:[Employee Name]],2,FALSE)</f>
        <v>NOR SYAZWANI BINTI RAMLI</v>
      </c>
      <c r="E242" t="str">
        <f>VLOOKUP(Table3[[#This Row],[Employee No.]],Table1_1[[Employee No.]:[Department]],6,FALSE)</f>
        <v>AU</v>
      </c>
      <c r="F242" t="str">
        <f>VLOOKUP(Table3[[#This Row],[Employee No.]],Table1_1[[Employee No.]:[Gender]],7,FALSE)</f>
        <v>F</v>
      </c>
      <c r="G242" t="str">
        <f>VLOOKUP(Table3[[#This Row],[Employee No.]],Table1_1[[Employee No.]:[Shift]],9,FALSE)</f>
        <v>SHIFT C</v>
      </c>
      <c r="H242" s="25">
        <v>1</v>
      </c>
      <c r="I242" s="25">
        <v>1</v>
      </c>
      <c r="J242" s="25">
        <v>1</v>
      </c>
      <c r="K242" s="25">
        <v>1</v>
      </c>
      <c r="L242" s="25">
        <v>1</v>
      </c>
      <c r="M242" s="25">
        <v>1</v>
      </c>
      <c r="P242" s="25"/>
    </row>
    <row r="243" spans="3:16">
      <c r="C243" s="22" t="s">
        <v>1563</v>
      </c>
      <c r="D243" t="str">
        <f>VLOOKUP(Table3[[#This Row],[Employee No.]],Table1_1[[Employee No.]:[Employee Name]],2,FALSE)</f>
        <v>MUHAMMAD SYAFIQ BIN SAHAK</v>
      </c>
      <c r="E243" t="str">
        <f>VLOOKUP(Table3[[#This Row],[Employee No.]],Table1_1[[Employee No.]:[Department]],6,FALSE)</f>
        <v>AU</v>
      </c>
      <c r="F243" t="str">
        <f>VLOOKUP(Table3[[#This Row],[Employee No.]],Table1_1[[Employee No.]:[Gender]],7,FALSE)</f>
        <v>M</v>
      </c>
      <c r="G243" t="str">
        <f>VLOOKUP(Table3[[#This Row],[Employee No.]],Table1_1[[Employee No.]:[Shift]],9,FALSE)</f>
        <v>SHIFT E</v>
      </c>
      <c r="H243" s="25">
        <v>0</v>
      </c>
      <c r="I243" s="25">
        <v>1</v>
      </c>
      <c r="J243" s="25">
        <v>0</v>
      </c>
      <c r="K243" s="25">
        <v>1</v>
      </c>
      <c r="L243" s="25">
        <v>1</v>
      </c>
      <c r="M243" s="25">
        <v>0</v>
      </c>
    </row>
    <row r="244" spans="3:16">
      <c r="C244" s="22" t="s">
        <v>1575</v>
      </c>
      <c r="D244" t="str">
        <f>VLOOKUP(Table3[[#This Row],[Employee No.]],Table1_1[[Employee No.]:[Employee Name]],2,FALSE)</f>
        <v>CHE WAN MUHAMMAD HAZFADHIL BIN CHE WAN AZLAN</v>
      </c>
      <c r="E244" t="str">
        <f>VLOOKUP(Table3[[#This Row],[Employee No.]],Table1_1[[Employee No.]:[Department]],6,FALSE)</f>
        <v>EQUIPMENT</v>
      </c>
      <c r="F244" t="str">
        <f>VLOOKUP(Table3[[#This Row],[Employee No.]],Table1_1[[Employee No.]:[Gender]],7,FALSE)</f>
        <v>M</v>
      </c>
      <c r="G244" t="str">
        <f>VLOOKUP(Table3[[#This Row],[Employee No.]],Table1_1[[Employee No.]:[Shift]],9,FALSE)</f>
        <v>SHIFT A</v>
      </c>
      <c r="H244" s="25">
        <v>1</v>
      </c>
      <c r="I244" s="25">
        <v>1</v>
      </c>
      <c r="J244" s="25">
        <v>1</v>
      </c>
      <c r="K244" s="25">
        <v>1</v>
      </c>
      <c r="L244" s="25">
        <v>1</v>
      </c>
      <c r="M244" s="25">
        <v>1</v>
      </c>
    </row>
    <row r="245" spans="3:16">
      <c r="C245" s="22" t="s">
        <v>1583</v>
      </c>
      <c r="D245" t="str">
        <f>VLOOKUP(Table3[[#This Row],[Employee No.]],Table1_1[[Employee No.]:[Employee Name]],2,FALSE)</f>
        <v>KARTHIK A/L BALAKRISHNAN</v>
      </c>
      <c r="E245" t="str">
        <f>VLOOKUP(Table3[[#This Row],[Employee No.]],Table1_1[[Employee No.]:[Department]],6,FALSE)</f>
        <v>AU</v>
      </c>
      <c r="F245" t="str">
        <f>VLOOKUP(Table3[[#This Row],[Employee No.]],Table1_1[[Employee No.]:[Gender]],7,FALSE)</f>
        <v>M</v>
      </c>
      <c r="G245" t="str">
        <f>VLOOKUP(Table3[[#This Row],[Employee No.]],Table1_1[[Employee No.]:[Shift]],9,FALSE)</f>
        <v>SHIFT B</v>
      </c>
      <c r="H245" s="25">
        <v>1</v>
      </c>
      <c r="I245" s="25">
        <v>1</v>
      </c>
      <c r="J245" s="25">
        <v>1</v>
      </c>
      <c r="K245" s="25">
        <v>1</v>
      </c>
      <c r="L245" s="25">
        <v>1</v>
      </c>
      <c r="M245" s="25">
        <v>1</v>
      </c>
    </row>
    <row r="246" spans="3:16">
      <c r="C246" s="22" t="s">
        <v>1587</v>
      </c>
      <c r="D246" t="str">
        <f>VLOOKUP(Table3[[#This Row],[Employee No.]],Table1_1[[Employee No.]:[Employee Name]],2,FALSE)</f>
        <v>KHAIRUNNISA AMANI BINTI SUMARDI</v>
      </c>
      <c r="E246" t="str">
        <f>VLOOKUP(Table3[[#This Row],[Employee No.]],Table1_1[[Employee No.]:[Department]],6,FALSE)</f>
        <v>BBT</v>
      </c>
      <c r="F246" t="str">
        <f>VLOOKUP(Table3[[#This Row],[Employee No.]],Table1_1[[Employee No.]:[Gender]],7,FALSE)</f>
        <v>F</v>
      </c>
      <c r="G246" t="str">
        <f>VLOOKUP(Table3[[#This Row],[Employee No.]],Table1_1[[Employee No.]:[Shift]],9,FALSE)</f>
        <v>SHIFT B</v>
      </c>
      <c r="H246" s="25">
        <v>1</v>
      </c>
      <c r="I246" s="25">
        <v>1</v>
      </c>
      <c r="J246" s="25">
        <v>1</v>
      </c>
      <c r="K246" s="25">
        <v>1</v>
      </c>
      <c r="L246" s="25">
        <v>1</v>
      </c>
      <c r="M246" s="25">
        <v>1</v>
      </c>
    </row>
    <row r="247" spans="3:16">
      <c r="C247" s="22" t="s">
        <v>1595</v>
      </c>
      <c r="D247" t="str">
        <f>VLOOKUP(Table3[[#This Row],[Employee No.]],Table1_1[[Employee No.]:[Employee Name]],2,FALSE)</f>
        <v>MOHAMAD HAFIZUDIN BIN RAZALI</v>
      </c>
      <c r="E247" t="str">
        <f>VLOOKUP(Table3[[#This Row],[Employee No.]],Table1_1[[Employee No.]:[Department]],6,FALSE)</f>
        <v>DESIGN</v>
      </c>
      <c r="F247" t="str">
        <f>VLOOKUP(Table3[[#This Row],[Employee No.]],Table1_1[[Employee No.]:[Gender]],7,FALSE)</f>
        <v>M</v>
      </c>
      <c r="G247" t="str">
        <f>VLOOKUP(Table3[[#This Row],[Employee No.]],Table1_1[[Employee No.]:[Shift]],9,FALSE)</f>
        <v>SHIFT A</v>
      </c>
      <c r="H247" s="25">
        <v>1</v>
      </c>
      <c r="I247" s="25">
        <v>1</v>
      </c>
      <c r="J247" s="25">
        <v>1</v>
      </c>
      <c r="K247" s="25">
        <v>1</v>
      </c>
      <c r="L247" s="25">
        <v>1</v>
      </c>
      <c r="M247" s="25">
        <v>1</v>
      </c>
    </row>
    <row r="248" spans="3:16">
      <c r="C248" s="22" t="s">
        <v>1599</v>
      </c>
      <c r="D248" t="str">
        <f>VLOOKUP(Table3[[#This Row],[Employee No.]],Table1_1[[Employee No.]:[Employee Name]],2,FALSE)</f>
        <v>MUHAMMAD AMIRUL SYAZWAN BIN ROZINO</v>
      </c>
      <c r="E248" t="str">
        <f>VLOOKUP(Table3[[#This Row],[Employee No.]],Table1_1[[Employee No.]:[Department]],6,FALSE)</f>
        <v>WAREHOUSE</v>
      </c>
      <c r="F248" t="str">
        <f>VLOOKUP(Table3[[#This Row],[Employee No.]],Table1_1[[Employee No.]:[Gender]],7,FALSE)</f>
        <v>M</v>
      </c>
      <c r="G248" t="str">
        <f>VLOOKUP(Table3[[#This Row],[Employee No.]],Table1_1[[Employee No.]:[Shift]],9,FALSE)</f>
        <v>SHIFT C</v>
      </c>
      <c r="H248" s="25">
        <v>1</v>
      </c>
      <c r="I248" s="25">
        <v>1</v>
      </c>
      <c r="J248" s="25">
        <v>1</v>
      </c>
      <c r="K248" s="25">
        <v>1</v>
      </c>
      <c r="L248" s="25">
        <v>1</v>
      </c>
      <c r="M248" s="25">
        <v>1</v>
      </c>
      <c r="P248" s="25"/>
    </row>
    <row r="249" spans="3:16">
      <c r="C249" s="22" t="s">
        <v>1603</v>
      </c>
      <c r="D249" t="str">
        <f>VLOOKUP(Table3[[#This Row],[Employee No.]],Table1_1[[Employee No.]:[Employee Name]],2,FALSE)</f>
        <v>MOHAMAD AMIRUL IZZAT BIN JAMALUDIN</v>
      </c>
      <c r="E249" t="str">
        <f>VLOOKUP(Table3[[#This Row],[Employee No.]],Table1_1[[Employee No.]:[Department]],6,FALSE)</f>
        <v>DF</v>
      </c>
      <c r="F249" t="str">
        <f>VLOOKUP(Table3[[#This Row],[Employee No.]],Table1_1[[Employee No.]:[Gender]],7,FALSE)</f>
        <v>M</v>
      </c>
      <c r="G249" t="str">
        <f>VLOOKUP(Table3[[#This Row],[Employee No.]],Table1_1[[Employee No.]:[Shift]],9,FALSE)</f>
        <v>SHIFT B</v>
      </c>
      <c r="H249" s="25">
        <v>1</v>
      </c>
      <c r="I249" s="25">
        <v>1</v>
      </c>
      <c r="J249" s="25">
        <v>1</v>
      </c>
      <c r="K249" s="25">
        <v>1</v>
      </c>
      <c r="L249" s="25">
        <v>1</v>
      </c>
      <c r="M249" s="25">
        <v>1</v>
      </c>
    </row>
    <row r="250" spans="3:16">
      <c r="C250" s="22" t="s">
        <v>1608</v>
      </c>
      <c r="D250" t="str">
        <f>VLOOKUP(Table3[[#This Row],[Employee No.]],Table1_1[[Employee No.]:[Employee Name]],2,FALSE)</f>
        <v>MUAZ IZZUDDIN BIN MOHD KHAIRI</v>
      </c>
      <c r="E250" t="str">
        <f>VLOOKUP(Table3[[#This Row],[Employee No.]],Table1_1[[Employee No.]:[Department]],6,FALSE)</f>
        <v>DF</v>
      </c>
      <c r="F250" t="str">
        <f>VLOOKUP(Table3[[#This Row],[Employee No.]],Table1_1[[Employee No.]:[Gender]],7,FALSE)</f>
        <v>M</v>
      </c>
      <c r="G250" t="str">
        <f>VLOOKUP(Table3[[#This Row],[Employee No.]],Table1_1[[Employee No.]:[Shift]],9,FALSE)</f>
        <v>SHIFT C</v>
      </c>
      <c r="H250" s="25">
        <v>1</v>
      </c>
      <c r="I250" s="25">
        <v>1</v>
      </c>
      <c r="J250" s="25">
        <v>1</v>
      </c>
      <c r="K250" s="25">
        <v>1</v>
      </c>
      <c r="L250" s="25">
        <v>1</v>
      </c>
      <c r="M250" s="25">
        <v>1</v>
      </c>
      <c r="P250" s="25"/>
    </row>
    <row r="251" spans="3:16">
      <c r="C251" s="22" t="s">
        <v>1612</v>
      </c>
      <c r="D251" t="str">
        <f>VLOOKUP(Table3[[#This Row],[Employee No.]],Table1_1[[Employee No.]:[Employee Name]],2,FALSE)</f>
        <v>MUHAMMAD SYAKIR BIN JAAFAR</v>
      </c>
      <c r="E251" t="str">
        <f>VLOOKUP(Table3[[#This Row],[Employee No.]],Table1_1[[Employee No.]:[Department]],6,FALSE)</f>
        <v>MLB</v>
      </c>
      <c r="F251" t="str">
        <f>VLOOKUP(Table3[[#This Row],[Employee No.]],Table1_1[[Employee No.]:[Gender]],7,FALSE)</f>
        <v>M</v>
      </c>
      <c r="G251" t="str">
        <f>VLOOKUP(Table3[[#This Row],[Employee No.]],Table1_1[[Employee No.]:[Shift]],9,FALSE)</f>
        <v>SHIFT B</v>
      </c>
      <c r="H251" s="25">
        <v>1</v>
      </c>
      <c r="I251" s="25">
        <v>1</v>
      </c>
      <c r="J251" s="25">
        <v>1</v>
      </c>
      <c r="K251" s="25">
        <v>1</v>
      </c>
      <c r="L251" s="25">
        <v>1</v>
      </c>
      <c r="M251" s="25">
        <v>1</v>
      </c>
    </row>
    <row r="252" spans="3:16">
      <c r="C252" s="22" t="s">
        <v>1616</v>
      </c>
      <c r="D252" t="str">
        <f>VLOOKUP(Table3[[#This Row],[Employee No.]],Table1_1[[Employee No.]:[Employee Name]],2,FALSE)</f>
        <v>MUHAMAD SOBRI BIN CHEE YEOP</v>
      </c>
      <c r="E252" t="str">
        <f>VLOOKUP(Table3[[#This Row],[Employee No.]],Table1_1[[Employee No.]:[Department]],6,FALSE)</f>
        <v>AOI</v>
      </c>
      <c r="F252" t="str">
        <f>VLOOKUP(Table3[[#This Row],[Employee No.]],Table1_1[[Employee No.]:[Gender]],7,FALSE)</f>
        <v>M</v>
      </c>
      <c r="G252" t="str">
        <f>VLOOKUP(Table3[[#This Row],[Employee No.]],Table1_1[[Employee No.]:[Shift]],9,FALSE)</f>
        <v>SHIFT E</v>
      </c>
      <c r="H252" s="25">
        <v>0</v>
      </c>
      <c r="I252" s="25">
        <v>1</v>
      </c>
      <c r="J252" s="25">
        <v>1</v>
      </c>
      <c r="K252" s="25">
        <v>1</v>
      </c>
      <c r="L252" s="25">
        <v>1</v>
      </c>
      <c r="M252" s="25">
        <v>0</v>
      </c>
    </row>
    <row r="253" spans="3:16">
      <c r="C253" s="22" t="s">
        <v>1620</v>
      </c>
      <c r="D253" t="str">
        <f>VLOOKUP(Table3[[#This Row],[Employee No.]],Table1_1[[Employee No.]:[Employee Name]],2,FALSE)</f>
        <v>SHAMSUL AKMAL BIN MUSTAFA KAMAL</v>
      </c>
      <c r="E253" t="str">
        <f>VLOOKUP(Table3[[#This Row],[Employee No.]],Table1_1[[Employee No.]:[Department]],6,FALSE)</f>
        <v>SM</v>
      </c>
      <c r="F253" t="str">
        <f>VLOOKUP(Table3[[#This Row],[Employee No.]],Table1_1[[Employee No.]:[Gender]],7,FALSE)</f>
        <v>M</v>
      </c>
      <c r="G253" t="str">
        <f>VLOOKUP(Table3[[#This Row],[Employee No.]],Table1_1[[Employee No.]:[Shift]],9,FALSE)</f>
        <v>SHIFT E</v>
      </c>
      <c r="H253" s="25">
        <v>0</v>
      </c>
      <c r="I253" s="25">
        <v>1</v>
      </c>
      <c r="J253" s="25">
        <v>1</v>
      </c>
      <c r="K253" s="25">
        <v>1</v>
      </c>
      <c r="L253" s="25">
        <v>1</v>
      </c>
      <c r="M253" s="25">
        <v>0</v>
      </c>
    </row>
    <row r="254" spans="3:16">
      <c r="C254" s="22" t="s">
        <v>1624</v>
      </c>
      <c r="D254" t="str">
        <f>VLOOKUP(Table3[[#This Row],[Employee No.]],Table1_1[[Employee No.]:[Employee Name]],2,FALSE)</f>
        <v>ROKIAH BINTI ISMAIL</v>
      </c>
      <c r="E254" t="str">
        <f>VLOOKUP(Table3[[#This Row],[Employee No.]],Table1_1[[Employee No.]:[Department]],6,FALSE)</f>
        <v>BBT</v>
      </c>
      <c r="F254" t="str">
        <f>VLOOKUP(Table3[[#This Row],[Employee No.]],Table1_1[[Employee No.]:[Gender]],7,FALSE)</f>
        <v>F</v>
      </c>
      <c r="G254" t="str">
        <f>VLOOKUP(Table3[[#This Row],[Employee No.]],Table1_1[[Employee No.]:[Shift]],9,FALSE)</f>
        <v>SHIFT A</v>
      </c>
      <c r="H254" s="25">
        <v>1</v>
      </c>
      <c r="I254" s="25">
        <v>1</v>
      </c>
      <c r="J254" s="25">
        <v>1</v>
      </c>
      <c r="K254" s="25">
        <v>1</v>
      </c>
      <c r="L254" s="25">
        <v>1</v>
      </c>
      <c r="M254" s="25">
        <v>1</v>
      </c>
    </row>
    <row r="255" spans="3:16">
      <c r="C255" s="22" t="s">
        <v>1627</v>
      </c>
      <c r="D255" t="str">
        <f>VLOOKUP(Table3[[#This Row],[Employee No.]],Table1_1[[Employee No.]:[Employee Name]],2,FALSE)</f>
        <v>MUHAMAD AMIRUDDIN BIN MOHD FAUZI</v>
      </c>
      <c r="E255" t="str">
        <f>VLOOKUP(Table3[[#This Row],[Employee No.]],Table1_1[[Employee No.]:[Department]],6,FALSE)</f>
        <v>SM</v>
      </c>
      <c r="F255" t="str">
        <f>VLOOKUP(Table3[[#This Row],[Employee No.]],Table1_1[[Employee No.]:[Gender]],7,FALSE)</f>
        <v>M</v>
      </c>
      <c r="G255" t="str">
        <f>VLOOKUP(Table3[[#This Row],[Employee No.]],Table1_1[[Employee No.]:[Shift]],9,FALSE)</f>
        <v>SHIFT C</v>
      </c>
      <c r="H255" s="25">
        <v>1</v>
      </c>
      <c r="I255" s="25">
        <v>1</v>
      </c>
      <c r="J255" s="25">
        <v>1</v>
      </c>
      <c r="K255" s="25">
        <v>1</v>
      </c>
      <c r="L255" s="25">
        <v>1</v>
      </c>
      <c r="M255" s="25">
        <v>1</v>
      </c>
      <c r="P255" s="25"/>
    </row>
    <row r="256" spans="3:16">
      <c r="C256" s="22" t="s">
        <v>1631</v>
      </c>
      <c r="D256" t="str">
        <f>VLOOKUP(Table3[[#This Row],[Employee No.]],Table1_1[[Employee No.]:[Employee Name]],2,FALSE)</f>
        <v>NUR ASFARAHIN BINTI MUHAMAD RAMLI</v>
      </c>
      <c r="E256" t="str">
        <f>VLOOKUP(Table3[[#This Row],[Employee No.]],Table1_1[[Employee No.]:[Department]],6,FALSE)</f>
        <v>CHAMFER</v>
      </c>
      <c r="F256" t="str">
        <f>VLOOKUP(Table3[[#This Row],[Employee No.]],Table1_1[[Employee No.]:[Gender]],7,FALSE)</f>
        <v>F</v>
      </c>
      <c r="G256" t="str">
        <f>VLOOKUP(Table3[[#This Row],[Employee No.]],Table1_1[[Employee No.]:[Shift]],9,FALSE)</f>
        <v>SHIFT C</v>
      </c>
      <c r="H256" s="25">
        <v>1</v>
      </c>
      <c r="I256" s="25">
        <v>1</v>
      </c>
      <c r="J256" s="25">
        <v>1</v>
      </c>
      <c r="K256" s="25">
        <v>1</v>
      </c>
      <c r="L256" s="25">
        <v>1</v>
      </c>
      <c r="M256" s="25">
        <v>1</v>
      </c>
      <c r="P256" s="25"/>
    </row>
    <row r="257" spans="3:16">
      <c r="C257" s="22" t="s">
        <v>1639</v>
      </c>
      <c r="D257" t="str">
        <f>VLOOKUP(Table3[[#This Row],[Employee No.]],Table1_1[[Employee No.]:[Employee Name]],2,FALSE)</f>
        <v>AMIR HAKIMI BIN MOHD NOOR</v>
      </c>
      <c r="E257" t="str">
        <f>VLOOKUP(Table3[[#This Row],[Employee No.]],Table1_1[[Employee No.]:[Department]],6,FALSE)</f>
        <v>EQUIPMENT</v>
      </c>
      <c r="F257" t="str">
        <f>VLOOKUP(Table3[[#This Row],[Employee No.]],Table1_1[[Employee No.]:[Gender]],7,FALSE)</f>
        <v>M</v>
      </c>
      <c r="G257" t="str">
        <f>VLOOKUP(Table3[[#This Row],[Employee No.]],Table1_1[[Employee No.]:[Shift]],9,FALSE)</f>
        <v>SHIFT C</v>
      </c>
      <c r="H257" s="25">
        <v>1</v>
      </c>
      <c r="I257" s="25">
        <v>1</v>
      </c>
      <c r="J257" s="25">
        <v>1</v>
      </c>
      <c r="K257" s="25">
        <v>1</v>
      </c>
      <c r="L257" s="25">
        <v>1</v>
      </c>
      <c r="M257" s="25">
        <v>1</v>
      </c>
      <c r="P257" s="25"/>
    </row>
    <row r="258" spans="3:16">
      <c r="C258" s="22" t="s">
        <v>1643</v>
      </c>
      <c r="D258" t="str">
        <f>VLOOKUP(Table3[[#This Row],[Employee No.]],Table1_1[[Employee No.]:[Employee Name]],2,FALSE)</f>
        <v>NAQIB BIN ROSLAN</v>
      </c>
      <c r="E258" t="str">
        <f>VLOOKUP(Table3[[#This Row],[Employee No.]],Table1_1[[Employee No.]:[Department]],6,FALSE)</f>
        <v>EQUIPMENT</v>
      </c>
      <c r="F258" t="str">
        <f>VLOOKUP(Table3[[#This Row],[Employee No.]],Table1_1[[Employee No.]:[Gender]],7,FALSE)</f>
        <v>M</v>
      </c>
      <c r="G258" t="str">
        <f>VLOOKUP(Table3[[#This Row],[Employee No.]],Table1_1[[Employee No.]:[Shift]],9,FALSE)</f>
        <v>SHIFT B</v>
      </c>
      <c r="H258" s="25">
        <v>1</v>
      </c>
      <c r="I258" s="25">
        <v>1</v>
      </c>
      <c r="J258" s="25">
        <v>1</v>
      </c>
      <c r="K258" s="25">
        <v>1</v>
      </c>
      <c r="L258" s="25">
        <v>1</v>
      </c>
      <c r="M258" s="25">
        <v>0</v>
      </c>
    </row>
    <row r="259" spans="3:16">
      <c r="C259" s="22" t="s">
        <v>1647</v>
      </c>
      <c r="D259" t="str">
        <f>VLOOKUP(Table3[[#This Row],[Employee No.]],Table1_1[[Employee No.]:[Employee Name]],2,FALSE)</f>
        <v>MOHAMAD ANWAR FARHAN BIN ZAINUDIN</v>
      </c>
      <c r="E259" t="str">
        <f>VLOOKUP(Table3[[#This Row],[Employee No.]],Table1_1[[Employee No.]:[Department]],6,FALSE)</f>
        <v>EQUIPMENT</v>
      </c>
      <c r="F259" t="str">
        <f>VLOOKUP(Table3[[#This Row],[Employee No.]],Table1_1[[Employee No.]:[Gender]],7,FALSE)</f>
        <v>M</v>
      </c>
      <c r="G259" t="str">
        <f>VLOOKUP(Table3[[#This Row],[Employee No.]],Table1_1[[Employee No.]:[Shift]],9,FALSE)</f>
        <v>SHIFT A</v>
      </c>
      <c r="H259" s="25">
        <v>1</v>
      </c>
      <c r="I259" s="25">
        <v>1</v>
      </c>
      <c r="J259" s="25">
        <v>1</v>
      </c>
      <c r="K259" s="25">
        <v>1</v>
      </c>
      <c r="L259" s="25">
        <v>1</v>
      </c>
      <c r="M259" s="25">
        <v>1</v>
      </c>
    </row>
    <row r="260" spans="3:16">
      <c r="C260" s="22" t="s">
        <v>1662</v>
      </c>
      <c r="D260" t="str">
        <f>VLOOKUP(Table3[[#This Row],[Employee No.]],Table1_1[[Employee No.]:[Employee Name]],2,FALSE)</f>
        <v>MOHAMMAD AMIRRUL BIN AZIZ</v>
      </c>
      <c r="E260" t="str">
        <f>VLOOKUP(Table3[[#This Row],[Employee No.]],Table1_1[[Employee No.]:[Department]],6,FALSE)</f>
        <v>FVI</v>
      </c>
      <c r="F260" t="str">
        <f>VLOOKUP(Table3[[#This Row],[Employee No.]],Table1_1[[Employee No.]:[Gender]],7,FALSE)</f>
        <v>M</v>
      </c>
      <c r="G260" t="str">
        <f>VLOOKUP(Table3[[#This Row],[Employee No.]],Table1_1[[Employee No.]:[Shift]],9,FALSE)</f>
        <v>SHIFT B</v>
      </c>
      <c r="H260" s="25">
        <v>1</v>
      </c>
      <c r="I260" s="25">
        <v>1</v>
      </c>
      <c r="J260" s="25">
        <v>1</v>
      </c>
      <c r="K260" s="25">
        <v>1</v>
      </c>
      <c r="L260" s="25">
        <v>1</v>
      </c>
      <c r="M260" s="25">
        <v>1</v>
      </c>
    </row>
    <row r="261" spans="3:16">
      <c r="C261" s="22" t="s">
        <v>1666</v>
      </c>
      <c r="D261" t="str">
        <f>VLOOKUP(Table3[[#This Row],[Employee No.]],Table1_1[[Employee No.]:[Employee Name]],2,FALSE)</f>
        <v>MUHAMMAD RADUAN BIN LATIB</v>
      </c>
      <c r="E261" t="str">
        <f>VLOOKUP(Table3[[#This Row],[Employee No.]],Table1_1[[Employee No.]:[Department]],6,FALSE)</f>
        <v>FVI</v>
      </c>
      <c r="F261" t="str">
        <f>VLOOKUP(Table3[[#This Row],[Employee No.]],Table1_1[[Employee No.]:[Gender]],7,FALSE)</f>
        <v>M</v>
      </c>
      <c r="G261" t="str">
        <f>VLOOKUP(Table3[[#This Row],[Employee No.]],Table1_1[[Employee No.]:[Shift]],9,FALSE)</f>
        <v>SHIFT B</v>
      </c>
      <c r="H261" s="25">
        <v>1</v>
      </c>
      <c r="I261" s="25">
        <v>1</v>
      </c>
      <c r="J261" s="25">
        <v>1</v>
      </c>
      <c r="K261" s="25">
        <v>1</v>
      </c>
      <c r="L261" s="25">
        <v>1</v>
      </c>
      <c r="M261" s="25">
        <v>1</v>
      </c>
    </row>
    <row r="262" spans="3:16">
      <c r="C262" s="22" t="s">
        <v>1670</v>
      </c>
      <c r="D262" t="str">
        <f>VLOOKUP(Table3[[#This Row],[Employee No.]],Table1_1[[Employee No.]:[Employee Name]],2,FALSE)</f>
        <v>MUHAMMAD FAIZ BIN ZAINOL</v>
      </c>
      <c r="E262" t="str">
        <f>VLOOKUP(Table3[[#This Row],[Employee No.]],Table1_1[[Employee No.]:[Department]],6,FALSE)</f>
        <v>BBT</v>
      </c>
      <c r="F262" t="str">
        <f>VLOOKUP(Table3[[#This Row],[Employee No.]],Table1_1[[Employee No.]:[Gender]],7,FALSE)</f>
        <v>M</v>
      </c>
      <c r="G262" t="str">
        <f>VLOOKUP(Table3[[#This Row],[Employee No.]],Table1_1[[Employee No.]:[Shift]],9,FALSE)</f>
        <v>SHIFT E</v>
      </c>
      <c r="H262" s="25">
        <v>0</v>
      </c>
      <c r="I262" s="25">
        <v>0</v>
      </c>
      <c r="J262" s="25">
        <v>1</v>
      </c>
      <c r="K262" s="25">
        <v>1</v>
      </c>
      <c r="L262" s="25">
        <v>1</v>
      </c>
      <c r="M262" s="25">
        <v>1</v>
      </c>
    </row>
    <row r="263" spans="3:16">
      <c r="C263" s="22" t="s">
        <v>1674</v>
      </c>
      <c r="D263" t="str">
        <f>VLOOKUP(Table3[[#This Row],[Employee No.]],Table1_1[[Employee No.]:[Employee Name]],2,FALSE)</f>
        <v>NURUL FARISSHA IRWAYU BINTI MUHAMMAD</v>
      </c>
      <c r="E263" t="str">
        <f>VLOOKUP(Table3[[#This Row],[Employee No.]],Table1_1[[Employee No.]:[Department]],6,FALSE)</f>
        <v>DRILL</v>
      </c>
      <c r="F263" t="str">
        <f>VLOOKUP(Table3[[#This Row],[Employee No.]],Table1_1[[Employee No.]:[Gender]],7,FALSE)</f>
        <v>F</v>
      </c>
      <c r="G263" t="str">
        <f>VLOOKUP(Table3[[#This Row],[Employee No.]],Table1_1[[Employee No.]:[Shift]],9,FALSE)</f>
        <v>SHIFT B</v>
      </c>
      <c r="H263" s="25">
        <v>1</v>
      </c>
      <c r="I263" s="25">
        <v>1</v>
      </c>
      <c r="J263" s="25">
        <v>1</v>
      </c>
      <c r="K263" s="25">
        <v>1</v>
      </c>
      <c r="L263" s="25">
        <v>1</v>
      </c>
      <c r="M263" s="25">
        <v>1</v>
      </c>
    </row>
    <row r="264" spans="3:16">
      <c r="C264" s="22" t="s">
        <v>1678</v>
      </c>
      <c r="D264" t="str">
        <f>VLOOKUP(Table3[[#This Row],[Employee No.]],Table1_1[[Employee No.]:[Employee Name]],2,FALSE)</f>
        <v>JESSICA JUBILIN</v>
      </c>
      <c r="E264" t="str">
        <f>VLOOKUP(Table3[[#This Row],[Employee No.]],Table1_1[[Employee No.]:[Department]],6,FALSE)</f>
        <v>AOI</v>
      </c>
      <c r="F264" t="str">
        <f>VLOOKUP(Table3[[#This Row],[Employee No.]],Table1_1[[Employee No.]:[Gender]],7,FALSE)</f>
        <v>F</v>
      </c>
      <c r="G264" t="str">
        <f>VLOOKUP(Table3[[#This Row],[Employee No.]],Table1_1[[Employee No.]:[Shift]],9,FALSE)</f>
        <v>SHIFT A</v>
      </c>
      <c r="H264" s="25">
        <v>1</v>
      </c>
      <c r="I264" s="25">
        <v>1</v>
      </c>
      <c r="J264" s="25">
        <v>1</v>
      </c>
      <c r="K264" s="25">
        <v>1</v>
      </c>
      <c r="L264" s="25">
        <v>1</v>
      </c>
      <c r="M264" s="25">
        <v>1</v>
      </c>
    </row>
    <row r="265" spans="3:16">
      <c r="C265" s="22" t="s">
        <v>1683</v>
      </c>
      <c r="D265" t="str">
        <f>VLOOKUP(Table3[[#This Row],[Employee No.]],Table1_1[[Employee No.]:[Employee Name]],2,FALSE)</f>
        <v>MUHAMMAD SYAMIM ASYRAF BIN MAT SALIM</v>
      </c>
      <c r="E265" t="str">
        <f>VLOOKUP(Table3[[#This Row],[Employee No.]],Table1_1[[Employee No.]:[Department]],6,FALSE)</f>
        <v>SM</v>
      </c>
      <c r="F265" t="str">
        <f>VLOOKUP(Table3[[#This Row],[Employee No.]],Table1_1[[Employee No.]:[Gender]],7,FALSE)</f>
        <v>M</v>
      </c>
      <c r="G265" t="str">
        <f>VLOOKUP(Table3[[#This Row],[Employee No.]],Table1_1[[Employee No.]:[Shift]],9,FALSE)</f>
        <v>SHIFT A</v>
      </c>
      <c r="H265" s="25">
        <v>1</v>
      </c>
      <c r="I265" s="25">
        <v>1</v>
      </c>
      <c r="J265" s="25">
        <v>1</v>
      </c>
      <c r="K265" s="25">
        <v>1</v>
      </c>
      <c r="L265" s="25">
        <v>1</v>
      </c>
      <c r="M265" s="25">
        <v>1</v>
      </c>
    </row>
    <row r="266" spans="3:16">
      <c r="C266" s="22" t="s">
        <v>1687</v>
      </c>
      <c r="D266" t="str">
        <f>VLOOKUP(Table3[[#This Row],[Employee No.]],Table1_1[[Employee No.]:[Employee Name]],2,FALSE)</f>
        <v>MOHAMAD ZUL FIKRI BIN AZMAN</v>
      </c>
      <c r="E266" t="str">
        <f>VLOOKUP(Table3[[#This Row],[Employee No.]],Table1_1[[Employee No.]:[Department]],6,FALSE)</f>
        <v>ROUTER</v>
      </c>
      <c r="F266" t="str">
        <f>VLOOKUP(Table3[[#This Row],[Employee No.]],Table1_1[[Employee No.]:[Gender]],7,FALSE)</f>
        <v>M</v>
      </c>
      <c r="G266" t="str">
        <f>VLOOKUP(Table3[[#This Row],[Employee No.]],Table1_1[[Employee No.]:[Shift]],9,FALSE)</f>
        <v>SHIFT C</v>
      </c>
      <c r="H266" s="25">
        <v>1</v>
      </c>
      <c r="I266" s="25">
        <v>1</v>
      </c>
      <c r="J266" s="25">
        <v>1</v>
      </c>
      <c r="K266" s="25">
        <v>1</v>
      </c>
      <c r="L266" s="25">
        <v>1</v>
      </c>
      <c r="M266" s="25">
        <v>1</v>
      </c>
      <c r="P266" s="25"/>
    </row>
    <row r="267" spans="3:16">
      <c r="C267" s="22" t="s">
        <v>1691</v>
      </c>
      <c r="D267" t="str">
        <f>VLOOKUP(Table3[[#This Row],[Employee No.]],Table1_1[[Employee No.]:[Employee Name]],2,FALSE)</f>
        <v>MOHAMAD AIMAN HAKIM BIN SHAFIE</v>
      </c>
      <c r="E267" t="str">
        <f>VLOOKUP(Table3[[#This Row],[Employee No.]],Table1_1[[Employee No.]:[Department]],6,FALSE)</f>
        <v>DF</v>
      </c>
      <c r="F267" t="str">
        <f>VLOOKUP(Table3[[#This Row],[Employee No.]],Table1_1[[Employee No.]:[Gender]],7,FALSE)</f>
        <v>M</v>
      </c>
      <c r="G267" t="str">
        <f>VLOOKUP(Table3[[#This Row],[Employee No.]],Table1_1[[Employee No.]:[Shift]],9,FALSE)</f>
        <v>SHIFT B</v>
      </c>
      <c r="H267" s="25">
        <v>1</v>
      </c>
      <c r="I267" s="25">
        <v>1</v>
      </c>
      <c r="J267" s="25">
        <v>1</v>
      </c>
      <c r="K267" s="25">
        <v>1</v>
      </c>
      <c r="L267" s="25">
        <v>1</v>
      </c>
      <c r="M267" s="25">
        <v>1</v>
      </c>
    </row>
    <row r="268" spans="3:16">
      <c r="C268" s="22" t="s">
        <v>1696</v>
      </c>
      <c r="D268" t="str">
        <f>VLOOKUP(Table3[[#This Row],[Employee No.]],Table1_1[[Employee No.]:[Employee Name]],2,FALSE)</f>
        <v>MUHAMMAD BADRUN AMIN BIN ROSHIDI</v>
      </c>
      <c r="E268" t="str">
        <f>VLOOKUP(Table3[[#This Row],[Employee No.]],Table1_1[[Employee No.]:[Department]],6,FALSE)</f>
        <v>AU</v>
      </c>
      <c r="F268" t="str">
        <f>VLOOKUP(Table3[[#This Row],[Employee No.]],Table1_1[[Employee No.]:[Gender]],7,FALSE)</f>
        <v>M</v>
      </c>
      <c r="G268" t="str">
        <f>VLOOKUP(Table3[[#This Row],[Employee No.]],Table1_1[[Employee No.]:[Shift]],9,FALSE)</f>
        <v>SHIFT B</v>
      </c>
      <c r="H268" s="25">
        <v>1</v>
      </c>
      <c r="I268" s="25">
        <v>1</v>
      </c>
      <c r="J268" s="25">
        <v>1</v>
      </c>
      <c r="K268" s="25">
        <v>1</v>
      </c>
      <c r="L268" s="25">
        <v>1</v>
      </c>
      <c r="M268" s="25">
        <v>1</v>
      </c>
    </row>
    <row r="269" spans="3:16">
      <c r="C269" s="22" t="s">
        <v>1700</v>
      </c>
      <c r="D269" t="str">
        <f>VLOOKUP(Table3[[#This Row],[Employee No.]],Table1_1[[Employee No.]:[Employee Name]],2,FALSE)</f>
        <v>INTAN NURJANNAH BINTI AZMAN</v>
      </c>
      <c r="E269" t="str">
        <f>VLOOKUP(Table3[[#This Row],[Employee No.]],Table1_1[[Employee No.]:[Department]],6,FALSE)</f>
        <v>QUALITY</v>
      </c>
      <c r="F269" t="str">
        <f>VLOOKUP(Table3[[#This Row],[Employee No.]],Table1_1[[Employee No.]:[Gender]],7,FALSE)</f>
        <v>F</v>
      </c>
      <c r="G269" t="str">
        <f>VLOOKUP(Table3[[#This Row],[Employee No.]],Table1_1[[Employee No.]:[Shift]],9,FALSE)</f>
        <v>SHIFT B</v>
      </c>
      <c r="H269" s="25">
        <v>1</v>
      </c>
      <c r="I269" s="25">
        <v>1</v>
      </c>
      <c r="J269" s="25">
        <v>1</v>
      </c>
      <c r="K269" s="25">
        <v>1</v>
      </c>
      <c r="L269" s="25">
        <v>1</v>
      </c>
      <c r="M269" s="25">
        <v>1</v>
      </c>
    </row>
    <row r="270" spans="3:16">
      <c r="C270" s="22" t="s">
        <v>1704</v>
      </c>
      <c r="D270" t="str">
        <f>VLOOKUP(Table3[[#This Row],[Employee No.]],Table1_1[[Employee No.]:[Employee Name]],2,FALSE)</f>
        <v>NURSYAZWANI BINTI HANIZAM</v>
      </c>
      <c r="E270" t="str">
        <f>VLOOKUP(Table3[[#This Row],[Employee No.]],Table1_1[[Employee No.]:[Department]],6,FALSE)</f>
        <v>QUALITY</v>
      </c>
      <c r="F270" t="str">
        <f>VLOOKUP(Table3[[#This Row],[Employee No.]],Table1_1[[Employee No.]:[Gender]],7,FALSE)</f>
        <v>F</v>
      </c>
      <c r="G270" t="str">
        <f>VLOOKUP(Table3[[#This Row],[Employee No.]],Table1_1[[Employee No.]:[Shift]],9,FALSE)</f>
        <v>SHIFT A</v>
      </c>
      <c r="H270" s="25">
        <v>1</v>
      </c>
      <c r="I270" s="25">
        <v>1</v>
      </c>
      <c r="J270" s="25">
        <v>1</v>
      </c>
      <c r="K270" s="25">
        <v>1</v>
      </c>
      <c r="L270" s="25">
        <v>1</v>
      </c>
      <c r="M270" s="25">
        <v>1</v>
      </c>
    </row>
    <row r="271" spans="3:16">
      <c r="C271" s="22" t="s">
        <v>1708</v>
      </c>
      <c r="D271" t="str">
        <f>VLOOKUP(Table3[[#This Row],[Employee No.]],Table1_1[[Employee No.]:[Employee Name]],2,FALSE)</f>
        <v>MUHAMMAD FAZLI BIN MOHD SAIMI</v>
      </c>
      <c r="E271" t="str">
        <f>VLOOKUP(Table3[[#This Row],[Employee No.]],Table1_1[[Employee No.]:[Department]],6,FALSE)</f>
        <v>WAREHOUSE</v>
      </c>
      <c r="F271" t="str">
        <f>VLOOKUP(Table3[[#This Row],[Employee No.]],Table1_1[[Employee No.]:[Gender]],7,FALSE)</f>
        <v>M</v>
      </c>
      <c r="G271" t="str">
        <f>VLOOKUP(Table3[[#This Row],[Employee No.]],Table1_1[[Employee No.]:[Shift]],9,FALSE)</f>
        <v>SHIFT A</v>
      </c>
      <c r="H271" s="25">
        <v>1</v>
      </c>
      <c r="I271" s="25">
        <v>1</v>
      </c>
      <c r="J271" s="25">
        <v>1</v>
      </c>
      <c r="K271" s="25">
        <v>1</v>
      </c>
      <c r="L271" s="25">
        <v>1</v>
      </c>
      <c r="M271" s="25">
        <v>1</v>
      </c>
    </row>
    <row r="272" spans="3:16">
      <c r="C272" s="22" t="s">
        <v>1726</v>
      </c>
      <c r="D272" t="str">
        <f>VLOOKUP(Table3[[#This Row],[Employee No.]],Table1_1[[Employee No.]:[Employee Name]],2,FALSE)</f>
        <v>HASNIZAM BIN MD DESA</v>
      </c>
      <c r="E272" t="str">
        <f>VLOOKUP(Table3[[#This Row],[Employee No.]],Table1_1[[Employee No.]:[Department]],6,FALSE)</f>
        <v>ENVIRONMENT</v>
      </c>
      <c r="F272" t="str">
        <f>VLOOKUP(Table3[[#This Row],[Employee No.]],Table1_1[[Employee No.]:[Gender]],7,FALSE)</f>
        <v>M</v>
      </c>
      <c r="G272" t="str">
        <f>VLOOKUP(Table3[[#This Row],[Employee No.]],Table1_1[[Employee No.]:[Shift]],9,FALSE)</f>
        <v>SHIFT C</v>
      </c>
      <c r="H272" s="25">
        <v>0</v>
      </c>
      <c r="I272" s="25">
        <v>0</v>
      </c>
      <c r="J272" s="25">
        <v>1</v>
      </c>
      <c r="K272" s="25">
        <v>1</v>
      </c>
      <c r="L272" s="25">
        <v>1</v>
      </c>
      <c r="M272" s="25">
        <v>1</v>
      </c>
      <c r="P272" s="25"/>
    </row>
    <row r="273" spans="3:16">
      <c r="C273" s="22" t="s">
        <v>1730</v>
      </c>
      <c r="D273" t="str">
        <f>VLOOKUP(Table3[[#This Row],[Employee No.]],Table1_1[[Employee No.]:[Employee Name]],2,FALSE)</f>
        <v>AHMAD SAFIROL BIN RAMLI</v>
      </c>
      <c r="E273" t="str">
        <f>VLOOKUP(Table3[[#This Row],[Employee No.]],Table1_1[[Employee No.]:[Department]],6,FALSE)</f>
        <v>ENVIRONMENT</v>
      </c>
      <c r="F273" t="str">
        <f>VLOOKUP(Table3[[#This Row],[Employee No.]],Table1_1[[Employee No.]:[Gender]],7,FALSE)</f>
        <v>M</v>
      </c>
      <c r="G273" t="str">
        <f>VLOOKUP(Table3[[#This Row],[Employee No.]],Table1_1[[Employee No.]:[Shift]],9,FALSE)</f>
        <v>SHIFT B</v>
      </c>
      <c r="H273" s="25">
        <v>1</v>
      </c>
      <c r="I273" s="25">
        <v>1</v>
      </c>
      <c r="J273" s="25">
        <v>1</v>
      </c>
      <c r="K273" s="25">
        <v>1</v>
      </c>
      <c r="L273" s="25">
        <v>1</v>
      </c>
      <c r="M273" s="25">
        <v>1</v>
      </c>
    </row>
    <row r="274" spans="3:16">
      <c r="C274" s="22" t="s">
        <v>1734</v>
      </c>
      <c r="D274" t="str">
        <f>VLOOKUP(Table3[[#This Row],[Employee No.]],Table1_1[[Employee No.]:[Employee Name]],2,FALSE)</f>
        <v>MOHD HELMI BIN SAARONI</v>
      </c>
      <c r="E274" t="str">
        <f>VLOOKUP(Table3[[#This Row],[Employee No.]],Table1_1[[Employee No.]:[Department]],6,FALSE)</f>
        <v>PACKING</v>
      </c>
      <c r="F274" t="str">
        <f>VLOOKUP(Table3[[#This Row],[Employee No.]],Table1_1[[Employee No.]:[Gender]],7,FALSE)</f>
        <v>M</v>
      </c>
      <c r="G274" t="str">
        <f>VLOOKUP(Table3[[#This Row],[Employee No.]],Table1_1[[Employee No.]:[Shift]],9,FALSE)</f>
        <v>SHIFT A</v>
      </c>
      <c r="H274" s="25">
        <v>1</v>
      </c>
      <c r="I274" s="25">
        <v>1</v>
      </c>
      <c r="J274" s="25">
        <v>1</v>
      </c>
      <c r="K274" s="25">
        <v>1</v>
      </c>
      <c r="L274" s="25">
        <v>1</v>
      </c>
      <c r="M274" s="25">
        <v>1</v>
      </c>
    </row>
    <row r="275" spans="3:16">
      <c r="C275" s="22" t="s">
        <v>1737</v>
      </c>
      <c r="D275" t="str">
        <f>VLOOKUP(Table3[[#This Row],[Employee No.]],Table1_1[[Employee No.]:[Employee Name]],2,FALSE)</f>
        <v>MOHD FAUZI BIN CHE AP</v>
      </c>
      <c r="E275" t="str">
        <f>VLOOKUP(Table3[[#This Row],[Employee No.]],Table1_1[[Employee No.]:[Department]],6,FALSE)</f>
        <v>ENVIRONMENT</v>
      </c>
      <c r="F275" t="str">
        <f>VLOOKUP(Table3[[#This Row],[Employee No.]],Table1_1[[Employee No.]:[Gender]],7,FALSE)</f>
        <v>M</v>
      </c>
      <c r="G275" t="str">
        <f>VLOOKUP(Table3[[#This Row],[Employee No.]],Table1_1[[Employee No.]:[Shift]],9,FALSE)</f>
        <v>SHIFT B</v>
      </c>
      <c r="H275" s="25">
        <v>1</v>
      </c>
      <c r="I275" s="25">
        <v>1</v>
      </c>
      <c r="J275" s="25">
        <v>1</v>
      </c>
      <c r="K275" s="25">
        <v>1</v>
      </c>
      <c r="L275" s="25">
        <v>1</v>
      </c>
      <c r="M275" s="25">
        <v>1</v>
      </c>
    </row>
    <row r="276" spans="3:16">
      <c r="C276" s="22" t="s">
        <v>1741</v>
      </c>
      <c r="D276" t="str">
        <f>VLOOKUP(Table3[[#This Row],[Employee No.]],Table1_1[[Employee No.]:[Employee Name]],2,FALSE)</f>
        <v>NOR NASUHA BINTI ZAID</v>
      </c>
      <c r="E276" t="str">
        <f>VLOOKUP(Table3[[#This Row],[Employee No.]],Table1_1[[Employee No.]:[Department]],6,FALSE)</f>
        <v>QUALITY</v>
      </c>
      <c r="F276" t="str">
        <f>VLOOKUP(Table3[[#This Row],[Employee No.]],Table1_1[[Employee No.]:[Gender]],7,FALSE)</f>
        <v>F</v>
      </c>
      <c r="G276" t="str">
        <f>VLOOKUP(Table3[[#This Row],[Employee No.]],Table1_1[[Employee No.]:[Shift]],9,FALSE)</f>
        <v>SHIFT A</v>
      </c>
      <c r="H276" s="25">
        <v>1</v>
      </c>
      <c r="I276" s="25">
        <v>1</v>
      </c>
      <c r="J276" s="25">
        <v>1</v>
      </c>
      <c r="K276" s="25">
        <v>0</v>
      </c>
      <c r="L276" s="25">
        <v>0</v>
      </c>
      <c r="M276" s="25">
        <v>1</v>
      </c>
    </row>
    <row r="277" spans="3:16">
      <c r="C277" s="22" t="s">
        <v>1749</v>
      </c>
      <c r="D277" t="str">
        <f>VLOOKUP(Table3[[#This Row],[Employee No.]],Table1_1[[Employee No.]:[Employee Name]],2,FALSE)</f>
        <v>MUHAMAD ADI HAKIMI BIN MOHD RASHID</v>
      </c>
      <c r="E277" t="str">
        <f>VLOOKUP(Table3[[#This Row],[Employee No.]],Table1_1[[Employee No.]:[Department]],6,FALSE)</f>
        <v>EQUIPMENT</v>
      </c>
      <c r="F277" t="str">
        <f>VLOOKUP(Table3[[#This Row],[Employee No.]],Table1_1[[Employee No.]:[Gender]],7,FALSE)</f>
        <v>M</v>
      </c>
      <c r="G277" t="str">
        <f>VLOOKUP(Table3[[#This Row],[Employee No.]],Table1_1[[Employee No.]:[Shift]],9,FALSE)</f>
        <v>SHIFT A</v>
      </c>
      <c r="H277" s="25">
        <v>1</v>
      </c>
      <c r="I277" s="25">
        <v>1</v>
      </c>
      <c r="J277" s="25">
        <v>1</v>
      </c>
      <c r="K277" s="25">
        <v>1</v>
      </c>
      <c r="L277" s="25">
        <v>1</v>
      </c>
      <c r="M277" s="25">
        <v>1</v>
      </c>
    </row>
    <row r="278" spans="3:16">
      <c r="C278" s="22" t="s">
        <v>1761</v>
      </c>
      <c r="D278" t="str">
        <f>VLOOKUP(Table3[[#This Row],[Employee No.]],Table1_1[[Employee No.]:[Employee Name]],2,FALSE)</f>
        <v>AHMAD IDIL HAIKAL BIN AHMAD ISHAK</v>
      </c>
      <c r="E278" t="str">
        <f>VLOOKUP(Table3[[#This Row],[Employee No.]],Table1_1[[Employee No.]:[Department]],6,FALSE)</f>
        <v>RODI</v>
      </c>
      <c r="F278" t="str">
        <f>VLOOKUP(Table3[[#This Row],[Employee No.]],Table1_1[[Employee No.]:[Gender]],7,FALSE)</f>
        <v>M</v>
      </c>
      <c r="G278" t="str">
        <f>VLOOKUP(Table3[[#This Row],[Employee No.]],Table1_1[[Employee No.]:[Shift]],9,FALSE)</f>
        <v>SHIFT C</v>
      </c>
      <c r="H278" s="25">
        <v>1</v>
      </c>
      <c r="I278" s="25">
        <v>1</v>
      </c>
      <c r="J278" s="25">
        <v>1</v>
      </c>
      <c r="K278" s="25">
        <v>1</v>
      </c>
      <c r="L278" s="25">
        <v>0</v>
      </c>
      <c r="M278" s="25">
        <v>1</v>
      </c>
      <c r="P278" s="25"/>
    </row>
    <row r="279" spans="3:16">
      <c r="C279" s="22" t="s">
        <v>1765</v>
      </c>
      <c r="D279" t="str">
        <f>VLOOKUP(Table3[[#This Row],[Employee No.]],Table1_1[[Employee No.]:[Employee Name]],2,FALSE)</f>
        <v>MUHAMMAD ALIFF FARHAN BIN ANUAR</v>
      </c>
      <c r="E279" t="str">
        <f>VLOOKUP(Table3[[#This Row],[Employee No.]],Table1_1[[Employee No.]:[Department]],6,FALSE)</f>
        <v>FACILITY</v>
      </c>
      <c r="F279" t="str">
        <f>VLOOKUP(Table3[[#This Row],[Employee No.]],Table1_1[[Employee No.]:[Gender]],7,FALSE)</f>
        <v>M</v>
      </c>
      <c r="G279" t="str">
        <f>VLOOKUP(Table3[[#This Row],[Employee No.]],Table1_1[[Employee No.]:[Shift]],9,FALSE)</f>
        <v>SHIFT C</v>
      </c>
      <c r="H279" s="25">
        <v>1</v>
      </c>
      <c r="I279" s="25">
        <v>1</v>
      </c>
      <c r="J279" s="25">
        <v>1</v>
      </c>
      <c r="K279" s="25">
        <v>1</v>
      </c>
      <c r="L279" s="25">
        <v>1</v>
      </c>
      <c r="M279" s="25">
        <v>1</v>
      </c>
      <c r="P279" s="25"/>
    </row>
    <row r="280" spans="3:16">
      <c r="C280" s="22" t="s">
        <v>1772</v>
      </c>
      <c r="D280" t="str">
        <f>VLOOKUP(Table3[[#This Row],[Employee No.]],Table1_1[[Employee No.]:[Employee Name]],2,FALSE)</f>
        <v>AMIT KUMAR JHA</v>
      </c>
      <c r="E280" t="str">
        <f>VLOOKUP(Table3[[#This Row],[Employee No.]],Table1_1[[Employee No.]:[Department]],6,FALSE)</f>
        <v>AOI</v>
      </c>
      <c r="F280" t="str">
        <f>VLOOKUP(Table3[[#This Row],[Employee No.]],Table1_1[[Employee No.]:[Gender]],7,FALSE)</f>
        <v>M</v>
      </c>
      <c r="G280" t="str">
        <f>VLOOKUP(Table3[[#This Row],[Employee No.]],Table1_1[[Employee No.]:[Shift]],9,FALSE)</f>
        <v>SHIFT B</v>
      </c>
      <c r="H280" s="25">
        <v>1</v>
      </c>
      <c r="I280" s="25">
        <v>1</v>
      </c>
      <c r="J280" s="25">
        <v>1</v>
      </c>
      <c r="K280" s="25">
        <v>1</v>
      </c>
      <c r="L280" s="25">
        <v>1</v>
      </c>
      <c r="M280" s="25">
        <v>1</v>
      </c>
    </row>
    <row r="281" spans="3:16">
      <c r="C281" s="22" t="s">
        <v>1777</v>
      </c>
      <c r="D281" t="str">
        <f>VLOOKUP(Table3[[#This Row],[Employee No.]],Table1_1[[Employee No.]:[Employee Name]],2,FALSE)</f>
        <v>ARJUN B K</v>
      </c>
      <c r="E281" t="str">
        <f>VLOOKUP(Table3[[#This Row],[Employee No.]],Table1_1[[Employee No.]:[Department]],6,FALSE)</f>
        <v>LASER</v>
      </c>
      <c r="F281" t="str">
        <f>VLOOKUP(Table3[[#This Row],[Employee No.]],Table1_1[[Employee No.]:[Gender]],7,FALSE)</f>
        <v>M</v>
      </c>
      <c r="G281" t="str">
        <f>VLOOKUP(Table3[[#This Row],[Employee No.]],Table1_1[[Employee No.]:[Shift]],9,FALSE)</f>
        <v>SHIFT A</v>
      </c>
      <c r="H281" s="25">
        <v>1</v>
      </c>
      <c r="I281" s="25">
        <v>1</v>
      </c>
      <c r="J281" s="25">
        <v>1</v>
      </c>
      <c r="K281" s="25">
        <v>1</v>
      </c>
      <c r="L281" s="25">
        <v>1</v>
      </c>
      <c r="M281" s="25">
        <v>1</v>
      </c>
    </row>
    <row r="282" spans="3:16">
      <c r="C282" s="22" t="s">
        <v>1779</v>
      </c>
      <c r="D282" t="str">
        <f>VLOOKUP(Table3[[#This Row],[Employee No.]],Table1_1[[Employee No.]:[Employee Name]],2,FALSE)</f>
        <v>ARJUN LOPCHAN</v>
      </c>
      <c r="E282" t="str">
        <f>VLOOKUP(Table3[[#This Row],[Employee No.]],Table1_1[[Employee No.]:[Department]],6,FALSE)</f>
        <v>DF</v>
      </c>
      <c r="F282" t="str">
        <f>VLOOKUP(Table3[[#This Row],[Employee No.]],Table1_1[[Employee No.]:[Gender]],7,FALSE)</f>
        <v>M</v>
      </c>
      <c r="G282" t="str">
        <f>VLOOKUP(Table3[[#This Row],[Employee No.]],Table1_1[[Employee No.]:[Shift]],9,FALSE)</f>
        <v>SHIFT A</v>
      </c>
      <c r="H282" s="25">
        <v>1</v>
      </c>
      <c r="I282" s="25">
        <v>1</v>
      </c>
      <c r="J282" s="25">
        <v>1</v>
      </c>
      <c r="K282" s="25">
        <v>1</v>
      </c>
      <c r="L282" s="25">
        <v>1</v>
      </c>
      <c r="M282" s="25">
        <v>1</v>
      </c>
    </row>
    <row r="283" spans="3:16">
      <c r="C283" s="22" t="s">
        <v>1782</v>
      </c>
      <c r="D283" t="str">
        <f>VLOOKUP(Table3[[#This Row],[Employee No.]],Table1_1[[Employee No.]:[Employee Name]],2,FALSE)</f>
        <v>BASANTARAJ PARAJULI</v>
      </c>
      <c r="E283" t="str">
        <f>VLOOKUP(Table3[[#This Row],[Employee No.]],Table1_1[[Employee No.]:[Department]],6,FALSE)</f>
        <v>DRILL</v>
      </c>
      <c r="F283" t="str">
        <f>VLOOKUP(Table3[[#This Row],[Employee No.]],Table1_1[[Employee No.]:[Gender]],7,FALSE)</f>
        <v>M</v>
      </c>
      <c r="G283" t="str">
        <f>VLOOKUP(Table3[[#This Row],[Employee No.]],Table1_1[[Employee No.]:[Shift]],9,FALSE)</f>
        <v>SHIFT A</v>
      </c>
      <c r="H283" s="25">
        <v>1</v>
      </c>
      <c r="I283" s="25">
        <v>1</v>
      </c>
      <c r="J283" s="25">
        <v>1</v>
      </c>
      <c r="K283" s="25">
        <v>1</v>
      </c>
      <c r="L283" s="25">
        <v>1</v>
      </c>
      <c r="M283" s="25">
        <v>1</v>
      </c>
    </row>
    <row r="284" spans="3:16">
      <c r="C284" s="22" t="s">
        <v>1784</v>
      </c>
      <c r="D284" t="str">
        <f>VLOOKUP(Table3[[#This Row],[Employee No.]],Table1_1[[Employee No.]:[Employee Name]],2,FALSE)</f>
        <v>BHESRAJ DANGAL</v>
      </c>
      <c r="E284" t="str">
        <f>VLOOKUP(Table3[[#This Row],[Employee No.]],Table1_1[[Employee No.]:[Department]],6,FALSE)</f>
        <v>MLB</v>
      </c>
      <c r="F284" t="str">
        <f>VLOOKUP(Table3[[#This Row],[Employee No.]],Table1_1[[Employee No.]:[Gender]],7,FALSE)</f>
        <v>M</v>
      </c>
      <c r="G284" t="str">
        <f>VLOOKUP(Table3[[#This Row],[Employee No.]],Table1_1[[Employee No.]:[Shift]],9,FALSE)</f>
        <v>SHIFT A</v>
      </c>
      <c r="H284" s="25">
        <v>1</v>
      </c>
      <c r="I284" s="25">
        <v>1</v>
      </c>
      <c r="J284" s="25">
        <v>1</v>
      </c>
      <c r="K284" s="25">
        <v>1</v>
      </c>
      <c r="L284" s="25">
        <v>1</v>
      </c>
      <c r="M284" s="25">
        <v>1</v>
      </c>
    </row>
    <row r="285" spans="3:16">
      <c r="C285" s="22" t="s">
        <v>1786</v>
      </c>
      <c r="D285" t="str">
        <f>VLOOKUP(Table3[[#This Row],[Employee No.]],Table1_1[[Employee No.]:[Employee Name]],2,FALSE)</f>
        <v>BIJAY KUMAR MANDAL</v>
      </c>
      <c r="E285" t="str">
        <f>VLOOKUP(Table3[[#This Row],[Employee No.]],Table1_1[[Employee No.]:[Department]],6,FALSE)</f>
        <v>DF</v>
      </c>
      <c r="F285" t="str">
        <f>VLOOKUP(Table3[[#This Row],[Employee No.]],Table1_1[[Employee No.]:[Gender]],7,FALSE)</f>
        <v>M</v>
      </c>
      <c r="G285" t="str">
        <f>VLOOKUP(Table3[[#This Row],[Employee No.]],Table1_1[[Employee No.]:[Shift]],9,FALSE)</f>
        <v>SHIFT B</v>
      </c>
      <c r="H285" s="25">
        <v>1</v>
      </c>
      <c r="I285" s="25">
        <v>1</v>
      </c>
      <c r="J285" s="25">
        <v>1</v>
      </c>
      <c r="K285" s="25">
        <v>1</v>
      </c>
      <c r="L285" s="25">
        <v>1</v>
      </c>
      <c r="M285" s="25">
        <v>1</v>
      </c>
    </row>
    <row r="286" spans="3:16">
      <c r="C286" s="22" t="s">
        <v>1788</v>
      </c>
      <c r="D286" t="str">
        <f>VLOOKUP(Table3[[#This Row],[Employee No.]],Table1_1[[Employee No.]:[Employee Name]],2,FALSE)</f>
        <v>BIJAY KUMAR SAH</v>
      </c>
      <c r="E286" t="str">
        <f>VLOOKUP(Table3[[#This Row],[Employee No.]],Table1_1[[Employee No.]:[Department]],6,FALSE)</f>
        <v>ROUTER</v>
      </c>
      <c r="F286" t="str">
        <f>VLOOKUP(Table3[[#This Row],[Employee No.]],Table1_1[[Employee No.]:[Gender]],7,FALSE)</f>
        <v>M</v>
      </c>
      <c r="G286" t="str">
        <f>VLOOKUP(Table3[[#This Row],[Employee No.]],Table1_1[[Employee No.]:[Shift]],9,FALSE)</f>
        <v>SHIFT B</v>
      </c>
      <c r="H286" s="25">
        <v>1</v>
      </c>
      <c r="I286" s="25">
        <v>1</v>
      </c>
      <c r="J286" s="25">
        <v>1</v>
      </c>
      <c r="K286" s="25">
        <v>1</v>
      </c>
      <c r="L286" s="25">
        <v>1</v>
      </c>
      <c r="M286" s="25">
        <v>1</v>
      </c>
    </row>
    <row r="287" spans="3:16">
      <c r="C287" s="22" t="s">
        <v>1790</v>
      </c>
      <c r="D287" t="str">
        <f>VLOOKUP(Table3[[#This Row],[Employee No.]],Table1_1[[Employee No.]:[Employee Name]],2,FALSE)</f>
        <v>BIRAJ PRASAD CHAUDHARY</v>
      </c>
      <c r="E287" t="str">
        <f>VLOOKUP(Table3[[#This Row],[Employee No.]],Table1_1[[Employee No.]:[Department]],6,FALSE)</f>
        <v>MLB</v>
      </c>
      <c r="F287" t="str">
        <f>VLOOKUP(Table3[[#This Row],[Employee No.]],Table1_1[[Employee No.]:[Gender]],7,FALSE)</f>
        <v>M</v>
      </c>
      <c r="G287" t="str">
        <f>VLOOKUP(Table3[[#This Row],[Employee No.]],Table1_1[[Employee No.]:[Shift]],9,FALSE)</f>
        <v>SHIFT B</v>
      </c>
      <c r="H287" s="25">
        <v>1</v>
      </c>
      <c r="I287" s="25">
        <v>1</v>
      </c>
      <c r="J287" s="25">
        <v>1</v>
      </c>
      <c r="K287" s="25">
        <v>1</v>
      </c>
      <c r="L287" s="25">
        <v>1</v>
      </c>
      <c r="M287" s="25">
        <v>1</v>
      </c>
    </row>
    <row r="288" spans="3:16">
      <c r="C288" s="22" t="s">
        <v>1792</v>
      </c>
      <c r="D288" t="str">
        <f>VLOOKUP(Table3[[#This Row],[Employee No.]],Table1_1[[Employee No.]:[Employee Name]],2,FALSE)</f>
        <v>DEEWASH THAPA</v>
      </c>
      <c r="E288" t="str">
        <f>VLOOKUP(Table3[[#This Row],[Employee No.]],Table1_1[[Employee No.]:[Department]],6,FALSE)</f>
        <v>CU</v>
      </c>
      <c r="F288" t="str">
        <f>VLOOKUP(Table3[[#This Row],[Employee No.]],Table1_1[[Employee No.]:[Gender]],7,FALSE)</f>
        <v>M</v>
      </c>
      <c r="G288" t="str">
        <f>VLOOKUP(Table3[[#This Row],[Employee No.]],Table1_1[[Employee No.]:[Shift]],9,FALSE)</f>
        <v>SHIFT A</v>
      </c>
      <c r="H288" s="25">
        <v>1</v>
      </c>
      <c r="I288" s="25">
        <v>1</v>
      </c>
      <c r="J288" s="25">
        <v>1</v>
      </c>
      <c r="K288" s="25">
        <v>0</v>
      </c>
      <c r="L288" s="25">
        <v>1</v>
      </c>
      <c r="M288" s="25">
        <v>1</v>
      </c>
    </row>
    <row r="289" spans="3:16">
      <c r="C289" s="22" t="s">
        <v>1795</v>
      </c>
      <c r="D289" t="str">
        <f>VLOOKUP(Table3[[#This Row],[Employee No.]],Table1_1[[Employee No.]:[Employee Name]],2,FALSE)</f>
        <v>DEV SING THAPA</v>
      </c>
      <c r="E289" t="str">
        <f>VLOOKUP(Table3[[#This Row],[Employee No.]],Table1_1[[Employee No.]:[Department]],6,FALSE)</f>
        <v>MLB</v>
      </c>
      <c r="F289" t="str">
        <f>VLOOKUP(Table3[[#This Row],[Employee No.]],Table1_1[[Employee No.]:[Gender]],7,FALSE)</f>
        <v>M</v>
      </c>
      <c r="G289" t="str">
        <f>VLOOKUP(Table3[[#This Row],[Employee No.]],Table1_1[[Employee No.]:[Shift]],9,FALSE)</f>
        <v>SHIFT C</v>
      </c>
      <c r="H289" s="25">
        <v>1</v>
      </c>
      <c r="I289" s="25">
        <v>1</v>
      </c>
      <c r="J289" s="25">
        <v>1</v>
      </c>
      <c r="K289" s="25">
        <v>1</v>
      </c>
      <c r="L289" s="25">
        <v>1</v>
      </c>
      <c r="M289" s="25">
        <v>1</v>
      </c>
      <c r="P289" s="25"/>
    </row>
    <row r="290" spans="3:16">
      <c r="C290" s="22" t="s">
        <v>1797</v>
      </c>
      <c r="D290" t="str">
        <f>VLOOKUP(Table3[[#This Row],[Employee No.]],Table1_1[[Employee No.]:[Employee Name]],2,FALSE)</f>
        <v>DEVENDRA PRASAD SAH</v>
      </c>
      <c r="E290" t="str">
        <f>VLOOKUP(Table3[[#This Row],[Employee No.]],Table1_1[[Employee No.]:[Department]],6,FALSE)</f>
        <v>MLB</v>
      </c>
      <c r="F290" t="str">
        <f>VLOOKUP(Table3[[#This Row],[Employee No.]],Table1_1[[Employee No.]:[Gender]],7,FALSE)</f>
        <v>M</v>
      </c>
      <c r="G290" t="str">
        <f>VLOOKUP(Table3[[#This Row],[Employee No.]],Table1_1[[Employee No.]:[Shift]],9,FALSE)</f>
        <v>SHIFT B</v>
      </c>
      <c r="H290" s="25">
        <v>1</v>
      </c>
      <c r="I290" s="25">
        <v>1</v>
      </c>
      <c r="J290" s="25">
        <v>1</v>
      </c>
      <c r="K290" s="25">
        <v>1</v>
      </c>
      <c r="L290" s="25">
        <v>1</v>
      </c>
      <c r="M290" s="25">
        <v>1</v>
      </c>
    </row>
    <row r="291" spans="3:16">
      <c r="C291" s="22" t="s">
        <v>1799</v>
      </c>
      <c r="D291" t="str">
        <f>VLOOKUP(Table3[[#This Row],[Employee No.]],Table1_1[[Employee No.]:[Employee Name]],2,FALSE)</f>
        <v>DHANASHYAM YADAV</v>
      </c>
      <c r="E291" t="str">
        <f>VLOOKUP(Table3[[#This Row],[Employee No.]],Table1_1[[Employee No.]:[Department]],6,FALSE)</f>
        <v>CU</v>
      </c>
      <c r="F291" t="str">
        <f>VLOOKUP(Table3[[#This Row],[Employee No.]],Table1_1[[Employee No.]:[Gender]],7,FALSE)</f>
        <v>M</v>
      </c>
      <c r="G291" t="str">
        <f>VLOOKUP(Table3[[#This Row],[Employee No.]],Table1_1[[Employee No.]:[Shift]],9,FALSE)</f>
        <v>SHIFT A</v>
      </c>
      <c r="H291" s="25">
        <v>1</v>
      </c>
      <c r="I291" s="25">
        <v>1</v>
      </c>
      <c r="J291" s="25">
        <v>1</v>
      </c>
      <c r="K291" s="25">
        <v>1</v>
      </c>
      <c r="L291" s="25">
        <v>1</v>
      </c>
      <c r="M291" s="25">
        <v>1</v>
      </c>
    </row>
    <row r="292" spans="3:16">
      <c r="C292" s="22" t="s">
        <v>1801</v>
      </c>
      <c r="D292" t="str">
        <f>VLOOKUP(Table3[[#This Row],[Employee No.]],Table1_1[[Employee No.]:[Employee Name]],2,FALSE)</f>
        <v>DHIRAJ BISHWOKARMA</v>
      </c>
      <c r="E292" t="str">
        <f>VLOOKUP(Table3[[#This Row],[Employee No.]],Table1_1[[Employee No.]:[Department]],6,FALSE)</f>
        <v>SM</v>
      </c>
      <c r="F292" t="str">
        <f>VLOOKUP(Table3[[#This Row],[Employee No.]],Table1_1[[Employee No.]:[Gender]],7,FALSE)</f>
        <v>M</v>
      </c>
      <c r="G292" t="str">
        <f>VLOOKUP(Table3[[#This Row],[Employee No.]],Table1_1[[Employee No.]:[Shift]],9,FALSE)</f>
        <v>SHIFT C</v>
      </c>
      <c r="H292" s="25">
        <v>1</v>
      </c>
      <c r="I292" s="25">
        <v>1</v>
      </c>
      <c r="J292" s="25">
        <v>1</v>
      </c>
      <c r="K292" s="25">
        <v>1</v>
      </c>
      <c r="L292" s="25">
        <v>1</v>
      </c>
      <c r="M292" s="25">
        <v>1</v>
      </c>
      <c r="P292" s="25"/>
    </row>
    <row r="293" spans="3:16">
      <c r="C293" s="22" t="s">
        <v>1803</v>
      </c>
      <c r="D293" t="str">
        <f>VLOOKUP(Table3[[#This Row],[Employee No.]],Table1_1[[Employee No.]:[Employee Name]],2,FALSE)</f>
        <v>DILESWAR PRASAD SAH</v>
      </c>
      <c r="E293" t="str">
        <f>VLOOKUP(Table3[[#This Row],[Employee No.]],Table1_1[[Employee No.]:[Department]],6,FALSE)</f>
        <v>SM</v>
      </c>
      <c r="F293" t="str">
        <f>VLOOKUP(Table3[[#This Row],[Employee No.]],Table1_1[[Employee No.]:[Gender]],7,FALSE)</f>
        <v>M</v>
      </c>
      <c r="G293" t="str">
        <f>VLOOKUP(Table3[[#This Row],[Employee No.]],Table1_1[[Employee No.]:[Shift]],9,FALSE)</f>
        <v>SHIFT C</v>
      </c>
      <c r="H293" s="25">
        <v>1</v>
      </c>
      <c r="I293" s="25">
        <v>1</v>
      </c>
      <c r="J293" s="25">
        <v>1</v>
      </c>
      <c r="K293" s="25">
        <v>1</v>
      </c>
      <c r="L293" s="25">
        <v>1</v>
      </c>
      <c r="M293" s="25">
        <v>1</v>
      </c>
      <c r="P293" s="25"/>
    </row>
    <row r="294" spans="3:16">
      <c r="C294" s="22" t="s">
        <v>1805</v>
      </c>
      <c r="D294" t="str">
        <f>VLOOKUP(Table3[[#This Row],[Employee No.]],Table1_1[[Employee No.]:[Employee Name]],2,FALSE)</f>
        <v>DIPAK BHOLAN</v>
      </c>
      <c r="E294" t="str">
        <f>VLOOKUP(Table3[[#This Row],[Employee No.]],Table1_1[[Employee No.]:[Department]],6,FALSE)</f>
        <v>DRILL</v>
      </c>
      <c r="F294" t="str">
        <f>VLOOKUP(Table3[[#This Row],[Employee No.]],Table1_1[[Employee No.]:[Gender]],7,FALSE)</f>
        <v>M</v>
      </c>
      <c r="G294" t="str">
        <f>VLOOKUP(Table3[[#This Row],[Employee No.]],Table1_1[[Employee No.]:[Shift]],9,FALSE)</f>
        <v>SHIFT C</v>
      </c>
      <c r="H294" s="25">
        <v>1</v>
      </c>
      <c r="I294" s="25">
        <v>1</v>
      </c>
      <c r="J294" s="25">
        <v>1</v>
      </c>
      <c r="K294" s="25">
        <v>1</v>
      </c>
      <c r="L294" s="25">
        <v>1</v>
      </c>
      <c r="M294" s="25">
        <v>1</v>
      </c>
      <c r="P294" s="25"/>
    </row>
    <row r="295" spans="3:16">
      <c r="C295" s="22" t="s">
        <v>1807</v>
      </c>
      <c r="D295" t="str">
        <f>VLOOKUP(Table3[[#This Row],[Employee No.]],Table1_1[[Employee No.]:[Employee Name]],2,FALSE)</f>
        <v>GANESH BAHADUR LIMBU</v>
      </c>
      <c r="E295" t="str">
        <f>VLOOKUP(Table3[[#This Row],[Employee No.]],Table1_1[[Employee No.]:[Department]],6,FALSE)</f>
        <v>CU</v>
      </c>
      <c r="F295" t="str">
        <f>VLOOKUP(Table3[[#This Row],[Employee No.]],Table1_1[[Employee No.]:[Gender]],7,FALSE)</f>
        <v>M</v>
      </c>
      <c r="G295" t="str">
        <f>VLOOKUP(Table3[[#This Row],[Employee No.]],Table1_1[[Employee No.]:[Shift]],9,FALSE)</f>
        <v>SHIFT C</v>
      </c>
      <c r="H295" s="25">
        <v>1</v>
      </c>
      <c r="I295" s="25">
        <v>1</v>
      </c>
      <c r="J295" s="25">
        <v>1</v>
      </c>
      <c r="K295" s="25">
        <v>1</v>
      </c>
      <c r="L295" s="25">
        <v>1</v>
      </c>
      <c r="M295" s="25">
        <v>1</v>
      </c>
      <c r="P295" s="25"/>
    </row>
    <row r="296" spans="3:16">
      <c r="C296" s="22" t="s">
        <v>1810</v>
      </c>
      <c r="D296" t="str">
        <f>VLOOKUP(Table3[[#This Row],[Employee No.]],Table1_1[[Employee No.]:[Employee Name]],2,FALSE)</f>
        <v>GANESH KUMAR GADAL</v>
      </c>
      <c r="E296" t="str">
        <f>VLOOKUP(Table3[[#This Row],[Employee No.]],Table1_1[[Employee No.]:[Department]],6,FALSE)</f>
        <v>SM</v>
      </c>
      <c r="F296" t="str">
        <f>VLOOKUP(Table3[[#This Row],[Employee No.]],Table1_1[[Employee No.]:[Gender]],7,FALSE)</f>
        <v>M</v>
      </c>
      <c r="G296" t="str">
        <f>VLOOKUP(Table3[[#This Row],[Employee No.]],Table1_1[[Employee No.]:[Shift]],9,FALSE)</f>
        <v>SHIFT B</v>
      </c>
      <c r="H296" s="25">
        <v>1</v>
      </c>
      <c r="I296" s="25">
        <v>1</v>
      </c>
      <c r="J296" s="25">
        <v>1</v>
      </c>
      <c r="K296" s="25">
        <v>1</v>
      </c>
      <c r="L296" s="25">
        <v>1</v>
      </c>
      <c r="M296" s="25">
        <v>1</v>
      </c>
    </row>
    <row r="297" spans="3:16">
      <c r="C297" s="22" t="s">
        <v>1812</v>
      </c>
      <c r="D297" t="str">
        <f>VLOOKUP(Table3[[#This Row],[Employee No.]],Table1_1[[Employee No.]:[Employee Name]],2,FALSE)</f>
        <v>GOPAL PRASAD SAH</v>
      </c>
      <c r="E297" t="str">
        <f>VLOOKUP(Table3[[#This Row],[Employee No.]],Table1_1[[Employee No.]:[Department]],6,FALSE)</f>
        <v>DF</v>
      </c>
      <c r="F297" t="str">
        <f>VLOOKUP(Table3[[#This Row],[Employee No.]],Table1_1[[Employee No.]:[Gender]],7,FALSE)</f>
        <v>M</v>
      </c>
      <c r="G297" t="str">
        <f>VLOOKUP(Table3[[#This Row],[Employee No.]],Table1_1[[Employee No.]:[Shift]],9,FALSE)</f>
        <v>SHIFT B</v>
      </c>
      <c r="H297" s="25">
        <v>1</v>
      </c>
      <c r="I297" s="25">
        <v>1</v>
      </c>
      <c r="J297" s="25">
        <v>1</v>
      </c>
      <c r="K297" s="25">
        <v>1</v>
      </c>
      <c r="L297" s="25">
        <v>1</v>
      </c>
      <c r="M297" s="25">
        <v>1</v>
      </c>
    </row>
    <row r="298" spans="3:16">
      <c r="C298" s="22" t="s">
        <v>1814</v>
      </c>
      <c r="D298" t="str">
        <f>VLOOKUP(Table3[[#This Row],[Employee No.]],Table1_1[[Employee No.]:[Employee Name]],2,FALSE)</f>
        <v>HARI BAHADUR SHRESTHA</v>
      </c>
      <c r="E298" t="str">
        <f>VLOOKUP(Table3[[#This Row],[Employee No.]],Table1_1[[Employee No.]:[Department]],6,FALSE)</f>
        <v>CU</v>
      </c>
      <c r="F298" t="str">
        <f>VLOOKUP(Table3[[#This Row],[Employee No.]],Table1_1[[Employee No.]:[Gender]],7,FALSE)</f>
        <v>M</v>
      </c>
      <c r="G298" t="str">
        <f>VLOOKUP(Table3[[#This Row],[Employee No.]],Table1_1[[Employee No.]:[Shift]],9,FALSE)</f>
        <v>SHIFT B</v>
      </c>
      <c r="H298" s="25">
        <v>1</v>
      </c>
      <c r="I298" s="25">
        <v>1</v>
      </c>
      <c r="J298" s="25">
        <v>1</v>
      </c>
      <c r="K298" s="25">
        <v>1</v>
      </c>
      <c r="L298" s="25">
        <v>1</v>
      </c>
      <c r="M298" s="25">
        <v>1</v>
      </c>
    </row>
    <row r="299" spans="3:16">
      <c r="C299" s="22" t="s">
        <v>1817</v>
      </c>
      <c r="D299" t="str">
        <f>VLOOKUP(Table3[[#This Row],[Employee No.]],Table1_1[[Employee No.]:[Employee Name]],2,FALSE)</f>
        <v>HEM BAHADUR TAMANG</v>
      </c>
      <c r="E299" t="str">
        <f>VLOOKUP(Table3[[#This Row],[Employee No.]],Table1_1[[Employee No.]:[Department]],6,FALSE)</f>
        <v>CU</v>
      </c>
      <c r="F299" t="str">
        <f>VLOOKUP(Table3[[#This Row],[Employee No.]],Table1_1[[Employee No.]:[Gender]],7,FALSE)</f>
        <v>M</v>
      </c>
      <c r="G299" t="str">
        <f>VLOOKUP(Table3[[#This Row],[Employee No.]],Table1_1[[Employee No.]:[Shift]],9,FALSE)</f>
        <v>SHIFT A</v>
      </c>
      <c r="H299" s="25">
        <v>1</v>
      </c>
      <c r="I299" s="25">
        <v>1</v>
      </c>
      <c r="J299" s="25">
        <v>1</v>
      </c>
      <c r="K299" s="25">
        <v>1</v>
      </c>
      <c r="L299" s="25">
        <v>1</v>
      </c>
      <c r="M299" s="25">
        <v>0</v>
      </c>
    </row>
    <row r="300" spans="3:16">
      <c r="C300" s="22" t="s">
        <v>1819</v>
      </c>
      <c r="D300" t="str">
        <f>VLOOKUP(Table3[[#This Row],[Employee No.]],Table1_1[[Employee No.]:[Employee Name]],2,FALSE)</f>
        <v>JAYAPRAKASH RAM</v>
      </c>
      <c r="E300" t="str">
        <f>VLOOKUP(Table3[[#This Row],[Employee No.]],Table1_1[[Employee No.]:[Department]],6,FALSE)</f>
        <v>CU</v>
      </c>
      <c r="F300" t="str">
        <f>VLOOKUP(Table3[[#This Row],[Employee No.]],Table1_1[[Employee No.]:[Gender]],7,FALSE)</f>
        <v>M</v>
      </c>
      <c r="G300" t="str">
        <f>VLOOKUP(Table3[[#This Row],[Employee No.]],Table1_1[[Employee No.]:[Shift]],9,FALSE)</f>
        <v>SHIFT E</v>
      </c>
      <c r="H300" s="25">
        <v>0</v>
      </c>
      <c r="I300" s="25">
        <v>0</v>
      </c>
      <c r="J300" s="25">
        <v>1</v>
      </c>
      <c r="K300" s="25">
        <v>1</v>
      </c>
      <c r="L300" s="25">
        <v>1</v>
      </c>
      <c r="M300" s="25">
        <v>0</v>
      </c>
    </row>
    <row r="301" spans="3:16">
      <c r="C301" s="22" t="s">
        <v>1821</v>
      </c>
      <c r="D301" t="str">
        <f>VLOOKUP(Table3[[#This Row],[Employee No.]],Table1_1[[Employee No.]:[Employee Name]],2,FALSE)</f>
        <v>JEEVAN GURUNG</v>
      </c>
      <c r="E301" t="str">
        <f>VLOOKUP(Table3[[#This Row],[Employee No.]],Table1_1[[Employee No.]:[Department]],6,FALSE)</f>
        <v>SM</v>
      </c>
      <c r="F301" t="str">
        <f>VLOOKUP(Table3[[#This Row],[Employee No.]],Table1_1[[Employee No.]:[Gender]],7,FALSE)</f>
        <v>M</v>
      </c>
      <c r="G301" t="str">
        <f>VLOOKUP(Table3[[#This Row],[Employee No.]],Table1_1[[Employee No.]:[Shift]],9,FALSE)</f>
        <v>SHIFT A</v>
      </c>
      <c r="H301" s="25">
        <v>1</v>
      </c>
      <c r="I301" s="25">
        <v>1</v>
      </c>
      <c r="J301" s="25">
        <v>1</v>
      </c>
      <c r="K301" s="25">
        <v>1</v>
      </c>
      <c r="L301" s="25">
        <v>1</v>
      </c>
      <c r="M301" s="25">
        <v>1</v>
      </c>
    </row>
    <row r="302" spans="3:16">
      <c r="C302" s="22" t="s">
        <v>1823</v>
      </c>
      <c r="D302" t="str">
        <f>VLOOKUP(Table3[[#This Row],[Employee No.]],Table1_1[[Employee No.]:[Employee Name]],2,FALSE)</f>
        <v>KAMAL GURUNG</v>
      </c>
      <c r="E302" t="str">
        <f>VLOOKUP(Table3[[#This Row],[Employee No.]],Table1_1[[Employee No.]:[Department]],6,FALSE)</f>
        <v>CU</v>
      </c>
      <c r="F302" t="str">
        <f>VLOOKUP(Table3[[#This Row],[Employee No.]],Table1_1[[Employee No.]:[Gender]],7,FALSE)</f>
        <v>M</v>
      </c>
      <c r="G302" t="str">
        <f>VLOOKUP(Table3[[#This Row],[Employee No.]],Table1_1[[Employee No.]:[Shift]],9,FALSE)</f>
        <v>SHIFT C</v>
      </c>
      <c r="H302" s="25">
        <v>1</v>
      </c>
      <c r="I302" s="25">
        <v>1</v>
      </c>
      <c r="J302" s="25">
        <v>1</v>
      </c>
      <c r="K302" s="25">
        <v>1</v>
      </c>
      <c r="L302" s="25">
        <v>1</v>
      </c>
      <c r="M302" s="25">
        <v>1</v>
      </c>
    </row>
    <row r="303" spans="3:16">
      <c r="C303" s="22" t="s">
        <v>1825</v>
      </c>
      <c r="D303" t="str">
        <f>VLOOKUP(Table3[[#This Row],[Employee No.]],Table1_1[[Employee No.]:[Employee Name]],2,FALSE)</f>
        <v>KAMAL SUNAR</v>
      </c>
      <c r="E303" t="str">
        <f>VLOOKUP(Table3[[#This Row],[Employee No.]],Table1_1[[Employee No.]:[Department]],6,FALSE)</f>
        <v>ROUTER</v>
      </c>
      <c r="F303" t="str">
        <f>VLOOKUP(Table3[[#This Row],[Employee No.]],Table1_1[[Employee No.]:[Gender]],7,FALSE)</f>
        <v>M</v>
      </c>
      <c r="G303" t="str">
        <f>VLOOKUP(Table3[[#This Row],[Employee No.]],Table1_1[[Employee No.]:[Shift]],9,FALSE)</f>
        <v>SHIFT A</v>
      </c>
      <c r="H303" s="25">
        <v>1</v>
      </c>
      <c r="I303" s="25">
        <v>1</v>
      </c>
      <c r="J303" s="25">
        <v>1</v>
      </c>
      <c r="K303" s="25">
        <v>1</v>
      </c>
      <c r="L303" s="25">
        <v>1</v>
      </c>
      <c r="M303" s="25">
        <v>1</v>
      </c>
    </row>
    <row r="304" spans="3:16">
      <c r="C304" s="22" t="s">
        <v>1827</v>
      </c>
      <c r="D304" t="str">
        <f>VLOOKUP(Table3[[#This Row],[Employee No.]],Table1_1[[Employee No.]:[Employee Name]],2,FALSE)</f>
        <v>KHADANANDA GHIMIRE</v>
      </c>
      <c r="E304" t="str">
        <f>VLOOKUP(Table3[[#This Row],[Employee No.]],Table1_1[[Employee No.]:[Department]],6,FALSE)</f>
        <v>CU</v>
      </c>
      <c r="F304" t="str">
        <f>VLOOKUP(Table3[[#This Row],[Employee No.]],Table1_1[[Employee No.]:[Gender]],7,FALSE)</f>
        <v>M</v>
      </c>
      <c r="G304" t="str">
        <f>VLOOKUP(Table3[[#This Row],[Employee No.]],Table1_1[[Employee No.]:[Shift]],9,FALSE)</f>
        <v>SHIFT E</v>
      </c>
      <c r="H304" s="25">
        <v>0</v>
      </c>
      <c r="I304" s="25">
        <v>1</v>
      </c>
      <c r="J304" s="25">
        <v>1</v>
      </c>
      <c r="K304" s="25">
        <v>1</v>
      </c>
      <c r="L304" s="25">
        <v>1</v>
      </c>
      <c r="M304" s="25">
        <v>0</v>
      </c>
    </row>
    <row r="305" spans="3:16">
      <c r="C305" s="22" t="s">
        <v>1829</v>
      </c>
      <c r="D305" t="str">
        <f>VLOOKUP(Table3[[#This Row],[Employee No.]],Table1_1[[Employee No.]:[Employee Name]],2,FALSE)</f>
        <v>LILA BAHADUR SARU</v>
      </c>
      <c r="E305" t="str">
        <f>VLOOKUP(Table3[[#This Row],[Employee No.]],Table1_1[[Employee No.]:[Department]],6,FALSE)</f>
        <v>LASER</v>
      </c>
      <c r="F305" t="str">
        <f>VLOOKUP(Table3[[#This Row],[Employee No.]],Table1_1[[Employee No.]:[Gender]],7,FALSE)</f>
        <v>M</v>
      </c>
      <c r="G305" t="str">
        <f>VLOOKUP(Table3[[#This Row],[Employee No.]],Table1_1[[Employee No.]:[Shift]],9,FALSE)</f>
        <v>SHIFT A</v>
      </c>
      <c r="H305" s="25">
        <v>0</v>
      </c>
      <c r="I305" s="25">
        <v>0</v>
      </c>
      <c r="J305" s="25">
        <v>1</v>
      </c>
      <c r="K305" s="25">
        <v>1</v>
      </c>
      <c r="L305" s="25">
        <v>1</v>
      </c>
      <c r="M305" s="25">
        <v>1</v>
      </c>
    </row>
    <row r="306" spans="3:16">
      <c r="C306" s="22" t="s">
        <v>1831</v>
      </c>
      <c r="D306" t="str">
        <f>VLOOKUP(Table3[[#This Row],[Employee No.]],Table1_1[[Employee No.]:[Employee Name]],2,FALSE)</f>
        <v>MAHESH KUMAR SAH</v>
      </c>
      <c r="E306" t="str">
        <f>VLOOKUP(Table3[[#This Row],[Employee No.]],Table1_1[[Employee No.]:[Department]],6,FALSE)</f>
        <v>SM</v>
      </c>
      <c r="F306" t="str">
        <f>VLOOKUP(Table3[[#This Row],[Employee No.]],Table1_1[[Employee No.]:[Gender]],7,FALSE)</f>
        <v>M</v>
      </c>
      <c r="G306" t="str">
        <f>VLOOKUP(Table3[[#This Row],[Employee No.]],Table1_1[[Employee No.]:[Shift]],9,FALSE)</f>
        <v>SHIFT A</v>
      </c>
      <c r="H306" s="25">
        <v>1</v>
      </c>
      <c r="I306" s="25">
        <v>1</v>
      </c>
      <c r="J306" s="25">
        <v>1</v>
      </c>
      <c r="K306" s="25">
        <v>1</v>
      </c>
      <c r="L306" s="25">
        <v>1</v>
      </c>
      <c r="M306" s="25">
        <v>1</v>
      </c>
    </row>
    <row r="307" spans="3:16">
      <c r="C307" s="22" t="s">
        <v>1833</v>
      </c>
      <c r="D307" t="str">
        <f>VLOOKUP(Table3[[#This Row],[Employee No.]],Table1_1[[Employee No.]:[Employee Name]],2,FALSE)</f>
        <v>NABIN BAHADUR AIR</v>
      </c>
      <c r="E307" t="str">
        <f>VLOOKUP(Table3[[#This Row],[Employee No.]],Table1_1[[Employee No.]:[Department]],6,FALSE)</f>
        <v>SM</v>
      </c>
      <c r="F307" t="str">
        <f>VLOOKUP(Table3[[#This Row],[Employee No.]],Table1_1[[Employee No.]:[Gender]],7,FALSE)</f>
        <v>M</v>
      </c>
      <c r="G307" t="str">
        <f>VLOOKUP(Table3[[#This Row],[Employee No.]],Table1_1[[Employee No.]:[Shift]],9,FALSE)</f>
        <v>SHIFT E</v>
      </c>
      <c r="H307" s="25">
        <v>0</v>
      </c>
      <c r="I307" s="25">
        <v>1</v>
      </c>
      <c r="J307" s="25">
        <v>1</v>
      </c>
      <c r="K307" s="25">
        <v>1</v>
      </c>
      <c r="L307" s="25">
        <v>1</v>
      </c>
      <c r="M307" s="25">
        <v>0</v>
      </c>
    </row>
    <row r="308" spans="3:16">
      <c r="C308" s="22" t="s">
        <v>1835</v>
      </c>
      <c r="D308" t="str">
        <f>VLOOKUP(Table3[[#This Row],[Employee No.]],Table1_1[[Employee No.]:[Employee Name]],2,FALSE)</f>
        <v>NAND KISHOR MUKHIYA</v>
      </c>
      <c r="E308" t="str">
        <f>VLOOKUP(Table3[[#This Row],[Employee No.]],Table1_1[[Employee No.]:[Department]],6,FALSE)</f>
        <v>MLB</v>
      </c>
      <c r="F308" t="str">
        <f>VLOOKUP(Table3[[#This Row],[Employee No.]],Table1_1[[Employee No.]:[Gender]],7,FALSE)</f>
        <v>M</v>
      </c>
      <c r="G308" t="str">
        <f>VLOOKUP(Table3[[#This Row],[Employee No.]],Table1_1[[Employee No.]:[Shift]],9,FALSE)</f>
        <v>SHIFT C</v>
      </c>
      <c r="H308" s="25">
        <v>1</v>
      </c>
      <c r="I308" s="25">
        <v>1</v>
      </c>
      <c r="J308" s="25">
        <v>1</v>
      </c>
      <c r="K308" s="25">
        <v>1</v>
      </c>
      <c r="L308" s="25">
        <v>1</v>
      </c>
      <c r="M308" s="25">
        <v>1</v>
      </c>
      <c r="P308" s="25"/>
    </row>
    <row r="309" spans="3:16">
      <c r="C309" s="22" t="s">
        <v>1837</v>
      </c>
      <c r="D309" t="str">
        <f>VLOOKUP(Table3[[#This Row],[Employee No.]],Table1_1[[Employee No.]:[Employee Name]],2,FALSE)</f>
        <v>PRABHU MAHATO</v>
      </c>
      <c r="E309" t="str">
        <f>VLOOKUP(Table3[[#This Row],[Employee No.]],Table1_1[[Employee No.]:[Department]],6,FALSE)</f>
        <v>SM</v>
      </c>
      <c r="F309" t="str">
        <f>VLOOKUP(Table3[[#This Row],[Employee No.]],Table1_1[[Employee No.]:[Gender]],7,FALSE)</f>
        <v>M</v>
      </c>
      <c r="G309" t="str">
        <f>VLOOKUP(Table3[[#This Row],[Employee No.]],Table1_1[[Employee No.]:[Shift]],9,FALSE)</f>
        <v>SHIFT B</v>
      </c>
      <c r="H309" s="25">
        <v>1</v>
      </c>
      <c r="I309" s="25">
        <v>1</v>
      </c>
      <c r="J309" s="25">
        <v>1</v>
      </c>
      <c r="K309" s="25">
        <v>1</v>
      </c>
      <c r="L309" s="25">
        <v>1</v>
      </c>
      <c r="M309" s="25">
        <v>1</v>
      </c>
    </row>
    <row r="310" spans="3:16">
      <c r="C310" s="22" t="s">
        <v>1839</v>
      </c>
      <c r="D310" t="str">
        <f>VLOOKUP(Table3[[#This Row],[Employee No.]],Table1_1[[Employee No.]:[Employee Name]],2,FALSE)</f>
        <v>PRAKASH PARAJULI</v>
      </c>
      <c r="E310" t="str">
        <f>VLOOKUP(Table3[[#This Row],[Employee No.]],Table1_1[[Employee No.]:[Department]],6,FALSE)</f>
        <v>MLB</v>
      </c>
      <c r="F310" t="str">
        <f>VLOOKUP(Table3[[#This Row],[Employee No.]],Table1_1[[Employee No.]:[Gender]],7,FALSE)</f>
        <v>M</v>
      </c>
      <c r="G310" t="str">
        <f>VLOOKUP(Table3[[#This Row],[Employee No.]],Table1_1[[Employee No.]:[Shift]],9,FALSE)</f>
        <v>SHIFT B</v>
      </c>
      <c r="H310" s="25">
        <v>1</v>
      </c>
      <c r="I310" s="25">
        <v>1</v>
      </c>
      <c r="J310" s="25">
        <v>1</v>
      </c>
      <c r="K310" s="25">
        <v>1</v>
      </c>
      <c r="L310" s="25">
        <v>1</v>
      </c>
      <c r="M310" s="25">
        <v>1</v>
      </c>
    </row>
    <row r="311" spans="3:16">
      <c r="C311" s="22" t="s">
        <v>1841</v>
      </c>
      <c r="D311" t="str">
        <f>VLOOKUP(Table3[[#This Row],[Employee No.]],Table1_1[[Employee No.]:[Employee Name]],2,FALSE)</f>
        <v>PRAMOD KUMAR MANDAL</v>
      </c>
      <c r="E311" t="str">
        <f>VLOOKUP(Table3[[#This Row],[Employee No.]],Table1_1[[Employee No.]:[Department]],6,FALSE)</f>
        <v>DF</v>
      </c>
      <c r="F311" t="str">
        <f>VLOOKUP(Table3[[#This Row],[Employee No.]],Table1_1[[Employee No.]:[Gender]],7,FALSE)</f>
        <v>M</v>
      </c>
      <c r="G311" t="str">
        <f>VLOOKUP(Table3[[#This Row],[Employee No.]],Table1_1[[Employee No.]:[Shift]],9,FALSE)</f>
        <v>SHIFT C</v>
      </c>
      <c r="H311" s="25">
        <v>1</v>
      </c>
      <c r="I311" s="25">
        <v>1</v>
      </c>
      <c r="J311" s="25">
        <v>1</v>
      </c>
      <c r="K311" s="25">
        <v>1</v>
      </c>
      <c r="L311" s="25">
        <v>1</v>
      </c>
      <c r="M311" s="25">
        <v>0</v>
      </c>
      <c r="P311" s="25"/>
    </row>
    <row r="312" spans="3:16">
      <c r="C312" s="22" t="s">
        <v>1843</v>
      </c>
      <c r="D312" t="str">
        <f>VLOOKUP(Table3[[#This Row],[Employee No.]],Table1_1[[Employee No.]:[Employee Name]],2,FALSE)</f>
        <v>PURAN BAHADUR KHASU THAPA</v>
      </c>
      <c r="E312" t="str">
        <f>VLOOKUP(Table3[[#This Row],[Employee No.]],Table1_1[[Employee No.]:[Department]],6,FALSE)</f>
        <v>DF</v>
      </c>
      <c r="F312" t="str">
        <f>VLOOKUP(Table3[[#This Row],[Employee No.]],Table1_1[[Employee No.]:[Gender]],7,FALSE)</f>
        <v>M</v>
      </c>
      <c r="G312" t="str">
        <f>VLOOKUP(Table3[[#This Row],[Employee No.]],Table1_1[[Employee No.]:[Shift]],9,FALSE)</f>
        <v>SHIFT B</v>
      </c>
      <c r="H312" s="25">
        <v>1</v>
      </c>
      <c r="I312" s="25">
        <v>1</v>
      </c>
      <c r="J312" s="25">
        <v>1</v>
      </c>
      <c r="K312" s="25">
        <v>1</v>
      </c>
      <c r="L312" s="25">
        <v>1</v>
      </c>
      <c r="M312" s="25">
        <v>1</v>
      </c>
    </row>
    <row r="313" spans="3:16">
      <c r="C313" s="22" t="s">
        <v>1845</v>
      </c>
      <c r="D313" t="str">
        <f>VLOOKUP(Table3[[#This Row],[Employee No.]],Table1_1[[Employee No.]:[Employee Name]],2,FALSE)</f>
        <v>RAM SHARAN NEUPANE</v>
      </c>
      <c r="E313" t="str">
        <f>VLOOKUP(Table3[[#This Row],[Employee No.]],Table1_1[[Employee No.]:[Department]],6,FALSE)</f>
        <v>MLB</v>
      </c>
      <c r="F313" t="str">
        <f>VLOOKUP(Table3[[#This Row],[Employee No.]],Table1_1[[Employee No.]:[Gender]],7,FALSE)</f>
        <v>M</v>
      </c>
      <c r="G313" t="str">
        <f>VLOOKUP(Table3[[#This Row],[Employee No.]],Table1_1[[Employee No.]:[Shift]],9,FALSE)</f>
        <v>SHIFT A</v>
      </c>
      <c r="H313" s="25">
        <v>1</v>
      </c>
      <c r="I313" s="25">
        <v>0</v>
      </c>
      <c r="J313" s="25">
        <v>1</v>
      </c>
      <c r="K313" s="25">
        <v>1</v>
      </c>
      <c r="L313" s="25">
        <v>1</v>
      </c>
      <c r="M313" s="25">
        <v>1</v>
      </c>
    </row>
    <row r="314" spans="3:16">
      <c r="C314" s="22" t="s">
        <v>1847</v>
      </c>
      <c r="D314" t="str">
        <f>VLOOKUP(Table3[[#This Row],[Employee No.]],Table1_1[[Employee No.]:[Employee Name]],2,FALSE)</f>
        <v>RAMKALASH PRASAD KUSHWAHA</v>
      </c>
      <c r="E314" t="str">
        <f>VLOOKUP(Table3[[#This Row],[Employee No.]],Table1_1[[Employee No.]:[Department]],6,FALSE)</f>
        <v>CU</v>
      </c>
      <c r="F314" t="str">
        <f>VLOOKUP(Table3[[#This Row],[Employee No.]],Table1_1[[Employee No.]:[Gender]],7,FALSE)</f>
        <v>M</v>
      </c>
      <c r="G314" t="str">
        <f>VLOOKUP(Table3[[#This Row],[Employee No.]],Table1_1[[Employee No.]:[Shift]],9,FALSE)</f>
        <v>SHIFT B</v>
      </c>
      <c r="H314" s="25">
        <v>1</v>
      </c>
      <c r="I314" s="25">
        <v>1</v>
      </c>
      <c r="J314" s="25">
        <v>1</v>
      </c>
      <c r="K314" s="25">
        <v>1</v>
      </c>
      <c r="L314" s="25">
        <v>1</v>
      </c>
      <c r="M314" s="25">
        <v>1</v>
      </c>
    </row>
    <row r="315" spans="3:16">
      <c r="C315" s="22" t="s">
        <v>1849</v>
      </c>
      <c r="D315" t="str">
        <f>VLOOKUP(Table3[[#This Row],[Employee No.]],Table1_1[[Employee No.]:[Employee Name]],2,FALSE)</f>
        <v>ROHAN NEPALI</v>
      </c>
      <c r="E315" t="str">
        <f>VLOOKUP(Table3[[#This Row],[Employee No.]],Table1_1[[Employee No.]:[Department]],6,FALSE)</f>
        <v>DRILL</v>
      </c>
      <c r="F315" t="str">
        <f>VLOOKUP(Table3[[#This Row],[Employee No.]],Table1_1[[Employee No.]:[Gender]],7,FALSE)</f>
        <v>M</v>
      </c>
      <c r="G315" t="str">
        <f>VLOOKUP(Table3[[#This Row],[Employee No.]],Table1_1[[Employee No.]:[Shift]],9,FALSE)</f>
        <v>SHIFT A</v>
      </c>
      <c r="H315" s="25">
        <v>1</v>
      </c>
      <c r="I315" s="25">
        <v>0</v>
      </c>
      <c r="J315" s="25">
        <v>1</v>
      </c>
      <c r="K315" s="25">
        <v>1</v>
      </c>
      <c r="L315" s="25">
        <v>1</v>
      </c>
      <c r="M315" s="25">
        <v>1</v>
      </c>
    </row>
    <row r="316" spans="3:16">
      <c r="C316" s="22" t="s">
        <v>1851</v>
      </c>
      <c r="D316" t="str">
        <f>VLOOKUP(Table3[[#This Row],[Employee No.]],Table1_1[[Employee No.]:[Employee Name]],2,FALSE)</f>
        <v>SANJIVE RAI</v>
      </c>
      <c r="E316" t="str">
        <f>VLOOKUP(Table3[[#This Row],[Employee No.]],Table1_1[[Employee No.]:[Department]],6,FALSE)</f>
        <v>NPI</v>
      </c>
      <c r="F316" t="str">
        <f>VLOOKUP(Table3[[#This Row],[Employee No.]],Table1_1[[Employee No.]:[Gender]],7,FALSE)</f>
        <v>M</v>
      </c>
      <c r="G316" t="str">
        <f>VLOOKUP(Table3[[#This Row],[Employee No.]],Table1_1[[Employee No.]:[Shift]],9,FALSE)</f>
        <v>SHIFT C</v>
      </c>
      <c r="H316" s="25">
        <v>1</v>
      </c>
      <c r="I316" s="25">
        <v>1</v>
      </c>
      <c r="J316" s="25">
        <v>1</v>
      </c>
      <c r="K316" s="25">
        <v>1</v>
      </c>
      <c r="L316" s="25">
        <v>1</v>
      </c>
      <c r="M316" s="25">
        <v>0</v>
      </c>
      <c r="P316" s="25"/>
    </row>
    <row r="317" spans="3:16">
      <c r="C317" s="22" t="s">
        <v>1853</v>
      </c>
      <c r="D317" t="str">
        <f>VLOOKUP(Table3[[#This Row],[Employee No.]],Table1_1[[Employee No.]:[Employee Name]],2,FALSE)</f>
        <v>SHAMSER RAI</v>
      </c>
      <c r="E317" t="str">
        <f>VLOOKUP(Table3[[#This Row],[Employee No.]],Table1_1[[Employee No.]:[Department]],6,FALSE)</f>
        <v>ROUTER</v>
      </c>
      <c r="F317" t="str">
        <f>VLOOKUP(Table3[[#This Row],[Employee No.]],Table1_1[[Employee No.]:[Gender]],7,FALSE)</f>
        <v>M</v>
      </c>
      <c r="G317" t="str">
        <f>VLOOKUP(Table3[[#This Row],[Employee No.]],Table1_1[[Employee No.]:[Shift]],9,FALSE)</f>
        <v>SHIFT B</v>
      </c>
      <c r="H317" s="25">
        <v>1</v>
      </c>
      <c r="I317" s="25">
        <v>1</v>
      </c>
      <c r="J317" s="25">
        <v>1</v>
      </c>
      <c r="K317" s="25">
        <v>1</v>
      </c>
      <c r="L317" s="25">
        <v>1</v>
      </c>
      <c r="M317" s="25">
        <v>1</v>
      </c>
    </row>
    <row r="318" spans="3:16">
      <c r="C318" s="22" t="s">
        <v>1855</v>
      </c>
      <c r="D318" t="str">
        <f>VLOOKUP(Table3[[#This Row],[Employee No.]],Table1_1[[Employee No.]:[Employee Name]],2,FALSE)</f>
        <v>SHANKAR MAN SHRESTHA</v>
      </c>
      <c r="E318" t="str">
        <f>VLOOKUP(Table3[[#This Row],[Employee No.]],Table1_1[[Employee No.]:[Department]],6,FALSE)</f>
        <v>DRILL</v>
      </c>
      <c r="F318" t="str">
        <f>VLOOKUP(Table3[[#This Row],[Employee No.]],Table1_1[[Employee No.]:[Gender]],7,FALSE)</f>
        <v>M</v>
      </c>
      <c r="G318" t="str">
        <f>VLOOKUP(Table3[[#This Row],[Employee No.]],Table1_1[[Employee No.]:[Shift]],9,FALSE)</f>
        <v>SHIFT B</v>
      </c>
      <c r="H318" s="25">
        <v>1</v>
      </c>
      <c r="I318" s="25">
        <v>1</v>
      </c>
      <c r="J318" s="25">
        <v>1</v>
      </c>
      <c r="K318" s="25">
        <v>1</v>
      </c>
      <c r="L318" s="25">
        <v>1</v>
      </c>
      <c r="M318" s="25">
        <v>1</v>
      </c>
    </row>
    <row r="319" spans="3:16">
      <c r="C319" s="22" t="s">
        <v>1857</v>
      </c>
      <c r="D319" t="str">
        <f>VLOOKUP(Table3[[#This Row],[Employee No.]],Table1_1[[Employee No.]:[Employee Name]],2,FALSE)</f>
        <v>SHAYAD BK</v>
      </c>
      <c r="E319" t="str">
        <f>VLOOKUP(Table3[[#This Row],[Employee No.]],Table1_1[[Employee No.]:[Department]],6,FALSE)</f>
        <v>AU</v>
      </c>
      <c r="F319" t="str">
        <f>VLOOKUP(Table3[[#This Row],[Employee No.]],Table1_1[[Employee No.]:[Gender]],7,FALSE)</f>
        <v>M</v>
      </c>
      <c r="G319" t="str">
        <f>VLOOKUP(Table3[[#This Row],[Employee No.]],Table1_1[[Employee No.]:[Shift]],9,FALSE)</f>
        <v>SHIFT A</v>
      </c>
      <c r="H319" s="25">
        <v>1</v>
      </c>
      <c r="I319" s="25">
        <v>1</v>
      </c>
      <c r="J319" s="25">
        <v>1</v>
      </c>
      <c r="K319" s="25">
        <v>1</v>
      </c>
      <c r="L319" s="25">
        <v>1</v>
      </c>
      <c r="M319" s="25">
        <v>1</v>
      </c>
    </row>
    <row r="320" spans="3:16">
      <c r="C320" s="22" t="s">
        <v>1859</v>
      </c>
      <c r="D320" t="str">
        <f>VLOOKUP(Table3[[#This Row],[Employee No.]],Table1_1[[Employee No.]:[Employee Name]],2,FALSE)</f>
        <v>SHYAM KUMAR KAUCHA</v>
      </c>
      <c r="E320" t="str">
        <f>VLOOKUP(Table3[[#This Row],[Employee No.]],Table1_1[[Employee No.]:[Department]],6,FALSE)</f>
        <v>DRILL</v>
      </c>
      <c r="F320" t="str">
        <f>VLOOKUP(Table3[[#This Row],[Employee No.]],Table1_1[[Employee No.]:[Gender]],7,FALSE)</f>
        <v>M</v>
      </c>
      <c r="G320" t="str">
        <f>VLOOKUP(Table3[[#This Row],[Employee No.]],Table1_1[[Employee No.]:[Shift]],9,FALSE)</f>
        <v>SHIFT B</v>
      </c>
      <c r="H320" s="25">
        <v>1</v>
      </c>
      <c r="I320" s="25">
        <v>1</v>
      </c>
      <c r="J320" s="25">
        <v>1</v>
      </c>
      <c r="K320" s="25">
        <v>1</v>
      </c>
      <c r="L320" s="25">
        <v>1</v>
      </c>
      <c r="M320" s="25">
        <v>1</v>
      </c>
    </row>
    <row r="321" spans="3:16">
      <c r="C321" s="22" t="s">
        <v>1861</v>
      </c>
      <c r="D321" t="str">
        <f>VLOOKUP(Table3[[#This Row],[Employee No.]],Table1_1[[Employee No.]:[Employee Name]],2,FALSE)</f>
        <v>SUNIL KUMAR YADAV</v>
      </c>
      <c r="E321" t="str">
        <f>VLOOKUP(Table3[[#This Row],[Employee No.]],Table1_1[[Employee No.]:[Department]],6,FALSE)</f>
        <v>DRILL</v>
      </c>
      <c r="F321" t="str">
        <f>VLOOKUP(Table3[[#This Row],[Employee No.]],Table1_1[[Employee No.]:[Gender]],7,FALSE)</f>
        <v>M</v>
      </c>
      <c r="G321" t="str">
        <f>VLOOKUP(Table3[[#This Row],[Employee No.]],Table1_1[[Employee No.]:[Shift]],9,FALSE)</f>
        <v>SHIFT C</v>
      </c>
      <c r="H321" s="25">
        <v>1</v>
      </c>
      <c r="I321" s="25">
        <v>1</v>
      </c>
      <c r="J321" s="25">
        <v>1</v>
      </c>
      <c r="K321" s="25">
        <v>1</v>
      </c>
      <c r="L321" s="25">
        <v>1</v>
      </c>
      <c r="M321" s="25">
        <v>1</v>
      </c>
      <c r="P321" s="25"/>
    </row>
    <row r="322" spans="3:16">
      <c r="C322" s="22" t="s">
        <v>1863</v>
      </c>
      <c r="D322" t="str">
        <f>VLOOKUP(Table3[[#This Row],[Employee No.]],Table1_1[[Employee No.]:[Employee Name]],2,FALSE)</f>
        <v>SURAT B K</v>
      </c>
      <c r="E322" t="str">
        <f>VLOOKUP(Table3[[#This Row],[Employee No.]],Table1_1[[Employee No.]:[Department]],6,FALSE)</f>
        <v>DF</v>
      </c>
      <c r="F322" t="str">
        <f>VLOOKUP(Table3[[#This Row],[Employee No.]],Table1_1[[Employee No.]:[Gender]],7,FALSE)</f>
        <v>M</v>
      </c>
      <c r="G322" t="str">
        <f>VLOOKUP(Table3[[#This Row],[Employee No.]],Table1_1[[Employee No.]:[Shift]],9,FALSE)</f>
        <v>SHIFT E</v>
      </c>
      <c r="H322" s="25">
        <v>0</v>
      </c>
      <c r="I322" s="25">
        <v>1</v>
      </c>
      <c r="J322" s="25">
        <v>0</v>
      </c>
      <c r="K322" s="25">
        <v>1</v>
      </c>
      <c r="L322" s="25">
        <v>1</v>
      </c>
      <c r="M322" s="25">
        <v>0</v>
      </c>
    </row>
    <row r="323" spans="3:16">
      <c r="C323" s="22" t="s">
        <v>1865</v>
      </c>
      <c r="D323" t="str">
        <f>VLOOKUP(Table3[[#This Row],[Employee No.]],Table1_1[[Employee No.]:[Employee Name]],2,FALSE)</f>
        <v>TEK NARAYAN SHRESTHA</v>
      </c>
      <c r="E323" t="str">
        <f>VLOOKUP(Table3[[#This Row],[Employee No.]],Table1_1[[Employee No.]:[Department]],6,FALSE)</f>
        <v>ROUTER</v>
      </c>
      <c r="F323" t="str">
        <f>VLOOKUP(Table3[[#This Row],[Employee No.]],Table1_1[[Employee No.]:[Gender]],7,FALSE)</f>
        <v>M</v>
      </c>
      <c r="G323" t="str">
        <f>VLOOKUP(Table3[[#This Row],[Employee No.]],Table1_1[[Employee No.]:[Shift]],9,FALSE)</f>
        <v>SHIFT C</v>
      </c>
      <c r="H323" s="25">
        <v>1</v>
      </c>
      <c r="I323" s="25">
        <v>1</v>
      </c>
      <c r="J323" s="25">
        <v>1</v>
      </c>
      <c r="K323" s="25">
        <v>1</v>
      </c>
      <c r="L323" s="25">
        <v>1</v>
      </c>
      <c r="M323" s="25">
        <v>1</v>
      </c>
      <c r="P323" s="25"/>
    </row>
    <row r="324" spans="3:16">
      <c r="C324" s="22" t="s">
        <v>1867</v>
      </c>
      <c r="D324" t="str">
        <f>VLOOKUP(Table3[[#This Row],[Employee No.]],Table1_1[[Employee No.]:[Employee Name]],2,FALSE)</f>
        <v>UMESH KUMAR MAHATO</v>
      </c>
      <c r="E324" t="str">
        <f>VLOOKUP(Table3[[#This Row],[Employee No.]],Table1_1[[Employee No.]:[Department]],6,FALSE)</f>
        <v>AU</v>
      </c>
      <c r="F324" t="str">
        <f>VLOOKUP(Table3[[#This Row],[Employee No.]],Table1_1[[Employee No.]:[Gender]],7,FALSE)</f>
        <v>M</v>
      </c>
      <c r="G324" t="str">
        <f>VLOOKUP(Table3[[#This Row],[Employee No.]],Table1_1[[Employee No.]:[Shift]],9,FALSE)</f>
        <v>SHIFT B</v>
      </c>
      <c r="H324" s="25">
        <v>1</v>
      </c>
      <c r="I324" s="25">
        <v>1</v>
      </c>
      <c r="J324" s="25">
        <v>1</v>
      </c>
      <c r="K324" s="25">
        <v>1</v>
      </c>
      <c r="L324" s="25">
        <v>1</v>
      </c>
      <c r="M324" s="25">
        <v>1</v>
      </c>
    </row>
    <row r="325" spans="3:16">
      <c r="C325" s="22" t="s">
        <v>1869</v>
      </c>
      <c r="D325" t="str">
        <f>VLOOKUP(Table3[[#This Row],[Employee No.]],Table1_1[[Employee No.]:[Employee Name]],2,FALSE)</f>
        <v>YAM BAHADUR DHENGA</v>
      </c>
      <c r="E325" t="str">
        <f>VLOOKUP(Table3[[#This Row],[Employee No.]],Table1_1[[Employee No.]:[Department]],6,FALSE)</f>
        <v>FVI</v>
      </c>
      <c r="F325" t="str">
        <f>VLOOKUP(Table3[[#This Row],[Employee No.]],Table1_1[[Employee No.]:[Gender]],7,FALSE)</f>
        <v>M</v>
      </c>
      <c r="G325" t="str">
        <f>VLOOKUP(Table3[[#This Row],[Employee No.]],Table1_1[[Employee No.]:[Shift]],9,FALSE)</f>
        <v>SHIFT C</v>
      </c>
      <c r="H325" s="25">
        <v>1</v>
      </c>
      <c r="I325" s="25">
        <v>1</v>
      </c>
      <c r="J325" s="25">
        <v>1</v>
      </c>
      <c r="K325" s="25">
        <v>1</v>
      </c>
      <c r="L325" s="25">
        <v>1</v>
      </c>
      <c r="M325" s="25">
        <v>1</v>
      </c>
      <c r="P325" s="25"/>
    </row>
    <row r="326" spans="3:16">
      <c r="C326" s="22" t="s">
        <v>1871</v>
      </c>
      <c r="D326" t="str">
        <f>VLOOKUP(Table3[[#This Row],[Employee No.]],Table1_1[[Employee No.]:[Employee Name]],2,FALSE)</f>
        <v>BIJAY KUMAR SAH</v>
      </c>
      <c r="E326" t="str">
        <f>VLOOKUP(Table3[[#This Row],[Employee No.]],Table1_1[[Employee No.]:[Department]],6,FALSE)</f>
        <v>DRILL</v>
      </c>
      <c r="F326" t="str">
        <f>VLOOKUP(Table3[[#This Row],[Employee No.]],Table1_1[[Employee No.]:[Gender]],7,FALSE)</f>
        <v>M</v>
      </c>
      <c r="G326" t="str">
        <f>VLOOKUP(Table3[[#This Row],[Employee No.]],Table1_1[[Employee No.]:[Shift]],9,FALSE)</f>
        <v>SHIFT A</v>
      </c>
      <c r="H326" s="25">
        <v>1</v>
      </c>
      <c r="I326" s="25">
        <v>1</v>
      </c>
      <c r="J326" s="25">
        <v>1</v>
      </c>
      <c r="K326" s="25">
        <v>1</v>
      </c>
      <c r="L326" s="25">
        <v>1</v>
      </c>
      <c r="M326" s="25">
        <v>1</v>
      </c>
    </row>
    <row r="327" spans="3:16">
      <c r="C327" s="22" t="s">
        <v>1876</v>
      </c>
      <c r="D327" t="str">
        <f>VLOOKUP(Table3[[#This Row],[Employee No.]],Table1_1[[Employee No.]:[Employee Name]],2,FALSE)</f>
        <v>MOHAMAD AZMIR BIN JAMAL</v>
      </c>
      <c r="E327" t="str">
        <f>VLOOKUP(Table3[[#This Row],[Employee No.]],Table1_1[[Employee No.]:[Department]],6,FALSE)</f>
        <v>FACILITY</v>
      </c>
      <c r="F327" t="str">
        <f>VLOOKUP(Table3[[#This Row],[Employee No.]],Table1_1[[Employee No.]:[Gender]],7,FALSE)</f>
        <v>M</v>
      </c>
      <c r="G327" t="str">
        <f>VLOOKUP(Table3[[#This Row],[Employee No.]],Table1_1[[Employee No.]:[Shift]],9,FALSE)</f>
        <v>SHIFT B</v>
      </c>
      <c r="H327" s="25">
        <v>1</v>
      </c>
      <c r="I327" s="25">
        <v>1</v>
      </c>
      <c r="J327" s="25">
        <v>1</v>
      </c>
      <c r="K327" s="25">
        <v>1</v>
      </c>
      <c r="L327" s="25">
        <v>1</v>
      </c>
      <c r="M327" s="25">
        <v>0</v>
      </c>
    </row>
    <row r="328" spans="3:16">
      <c r="C328" s="22" t="s">
        <v>1896</v>
      </c>
      <c r="D328" t="str">
        <f>VLOOKUP(Table3[[#This Row],[Employee No.]],Table1_1[[Employee No.]:[Employee Name]],2,FALSE)</f>
        <v>ANNA ARITONANG</v>
      </c>
      <c r="E328" t="str">
        <f>VLOOKUP(Table3[[#This Row],[Employee No.]],Table1_1[[Employee No.]:[Department]],6,FALSE)</f>
        <v>CHAMFER</v>
      </c>
      <c r="F328" t="str">
        <f>VLOOKUP(Table3[[#This Row],[Employee No.]],Table1_1[[Employee No.]:[Gender]],7,FALSE)</f>
        <v>F</v>
      </c>
      <c r="G328" t="str">
        <f>VLOOKUP(Table3[[#This Row],[Employee No.]],Table1_1[[Employee No.]:[Shift]],9,FALSE)</f>
        <v>SHIFT C</v>
      </c>
      <c r="H328" s="25">
        <v>1</v>
      </c>
      <c r="I328" s="25">
        <v>1</v>
      </c>
      <c r="J328" s="25">
        <v>1</v>
      </c>
      <c r="K328" s="25">
        <v>1</v>
      </c>
      <c r="L328" s="25">
        <v>1</v>
      </c>
      <c r="M328" s="25">
        <v>1</v>
      </c>
      <c r="P328" s="25"/>
    </row>
    <row r="329" spans="3:16">
      <c r="C329" s="22" t="s">
        <v>1900</v>
      </c>
      <c r="D329" t="str">
        <f>VLOOKUP(Table3[[#This Row],[Employee No.]],Table1_1[[Employee No.]:[Employee Name]],2,FALSE)</f>
        <v>AURIA AMELIA HUTAGAOL</v>
      </c>
      <c r="E329" t="str">
        <f>VLOOKUP(Table3[[#This Row],[Employee No.]],Table1_1[[Employee No.]:[Department]],6,FALSE)</f>
        <v>FVI</v>
      </c>
      <c r="F329" t="str">
        <f>VLOOKUP(Table3[[#This Row],[Employee No.]],Table1_1[[Employee No.]:[Gender]],7,FALSE)</f>
        <v>F</v>
      </c>
      <c r="G329" t="str">
        <f>VLOOKUP(Table3[[#This Row],[Employee No.]],Table1_1[[Employee No.]:[Shift]],9,FALSE)</f>
        <v>SHIFT A</v>
      </c>
      <c r="H329" s="25">
        <v>1</v>
      </c>
      <c r="I329" s="25">
        <v>1</v>
      </c>
      <c r="J329" s="25">
        <v>1</v>
      </c>
      <c r="K329" s="25">
        <v>1</v>
      </c>
      <c r="L329" s="25">
        <v>1</v>
      </c>
      <c r="M329" s="25">
        <v>1</v>
      </c>
    </row>
    <row r="330" spans="3:16">
      <c r="C330" s="22" t="s">
        <v>1902</v>
      </c>
      <c r="D330" t="str">
        <f>VLOOKUP(Table3[[#This Row],[Employee No.]],Table1_1[[Employee No.]:[Employee Name]],2,FALSE)</f>
        <v>CHANTIKA MANJORANG</v>
      </c>
      <c r="E330" t="str">
        <f>VLOOKUP(Table3[[#This Row],[Employee No.]],Table1_1[[Employee No.]:[Department]],6,FALSE)</f>
        <v>CHAMFER</v>
      </c>
      <c r="F330" t="str">
        <f>VLOOKUP(Table3[[#This Row],[Employee No.]],Table1_1[[Employee No.]:[Gender]],7,FALSE)</f>
        <v>F</v>
      </c>
      <c r="G330" t="str">
        <f>VLOOKUP(Table3[[#This Row],[Employee No.]],Table1_1[[Employee No.]:[Shift]],9,FALSE)</f>
        <v>SHIFT B</v>
      </c>
      <c r="H330" s="25">
        <v>1</v>
      </c>
      <c r="I330" s="25">
        <v>1</v>
      </c>
      <c r="J330" s="25">
        <v>1</v>
      </c>
      <c r="K330" s="25">
        <v>1</v>
      </c>
      <c r="L330" s="25">
        <v>1</v>
      </c>
      <c r="M330" s="25">
        <v>1</v>
      </c>
    </row>
    <row r="331" spans="3:16">
      <c r="C331" s="22" t="s">
        <v>1904</v>
      </c>
      <c r="D331" t="str">
        <f>VLOOKUP(Table3[[#This Row],[Employee No.]],Table1_1[[Employee No.]:[Employee Name]],2,FALSE)</f>
        <v>DEPI MARIA SIMANUNGKALIT</v>
      </c>
      <c r="E331" t="str">
        <f>VLOOKUP(Table3[[#This Row],[Employee No.]],Table1_1[[Employee No.]:[Department]],6,FALSE)</f>
        <v>FVI</v>
      </c>
      <c r="F331" t="str">
        <f>VLOOKUP(Table3[[#This Row],[Employee No.]],Table1_1[[Employee No.]:[Gender]],7,FALSE)</f>
        <v>F</v>
      </c>
      <c r="G331" t="str">
        <f>VLOOKUP(Table3[[#This Row],[Employee No.]],Table1_1[[Employee No.]:[Shift]],9,FALSE)</f>
        <v>SHIFT B</v>
      </c>
      <c r="H331" s="25">
        <v>1</v>
      </c>
      <c r="I331" s="25">
        <v>1</v>
      </c>
      <c r="J331" s="25">
        <v>1</v>
      </c>
      <c r="K331" s="25">
        <v>1</v>
      </c>
      <c r="L331" s="25">
        <v>1</v>
      </c>
      <c r="M331" s="25">
        <v>1</v>
      </c>
    </row>
    <row r="332" spans="3:16">
      <c r="C332" s="22" t="s">
        <v>1906</v>
      </c>
      <c r="D332" t="str">
        <f>VLOOKUP(Table3[[#This Row],[Employee No.]],Table1_1[[Employee No.]:[Employee Name]],2,FALSE)</f>
        <v>ELISA SESARIAN SIANTURI</v>
      </c>
      <c r="E332" t="str">
        <f>VLOOKUP(Table3[[#This Row],[Employee No.]],Table1_1[[Employee No.]:[Department]],6,FALSE)</f>
        <v>MLB</v>
      </c>
      <c r="F332" t="str">
        <f>VLOOKUP(Table3[[#This Row],[Employee No.]],Table1_1[[Employee No.]:[Gender]],7,FALSE)</f>
        <v>F</v>
      </c>
      <c r="G332" t="str">
        <f>VLOOKUP(Table3[[#This Row],[Employee No.]],Table1_1[[Employee No.]:[Shift]],9,FALSE)</f>
        <v>SHIFT A</v>
      </c>
      <c r="H332" s="25">
        <v>1</v>
      </c>
      <c r="I332" s="25">
        <v>1</v>
      </c>
      <c r="J332" s="25">
        <v>0</v>
      </c>
      <c r="K332" s="25">
        <v>1</v>
      </c>
      <c r="L332" s="25">
        <v>1</v>
      </c>
      <c r="M332" s="25">
        <v>1</v>
      </c>
    </row>
    <row r="333" spans="3:16">
      <c r="C333" s="22" t="s">
        <v>1908</v>
      </c>
      <c r="D333" t="str">
        <f>VLOOKUP(Table3[[#This Row],[Employee No.]],Table1_1[[Employee No.]:[Employee Name]],2,FALSE)</f>
        <v>EPI SEPTIANA PARAPAT</v>
      </c>
      <c r="E333" t="str">
        <f>VLOOKUP(Table3[[#This Row],[Employee No.]],Table1_1[[Employee No.]:[Department]],6,FALSE)</f>
        <v>FVI</v>
      </c>
      <c r="F333" t="str">
        <f>VLOOKUP(Table3[[#This Row],[Employee No.]],Table1_1[[Employee No.]:[Gender]],7,FALSE)</f>
        <v>F</v>
      </c>
      <c r="G333" t="str">
        <f>VLOOKUP(Table3[[#This Row],[Employee No.]],Table1_1[[Employee No.]:[Shift]],9,FALSE)</f>
        <v>SHIFT A</v>
      </c>
      <c r="H333" s="25">
        <v>1</v>
      </c>
      <c r="I333" s="25">
        <v>1</v>
      </c>
      <c r="J333" s="25">
        <v>1</v>
      </c>
      <c r="K333" s="25">
        <v>1</v>
      </c>
      <c r="L333" s="25">
        <v>1</v>
      </c>
      <c r="M333" s="25">
        <v>1</v>
      </c>
    </row>
    <row r="334" spans="3:16">
      <c r="C334" s="22" t="s">
        <v>1910</v>
      </c>
      <c r="D334" t="str">
        <f>VLOOKUP(Table3[[#This Row],[Employee No.]],Table1_1[[Employee No.]:[Employee Name]],2,FALSE)</f>
        <v>FITRI HANDAYANI NASUTION</v>
      </c>
      <c r="E334" t="str">
        <f>VLOOKUP(Table3[[#This Row],[Employee No.]],Table1_1[[Employee No.]:[Department]],6,FALSE)</f>
        <v>FVI</v>
      </c>
      <c r="F334" t="str">
        <f>VLOOKUP(Table3[[#This Row],[Employee No.]],Table1_1[[Employee No.]:[Gender]],7,FALSE)</f>
        <v>F</v>
      </c>
      <c r="G334" t="str">
        <f>VLOOKUP(Table3[[#This Row],[Employee No.]],Table1_1[[Employee No.]:[Shift]],9,FALSE)</f>
        <v>SHIFT A</v>
      </c>
      <c r="H334" s="25">
        <v>1</v>
      </c>
      <c r="I334" s="25">
        <v>1</v>
      </c>
      <c r="J334" s="25">
        <v>1</v>
      </c>
      <c r="K334" s="25">
        <v>1</v>
      </c>
      <c r="L334" s="25">
        <v>1</v>
      </c>
      <c r="M334" s="25">
        <v>1</v>
      </c>
    </row>
    <row r="335" spans="3:16">
      <c r="C335" s="22" t="s">
        <v>1912</v>
      </c>
      <c r="D335" t="str">
        <f>VLOOKUP(Table3[[#This Row],[Employee No.]],Table1_1[[Employee No.]:[Employee Name]],2,FALSE)</f>
        <v>FRETI ANASTASIA TAMPUBOLON</v>
      </c>
      <c r="E335" t="str">
        <f>VLOOKUP(Table3[[#This Row],[Employee No.]],Table1_1[[Employee No.]:[Department]],6,FALSE)</f>
        <v>AOI</v>
      </c>
      <c r="F335" t="str">
        <f>VLOOKUP(Table3[[#This Row],[Employee No.]],Table1_1[[Employee No.]:[Gender]],7,FALSE)</f>
        <v>F</v>
      </c>
      <c r="G335" t="str">
        <f>VLOOKUP(Table3[[#This Row],[Employee No.]],Table1_1[[Employee No.]:[Shift]],9,FALSE)</f>
        <v>SHIFT A</v>
      </c>
      <c r="H335" s="25">
        <v>0</v>
      </c>
      <c r="I335" s="25">
        <v>1</v>
      </c>
      <c r="J335" s="25">
        <v>1</v>
      </c>
      <c r="K335" s="25">
        <v>1</v>
      </c>
      <c r="L335" s="25">
        <v>1</v>
      </c>
      <c r="M335" s="25">
        <v>1</v>
      </c>
    </row>
    <row r="336" spans="3:16">
      <c r="C336" s="22" t="s">
        <v>1914</v>
      </c>
      <c r="D336" t="str">
        <f>VLOOKUP(Table3[[#This Row],[Employee No.]],Table1_1[[Employee No.]:[Employee Name]],2,FALSE)</f>
        <v>HENNI PRISKA SIHOMBING</v>
      </c>
      <c r="E336" t="str">
        <f>VLOOKUP(Table3[[#This Row],[Employee No.]],Table1_1[[Employee No.]:[Department]],6,FALSE)</f>
        <v>FVI</v>
      </c>
      <c r="F336" t="str">
        <f>VLOOKUP(Table3[[#This Row],[Employee No.]],Table1_1[[Employee No.]:[Gender]],7,FALSE)</f>
        <v>F</v>
      </c>
      <c r="G336" t="str">
        <f>VLOOKUP(Table3[[#This Row],[Employee No.]],Table1_1[[Employee No.]:[Shift]],9,FALSE)</f>
        <v>SHIFT A</v>
      </c>
      <c r="H336" s="25">
        <v>1</v>
      </c>
      <c r="I336" s="25">
        <v>1</v>
      </c>
      <c r="J336" s="25">
        <v>1</v>
      </c>
      <c r="K336" s="25">
        <v>1</v>
      </c>
      <c r="L336" s="25">
        <v>1</v>
      </c>
      <c r="M336" s="25">
        <v>1</v>
      </c>
      <c r="P336" s="25"/>
    </row>
    <row r="337" spans="3:16">
      <c r="C337" s="22" t="s">
        <v>1916</v>
      </c>
      <c r="D337" t="str">
        <f>VLOOKUP(Table3[[#This Row],[Employee No.]],Table1_1[[Employee No.]:[Employee Name]],2,FALSE)</f>
        <v>HENNITA SIMANGUNSONG</v>
      </c>
      <c r="E337" t="str">
        <f>VLOOKUP(Table3[[#This Row],[Employee No.]],Table1_1[[Employee No.]:[Department]],6,FALSE)</f>
        <v>FVI</v>
      </c>
      <c r="F337" t="str">
        <f>VLOOKUP(Table3[[#This Row],[Employee No.]],Table1_1[[Employee No.]:[Gender]],7,FALSE)</f>
        <v>F</v>
      </c>
      <c r="G337" t="str">
        <f>VLOOKUP(Table3[[#This Row],[Employee No.]],Table1_1[[Employee No.]:[Shift]],9,FALSE)</f>
        <v>SHIFT A</v>
      </c>
      <c r="H337" s="25">
        <v>1</v>
      </c>
      <c r="I337" s="25">
        <v>1</v>
      </c>
      <c r="J337" s="25">
        <v>1</v>
      </c>
      <c r="K337" s="25">
        <v>1</v>
      </c>
      <c r="L337" s="25">
        <v>1</v>
      </c>
      <c r="M337" s="25">
        <v>1</v>
      </c>
    </row>
    <row r="338" spans="3:16">
      <c r="C338" s="22" t="s">
        <v>1918</v>
      </c>
      <c r="D338" t="str">
        <f>VLOOKUP(Table3[[#This Row],[Employee No.]],Table1_1[[Employee No.]:[Employee Name]],2,FALSE)</f>
        <v>HENNY TITI SUSARNI MANURUNG</v>
      </c>
      <c r="E338" t="str">
        <f>VLOOKUP(Table3[[#This Row],[Employee No.]],Table1_1[[Employee No.]:[Department]],6,FALSE)</f>
        <v>FVI</v>
      </c>
      <c r="F338" t="str">
        <f>VLOOKUP(Table3[[#This Row],[Employee No.]],Table1_1[[Employee No.]:[Gender]],7,FALSE)</f>
        <v>F</v>
      </c>
      <c r="G338" t="str">
        <f>VLOOKUP(Table3[[#This Row],[Employee No.]],Table1_1[[Employee No.]:[Shift]],9,FALSE)</f>
        <v>SHIFT B</v>
      </c>
      <c r="H338" s="25">
        <v>1</v>
      </c>
      <c r="I338" s="25">
        <v>1</v>
      </c>
      <c r="J338" s="25">
        <v>1</v>
      </c>
      <c r="K338" s="25">
        <v>1</v>
      </c>
      <c r="L338" s="25">
        <v>1</v>
      </c>
      <c r="M338" s="25">
        <v>1</v>
      </c>
    </row>
    <row r="339" spans="3:16">
      <c r="C339" s="22" t="s">
        <v>1920</v>
      </c>
      <c r="D339" t="str">
        <f>VLOOKUP(Table3[[#This Row],[Employee No.]],Table1_1[[Employee No.]:[Employee Name]],2,FALSE)</f>
        <v>INDRI APRILIA PARINDURI</v>
      </c>
      <c r="E339" t="str">
        <f>VLOOKUP(Table3[[#This Row],[Employee No.]],Table1_1[[Employee No.]:[Department]],6,FALSE)</f>
        <v>SM</v>
      </c>
      <c r="F339" t="str">
        <f>VLOOKUP(Table3[[#This Row],[Employee No.]],Table1_1[[Employee No.]:[Gender]],7,FALSE)</f>
        <v>F</v>
      </c>
      <c r="G339" t="str">
        <f>VLOOKUP(Table3[[#This Row],[Employee No.]],Table1_1[[Employee No.]:[Shift]],9,FALSE)</f>
        <v>SHIFT C</v>
      </c>
      <c r="H339" s="25">
        <v>1</v>
      </c>
      <c r="I339" s="25">
        <v>1</v>
      </c>
      <c r="J339" s="25">
        <v>1</v>
      </c>
      <c r="K339" s="25">
        <v>1</v>
      </c>
      <c r="L339" s="25">
        <v>1</v>
      </c>
      <c r="M339" s="25">
        <v>0</v>
      </c>
      <c r="P339" s="25"/>
    </row>
    <row r="340" spans="3:16">
      <c r="C340" s="22" t="s">
        <v>1922</v>
      </c>
      <c r="D340" t="str">
        <f>VLOOKUP(Table3[[#This Row],[Employee No.]],Table1_1[[Employee No.]:[Employee Name]],2,FALSE)</f>
        <v>INTAN MORANA HALOHO</v>
      </c>
      <c r="E340" t="str">
        <f>VLOOKUP(Table3[[#This Row],[Employee No.]],Table1_1[[Employee No.]:[Department]],6,FALSE)</f>
        <v>FVI</v>
      </c>
      <c r="F340" t="str">
        <f>VLOOKUP(Table3[[#This Row],[Employee No.]],Table1_1[[Employee No.]:[Gender]],7,FALSE)</f>
        <v>F</v>
      </c>
      <c r="G340" t="str">
        <f>VLOOKUP(Table3[[#This Row],[Employee No.]],Table1_1[[Employee No.]:[Shift]],9,FALSE)</f>
        <v>SHIFT B</v>
      </c>
      <c r="H340" s="25">
        <v>1</v>
      </c>
      <c r="I340" s="25">
        <v>1</v>
      </c>
      <c r="J340" s="25">
        <v>1</v>
      </c>
      <c r="K340" s="25">
        <v>1</v>
      </c>
      <c r="L340" s="25">
        <v>1</v>
      </c>
      <c r="M340" s="25">
        <v>1</v>
      </c>
    </row>
    <row r="341" spans="3:16">
      <c r="C341" s="22" t="s">
        <v>1924</v>
      </c>
      <c r="D341" t="str">
        <f>VLOOKUP(Table3[[#This Row],[Employee No.]],Table1_1[[Employee No.]:[Employee Name]],2,FALSE)</f>
        <v>JENNYFER PARHUSIP</v>
      </c>
      <c r="E341" t="str">
        <f>VLOOKUP(Table3[[#This Row],[Employee No.]],Table1_1[[Employee No.]:[Department]],6,FALSE)</f>
        <v>MLB</v>
      </c>
      <c r="F341" t="str">
        <f>VLOOKUP(Table3[[#This Row],[Employee No.]],Table1_1[[Employee No.]:[Gender]],7,FALSE)</f>
        <v>F</v>
      </c>
      <c r="G341" t="str">
        <f>VLOOKUP(Table3[[#This Row],[Employee No.]],Table1_1[[Employee No.]:[Shift]],9,FALSE)</f>
        <v>SHIFT C</v>
      </c>
      <c r="H341" s="25">
        <v>1</v>
      </c>
      <c r="I341" s="25">
        <v>1</v>
      </c>
      <c r="J341" s="25">
        <v>1</v>
      </c>
      <c r="K341" s="25">
        <v>1</v>
      </c>
      <c r="L341" s="25">
        <v>1</v>
      </c>
      <c r="M341" s="25">
        <v>1</v>
      </c>
      <c r="P341" s="25"/>
    </row>
    <row r="342" spans="3:16">
      <c r="C342" s="22" t="s">
        <v>1926</v>
      </c>
      <c r="D342" t="str">
        <f>VLOOKUP(Table3[[#This Row],[Employee No.]],Table1_1[[Employee No.]:[Employee Name]],2,FALSE)</f>
        <v>JESICA ANASTHASYA SARAGIH</v>
      </c>
      <c r="E342" t="str">
        <f>VLOOKUP(Table3[[#This Row],[Employee No.]],Table1_1[[Employee No.]:[Department]],6,FALSE)</f>
        <v>DRILL</v>
      </c>
      <c r="F342" t="str">
        <f>VLOOKUP(Table3[[#This Row],[Employee No.]],Table1_1[[Employee No.]:[Gender]],7,FALSE)</f>
        <v>F</v>
      </c>
      <c r="G342" t="str">
        <f>VLOOKUP(Table3[[#This Row],[Employee No.]],Table1_1[[Employee No.]:[Shift]],9,FALSE)</f>
        <v>SHIFT B</v>
      </c>
      <c r="H342" s="25">
        <v>1</v>
      </c>
      <c r="I342" s="25">
        <v>1</v>
      </c>
      <c r="J342" s="25">
        <v>1</v>
      </c>
      <c r="K342" s="25">
        <v>1</v>
      </c>
      <c r="L342" s="25">
        <v>1</v>
      </c>
      <c r="M342" s="25">
        <v>1</v>
      </c>
    </row>
    <row r="343" spans="3:16">
      <c r="C343" s="22" t="s">
        <v>1928</v>
      </c>
      <c r="D343" t="str">
        <f>VLOOKUP(Table3[[#This Row],[Employee No.]],Table1_1[[Employee No.]:[Employee Name]],2,FALSE)</f>
        <v>JESIKA SURYANTI SIREGAR</v>
      </c>
      <c r="E343" t="str">
        <f>VLOOKUP(Table3[[#This Row],[Employee No.]],Table1_1[[Employee No.]:[Department]],6,FALSE)</f>
        <v>AOI</v>
      </c>
      <c r="F343" t="str">
        <f>VLOOKUP(Table3[[#This Row],[Employee No.]],Table1_1[[Employee No.]:[Gender]],7,FALSE)</f>
        <v>F</v>
      </c>
      <c r="G343" t="str">
        <f>VLOOKUP(Table3[[#This Row],[Employee No.]],Table1_1[[Employee No.]:[Shift]],9,FALSE)</f>
        <v>SHIFT B</v>
      </c>
      <c r="H343" s="25">
        <v>1</v>
      </c>
      <c r="I343" s="25">
        <v>1</v>
      </c>
      <c r="J343" s="25">
        <v>1</v>
      </c>
      <c r="K343" s="25">
        <v>1</v>
      </c>
      <c r="L343" s="25">
        <v>1</v>
      </c>
      <c r="M343" s="25">
        <v>1</v>
      </c>
    </row>
    <row r="344" spans="3:16">
      <c r="C344" s="22" t="s">
        <v>1930</v>
      </c>
      <c r="D344" t="str">
        <f>VLOOKUP(Table3[[#This Row],[Employee No.]],Table1_1[[Employee No.]:[Employee Name]],2,FALSE)</f>
        <v>LASMARCAHAYA SIBORO</v>
      </c>
      <c r="E344" t="str">
        <f>VLOOKUP(Table3[[#This Row],[Employee No.]],Table1_1[[Employee No.]:[Department]],6,FALSE)</f>
        <v>SM</v>
      </c>
      <c r="F344" t="str">
        <f>VLOOKUP(Table3[[#This Row],[Employee No.]],Table1_1[[Employee No.]:[Gender]],7,FALSE)</f>
        <v>F</v>
      </c>
      <c r="G344" t="str">
        <f>VLOOKUP(Table3[[#This Row],[Employee No.]],Table1_1[[Employee No.]:[Shift]],9,FALSE)</f>
        <v>SHIFT E</v>
      </c>
      <c r="H344" s="25">
        <v>0</v>
      </c>
      <c r="I344" s="25">
        <v>1</v>
      </c>
      <c r="J344" s="25">
        <v>1</v>
      </c>
      <c r="K344" s="25">
        <v>0</v>
      </c>
      <c r="L344" s="25">
        <v>0</v>
      </c>
      <c r="M344" s="25">
        <v>0</v>
      </c>
    </row>
    <row r="345" spans="3:16">
      <c r="C345" s="22" t="s">
        <v>1932</v>
      </c>
      <c r="D345" t="str">
        <f>VLOOKUP(Table3[[#This Row],[Employee No.]],Table1_1[[Employee No.]:[Employee Name]],2,FALSE)</f>
        <v>LORENTINA SRI GANDA TAMBUNAN</v>
      </c>
      <c r="E345" t="str">
        <f>VLOOKUP(Table3[[#This Row],[Employee No.]],Table1_1[[Employee No.]:[Department]],6,FALSE)</f>
        <v>FVI</v>
      </c>
      <c r="F345" t="str">
        <f>VLOOKUP(Table3[[#This Row],[Employee No.]],Table1_1[[Employee No.]:[Gender]],7,FALSE)</f>
        <v>F</v>
      </c>
      <c r="G345" t="str">
        <f>VLOOKUP(Table3[[#This Row],[Employee No.]],Table1_1[[Employee No.]:[Shift]],9,FALSE)</f>
        <v>SHIFT A</v>
      </c>
      <c r="H345" s="25">
        <v>1</v>
      </c>
      <c r="I345" s="25">
        <v>1</v>
      </c>
      <c r="J345" s="25">
        <v>1</v>
      </c>
      <c r="K345" s="25">
        <v>1</v>
      </c>
      <c r="L345" s="25">
        <v>1</v>
      </c>
      <c r="M345" s="25">
        <v>1</v>
      </c>
    </row>
    <row r="346" spans="3:16">
      <c r="C346" s="22" t="s">
        <v>1934</v>
      </c>
      <c r="D346" t="str">
        <f>VLOOKUP(Table3[[#This Row],[Employee No.]],Table1_1[[Employee No.]:[Employee Name]],2,FALSE)</f>
        <v>MARHADILLA SAMOSIR</v>
      </c>
      <c r="E346" t="str">
        <f>VLOOKUP(Table3[[#This Row],[Employee No.]],Table1_1[[Employee No.]:[Department]],6,FALSE)</f>
        <v>FVI</v>
      </c>
      <c r="F346" t="str">
        <f>VLOOKUP(Table3[[#This Row],[Employee No.]],Table1_1[[Employee No.]:[Gender]],7,FALSE)</f>
        <v>F</v>
      </c>
      <c r="G346" t="str">
        <f>VLOOKUP(Table3[[#This Row],[Employee No.]],Table1_1[[Employee No.]:[Shift]],9,FALSE)</f>
        <v>SHIFT B</v>
      </c>
      <c r="H346" s="25">
        <v>1</v>
      </c>
      <c r="I346" s="25">
        <v>1</v>
      </c>
      <c r="J346" s="25">
        <v>1</v>
      </c>
      <c r="K346" s="25">
        <v>1</v>
      </c>
      <c r="L346" s="25">
        <v>1</v>
      </c>
      <c r="M346" s="25">
        <v>1</v>
      </c>
    </row>
    <row r="347" spans="3:16">
      <c r="C347" s="22" t="s">
        <v>1937</v>
      </c>
      <c r="D347" t="str">
        <f>VLOOKUP(Table3[[#This Row],[Employee No.]],Table1_1[[Employee No.]:[Employee Name]],2,FALSE)</f>
        <v>MENRI VERONIKA SITOHANG</v>
      </c>
      <c r="E347" t="str">
        <f>VLOOKUP(Table3[[#This Row],[Employee No.]],Table1_1[[Employee No.]:[Department]],6,FALSE)</f>
        <v>FVI</v>
      </c>
      <c r="F347" t="str">
        <f>VLOOKUP(Table3[[#This Row],[Employee No.]],Table1_1[[Employee No.]:[Gender]],7,FALSE)</f>
        <v>F</v>
      </c>
      <c r="G347" t="str">
        <f>VLOOKUP(Table3[[#This Row],[Employee No.]],Table1_1[[Employee No.]:[Shift]],9,FALSE)</f>
        <v>SHIFT C</v>
      </c>
      <c r="H347" s="25">
        <v>1</v>
      </c>
      <c r="I347" s="25">
        <v>1</v>
      </c>
      <c r="J347" s="25">
        <v>1</v>
      </c>
      <c r="K347" s="25">
        <v>1</v>
      </c>
      <c r="L347" s="25">
        <v>1</v>
      </c>
      <c r="M347" s="25">
        <v>1</v>
      </c>
      <c r="P347" s="25"/>
    </row>
    <row r="348" spans="3:16">
      <c r="C348" s="22" t="s">
        <v>1939</v>
      </c>
      <c r="D348" t="str">
        <f>VLOOKUP(Table3[[#This Row],[Employee No.]],Table1_1[[Employee No.]:[Employee Name]],2,FALSE)</f>
        <v>NOVITA TANGGANG</v>
      </c>
      <c r="E348" t="str">
        <f>VLOOKUP(Table3[[#This Row],[Employee No.]],Table1_1[[Employee No.]:[Department]],6,FALSE)</f>
        <v>BBT</v>
      </c>
      <c r="F348" t="str">
        <f>VLOOKUP(Table3[[#This Row],[Employee No.]],Table1_1[[Employee No.]:[Gender]],7,FALSE)</f>
        <v>F</v>
      </c>
      <c r="G348" t="str">
        <f>VLOOKUP(Table3[[#This Row],[Employee No.]],Table1_1[[Employee No.]:[Shift]],9,FALSE)</f>
        <v>SHIFT A</v>
      </c>
      <c r="H348" s="25">
        <v>1</v>
      </c>
      <c r="I348" s="25">
        <v>1</v>
      </c>
      <c r="J348" s="25">
        <v>1</v>
      </c>
      <c r="K348" s="25">
        <v>1</v>
      </c>
      <c r="L348" s="25">
        <v>1</v>
      </c>
      <c r="M348" s="25">
        <v>1</v>
      </c>
    </row>
    <row r="349" spans="3:16">
      <c r="C349" s="22" t="s">
        <v>1941</v>
      </c>
      <c r="D349" t="str">
        <f>VLOOKUP(Table3[[#This Row],[Employee No.]],Table1_1[[Employee No.]:[Employee Name]],2,FALSE)</f>
        <v>RAMADHANA SARAGIH</v>
      </c>
      <c r="E349" t="str">
        <f>VLOOKUP(Table3[[#This Row],[Employee No.]],Table1_1[[Employee No.]:[Department]],6,FALSE)</f>
        <v>AU</v>
      </c>
      <c r="F349" t="str">
        <f>VLOOKUP(Table3[[#This Row],[Employee No.]],Table1_1[[Employee No.]:[Gender]],7,FALSE)</f>
        <v>F</v>
      </c>
      <c r="G349" t="str">
        <f>VLOOKUP(Table3[[#This Row],[Employee No.]],Table1_1[[Employee No.]:[Shift]],9,FALSE)</f>
        <v>SHIFT C</v>
      </c>
      <c r="H349" s="25">
        <v>1</v>
      </c>
      <c r="I349" s="25">
        <v>1</v>
      </c>
      <c r="J349" s="25">
        <v>1</v>
      </c>
      <c r="K349" s="25">
        <v>1</v>
      </c>
      <c r="L349" s="25">
        <v>1</v>
      </c>
      <c r="M349" s="25">
        <v>1</v>
      </c>
      <c r="P349" s="25"/>
    </row>
    <row r="350" spans="3:16">
      <c r="C350" s="22" t="s">
        <v>1943</v>
      </c>
      <c r="D350" t="str">
        <f>VLOOKUP(Table3[[#This Row],[Employee No.]],Table1_1[[Employee No.]:[Employee Name]],2,FALSE)</f>
        <v>RIVKA MARBUN</v>
      </c>
      <c r="E350" t="str">
        <f>VLOOKUP(Table3[[#This Row],[Employee No.]],Table1_1[[Employee No.]:[Department]],6,FALSE)</f>
        <v>FVI</v>
      </c>
      <c r="F350" t="str">
        <f>VLOOKUP(Table3[[#This Row],[Employee No.]],Table1_1[[Employee No.]:[Gender]],7,FALSE)</f>
        <v>F</v>
      </c>
      <c r="G350" t="str">
        <f>VLOOKUP(Table3[[#This Row],[Employee No.]],Table1_1[[Employee No.]:[Shift]],9,FALSE)</f>
        <v>SHIFT C</v>
      </c>
      <c r="H350" s="25">
        <v>1</v>
      </c>
      <c r="I350" s="25">
        <v>1</v>
      </c>
      <c r="J350" s="25">
        <v>1</v>
      </c>
      <c r="K350" s="25">
        <v>1</v>
      </c>
      <c r="L350" s="25">
        <v>1</v>
      </c>
      <c r="M350" s="25">
        <v>1</v>
      </c>
      <c r="P350" s="25"/>
    </row>
    <row r="351" spans="3:16">
      <c r="C351" s="22" t="s">
        <v>1945</v>
      </c>
      <c r="D351" t="str">
        <f>VLOOKUP(Table3[[#This Row],[Employee No.]],Table1_1[[Employee No.]:[Employee Name]],2,FALSE)</f>
        <v>SANTI RAJAGUKGUK</v>
      </c>
      <c r="E351" t="str">
        <f>VLOOKUP(Table3[[#This Row],[Employee No.]],Table1_1[[Employee No.]:[Department]],6,FALSE)</f>
        <v>BBT</v>
      </c>
      <c r="F351" t="str">
        <f>VLOOKUP(Table3[[#This Row],[Employee No.]],Table1_1[[Employee No.]:[Gender]],7,FALSE)</f>
        <v>F</v>
      </c>
      <c r="G351" t="str">
        <f>VLOOKUP(Table3[[#This Row],[Employee No.]],Table1_1[[Employee No.]:[Shift]],9,FALSE)</f>
        <v>SHIFT B</v>
      </c>
      <c r="H351" s="25">
        <v>1</v>
      </c>
      <c r="I351" s="25">
        <v>1</v>
      </c>
      <c r="J351" s="25">
        <v>1</v>
      </c>
      <c r="K351" s="25">
        <v>1</v>
      </c>
      <c r="L351" s="25">
        <v>1</v>
      </c>
      <c r="M351" s="25">
        <v>1</v>
      </c>
    </row>
    <row r="352" spans="3:16">
      <c r="C352" s="22" t="s">
        <v>1947</v>
      </c>
      <c r="D352" t="str">
        <f>VLOOKUP(Table3[[#This Row],[Employee No.]],Table1_1[[Employee No.]:[Employee Name]],2,FALSE)</f>
        <v>SARMAULI SIAHAAN</v>
      </c>
      <c r="E352" t="str">
        <f>VLOOKUP(Table3[[#This Row],[Employee No.]],Table1_1[[Employee No.]:[Department]],6,FALSE)</f>
        <v>BBT</v>
      </c>
      <c r="F352" t="str">
        <f>VLOOKUP(Table3[[#This Row],[Employee No.]],Table1_1[[Employee No.]:[Gender]],7,FALSE)</f>
        <v>F</v>
      </c>
      <c r="G352" t="str">
        <f>VLOOKUP(Table3[[#This Row],[Employee No.]],Table1_1[[Employee No.]:[Shift]],9,FALSE)</f>
        <v>SHIFT A</v>
      </c>
      <c r="H352" s="25">
        <v>1</v>
      </c>
      <c r="I352" s="25">
        <v>1</v>
      </c>
      <c r="J352" s="25">
        <v>1</v>
      </c>
      <c r="K352" s="25">
        <v>1</v>
      </c>
      <c r="L352" s="25">
        <v>1</v>
      </c>
      <c r="M352" s="25">
        <v>1</v>
      </c>
    </row>
    <row r="353" spans="3:16">
      <c r="C353" s="22" t="s">
        <v>1949</v>
      </c>
      <c r="D353" t="str">
        <f>VLOOKUP(Table3[[#This Row],[Employee No.]],Table1_1[[Employee No.]:[Employee Name]],2,FALSE)</f>
        <v>SELVI MELANITA SIAHAAN</v>
      </c>
      <c r="E353" t="str">
        <f>VLOOKUP(Table3[[#This Row],[Employee No.]],Table1_1[[Employee No.]:[Department]],6,FALSE)</f>
        <v>FVI</v>
      </c>
      <c r="F353" t="str">
        <f>VLOOKUP(Table3[[#This Row],[Employee No.]],Table1_1[[Employee No.]:[Gender]],7,FALSE)</f>
        <v>F</v>
      </c>
      <c r="G353" t="str">
        <f>VLOOKUP(Table3[[#This Row],[Employee No.]],Table1_1[[Employee No.]:[Shift]],9,FALSE)</f>
        <v>SHIFT A</v>
      </c>
      <c r="H353" s="25">
        <v>1</v>
      </c>
      <c r="I353" s="25">
        <v>1</v>
      </c>
      <c r="J353" s="25">
        <v>1</v>
      </c>
      <c r="K353" s="25">
        <v>1</v>
      </c>
      <c r="L353" s="25">
        <v>1</v>
      </c>
      <c r="M353" s="25">
        <v>1</v>
      </c>
    </row>
    <row r="354" spans="3:16">
      <c r="C354" s="22" t="s">
        <v>1951</v>
      </c>
      <c r="D354" t="str">
        <f>VLOOKUP(Table3[[#This Row],[Employee No.]],Table1_1[[Employee No.]:[Employee Name]],2,FALSE)</f>
        <v>SUCI RAMADANI LINGGA</v>
      </c>
      <c r="E354" t="str">
        <f>VLOOKUP(Table3[[#This Row],[Employee No.]],Table1_1[[Employee No.]:[Department]],6,FALSE)</f>
        <v>DRILL</v>
      </c>
      <c r="F354" t="str">
        <f>VLOOKUP(Table3[[#This Row],[Employee No.]],Table1_1[[Employee No.]:[Gender]],7,FALSE)</f>
        <v>F</v>
      </c>
      <c r="G354" t="str">
        <f>VLOOKUP(Table3[[#This Row],[Employee No.]],Table1_1[[Employee No.]:[Shift]],9,FALSE)</f>
        <v>SHIFT C</v>
      </c>
      <c r="H354" s="25">
        <v>1</v>
      </c>
      <c r="I354" s="25">
        <v>1</v>
      </c>
      <c r="J354" s="25">
        <v>1</v>
      </c>
      <c r="K354" s="25">
        <v>1</v>
      </c>
      <c r="L354" s="25">
        <v>1</v>
      </c>
      <c r="M354" s="25">
        <v>1</v>
      </c>
      <c r="P354" s="25"/>
    </row>
    <row r="355" spans="3:16">
      <c r="C355" s="22" t="s">
        <v>1953</v>
      </c>
      <c r="D355" t="str">
        <f>VLOOKUP(Table3[[#This Row],[Employee No.]],Table1_1[[Employee No.]:[Employee Name]],2,FALSE)</f>
        <v>TRI ENJELITA SIANTURI</v>
      </c>
      <c r="E355" t="str">
        <f>VLOOKUP(Table3[[#This Row],[Employee No.]],Table1_1[[Employee No.]:[Department]],6,FALSE)</f>
        <v>FVI</v>
      </c>
      <c r="F355" t="str">
        <f>VLOOKUP(Table3[[#This Row],[Employee No.]],Table1_1[[Employee No.]:[Gender]],7,FALSE)</f>
        <v>F</v>
      </c>
      <c r="G355" t="str">
        <f>VLOOKUP(Table3[[#This Row],[Employee No.]],Table1_1[[Employee No.]:[Shift]],9,FALSE)</f>
        <v>SHIFT C</v>
      </c>
      <c r="H355" s="25">
        <v>1</v>
      </c>
      <c r="I355" s="25">
        <v>1</v>
      </c>
      <c r="J355" s="25">
        <v>1</v>
      </c>
      <c r="K355" s="25">
        <v>1</v>
      </c>
      <c r="L355" s="25">
        <v>1</v>
      </c>
      <c r="M355" s="25">
        <v>1</v>
      </c>
      <c r="P355" s="25"/>
    </row>
    <row r="356" spans="3:16">
      <c r="C356" s="22" t="s">
        <v>1955</v>
      </c>
      <c r="D356" t="str">
        <f>VLOOKUP(Table3[[#This Row],[Employee No.]],Table1_1[[Employee No.]:[Employee Name]],2,FALSE)</f>
        <v>TRISYA WATY</v>
      </c>
      <c r="E356" t="str">
        <f>VLOOKUP(Table3[[#This Row],[Employee No.]],Table1_1[[Employee No.]:[Department]],6,FALSE)</f>
        <v>FVI</v>
      </c>
      <c r="F356" t="str">
        <f>VLOOKUP(Table3[[#This Row],[Employee No.]],Table1_1[[Employee No.]:[Gender]],7,FALSE)</f>
        <v>F</v>
      </c>
      <c r="G356" t="str">
        <f>VLOOKUP(Table3[[#This Row],[Employee No.]],Table1_1[[Employee No.]:[Shift]],9,FALSE)</f>
        <v>SHIFT B</v>
      </c>
      <c r="H356" s="25">
        <v>1</v>
      </c>
      <c r="I356" s="25">
        <v>1</v>
      </c>
      <c r="J356" s="25">
        <v>1</v>
      </c>
      <c r="K356" s="25">
        <v>1</v>
      </c>
      <c r="L356" s="25">
        <v>1</v>
      </c>
      <c r="M356" s="25">
        <v>1</v>
      </c>
    </row>
    <row r="357" spans="3:16">
      <c r="C357" s="22" t="s">
        <v>1958</v>
      </c>
      <c r="D357" t="str">
        <f>VLOOKUP(Table3[[#This Row],[Employee No.]],Table1_1[[Employee No.]:[Employee Name]],2,FALSE)</f>
        <v>YOLANDA WIJAYA</v>
      </c>
      <c r="E357" t="str">
        <f>VLOOKUP(Table3[[#This Row],[Employee No.]],Table1_1[[Employee No.]:[Department]],6,FALSE)</f>
        <v>AOI</v>
      </c>
      <c r="F357" t="str">
        <f>VLOOKUP(Table3[[#This Row],[Employee No.]],Table1_1[[Employee No.]:[Gender]],7,FALSE)</f>
        <v>F</v>
      </c>
      <c r="G357" t="str">
        <f>VLOOKUP(Table3[[#This Row],[Employee No.]],Table1_1[[Employee No.]:[Shift]],9,FALSE)</f>
        <v>SHIFT E</v>
      </c>
      <c r="H357" s="25">
        <v>0</v>
      </c>
      <c r="I357" s="25">
        <v>1</v>
      </c>
      <c r="J357" s="25">
        <v>1</v>
      </c>
      <c r="K357" s="25">
        <v>1</v>
      </c>
      <c r="L357" s="25">
        <v>1</v>
      </c>
      <c r="M357" s="25">
        <v>1</v>
      </c>
    </row>
    <row r="358" spans="3:16">
      <c r="C358" s="22" t="s">
        <v>1971</v>
      </c>
      <c r="D358" t="str">
        <f>VLOOKUP(Table3[[#This Row],[Employee No.]],Table1_1[[Employee No.]:[Employee Name]],2,FALSE)</f>
        <v>MUHAMAD NAIM BIN NASSER GAN</v>
      </c>
      <c r="E358" t="str">
        <f>VLOOKUP(Table3[[#This Row],[Employee No.]],Table1_1[[Employee No.]:[Department]],6,FALSE)</f>
        <v>ENVIRONMENT</v>
      </c>
      <c r="F358" t="str">
        <f>VLOOKUP(Table3[[#This Row],[Employee No.]],Table1_1[[Employee No.]:[Gender]],7,FALSE)</f>
        <v>M</v>
      </c>
      <c r="G358" t="str">
        <f>VLOOKUP(Table3[[#This Row],[Employee No.]],Table1_1[[Employee No.]:[Shift]],9,FALSE)</f>
        <v>SHIFT A</v>
      </c>
      <c r="H358" s="25">
        <v>1</v>
      </c>
      <c r="I358" s="25">
        <v>1</v>
      </c>
      <c r="J358" s="25">
        <v>1</v>
      </c>
      <c r="K358" s="25">
        <v>1</v>
      </c>
      <c r="L358" s="25">
        <v>1</v>
      </c>
      <c r="M358" s="25">
        <v>1</v>
      </c>
    </row>
    <row r="359" spans="3:16">
      <c r="C359" s="22" t="s">
        <v>1983</v>
      </c>
      <c r="D359" t="str">
        <f>VLOOKUP(Table3[[#This Row],[Employee No.]],Table1_1[[Employee No.]:[Employee Name]],2,FALSE)</f>
        <v>ASYRAF NAIM BIN SHAHRUL ZAMAN</v>
      </c>
      <c r="E359" t="str">
        <f>VLOOKUP(Table3[[#This Row],[Employee No.]],Table1_1[[Employee No.]:[Department]],6,FALSE)</f>
        <v>EQUIPMENT</v>
      </c>
      <c r="F359" t="str">
        <f>VLOOKUP(Table3[[#This Row],[Employee No.]],Table1_1[[Employee No.]:[Gender]],7,FALSE)</f>
        <v>M</v>
      </c>
      <c r="G359" t="str">
        <f>VLOOKUP(Table3[[#This Row],[Employee No.]],Table1_1[[Employee No.]:[Shift]],9,FALSE)</f>
        <v>SHIFT C</v>
      </c>
      <c r="H359" s="25">
        <v>1</v>
      </c>
      <c r="I359" s="25">
        <v>1</v>
      </c>
      <c r="J359" s="25">
        <v>1</v>
      </c>
      <c r="K359" s="25">
        <v>1</v>
      </c>
      <c r="L359" s="25">
        <v>1</v>
      </c>
      <c r="M359" s="25">
        <v>1</v>
      </c>
      <c r="P359" s="25"/>
    </row>
    <row r="360" spans="3:16">
      <c r="C360" s="22" t="s">
        <v>1987</v>
      </c>
      <c r="D360" t="str">
        <f>VLOOKUP(Table3[[#This Row],[Employee No.]],Table1_1[[Employee No.]:[Employee Name]],2,FALSE)</f>
        <v>MUHAMMAD AQMAL HAQEEM BIN ABDULL AZIZ</v>
      </c>
      <c r="E360" t="str">
        <f>VLOOKUP(Table3[[#This Row],[Employee No.]],Table1_1[[Employee No.]:[Department]],6,FALSE)</f>
        <v>EQUIPMENT</v>
      </c>
      <c r="F360" t="str">
        <f>VLOOKUP(Table3[[#This Row],[Employee No.]],Table1_1[[Employee No.]:[Gender]],7,FALSE)</f>
        <v>M</v>
      </c>
      <c r="G360" t="str">
        <f>VLOOKUP(Table3[[#This Row],[Employee No.]],Table1_1[[Employee No.]:[Shift]],9,FALSE)</f>
        <v>SHIFT C</v>
      </c>
      <c r="H360" s="25">
        <v>1</v>
      </c>
      <c r="I360" s="25">
        <v>1</v>
      </c>
      <c r="J360" s="25">
        <v>1</v>
      </c>
      <c r="K360" s="25">
        <v>0</v>
      </c>
      <c r="L360" s="25">
        <v>1</v>
      </c>
      <c r="M360" s="25">
        <v>1</v>
      </c>
    </row>
    <row r="361" spans="3:16">
      <c r="C361" s="22" t="s">
        <v>1995</v>
      </c>
      <c r="D361" t="str">
        <f>VLOOKUP(Table3[[#This Row],[Employee No.]],Table1_1[[Employee No.]:[Employee Name]],2,FALSE)</f>
        <v>KHAIRUL IQBAL BIN ROSLAN</v>
      </c>
      <c r="E361" t="str">
        <f>VLOOKUP(Table3[[#This Row],[Employee No.]],Table1_1[[Employee No.]:[Department]],6,FALSE)</f>
        <v>EQUIPMENT</v>
      </c>
      <c r="F361" t="str">
        <f>VLOOKUP(Table3[[#This Row],[Employee No.]],Table1_1[[Employee No.]:[Gender]],7,FALSE)</f>
        <v>M</v>
      </c>
      <c r="G361" t="str">
        <f>VLOOKUP(Table3[[#This Row],[Employee No.]],Table1_1[[Employee No.]:[Shift]],9,FALSE)</f>
        <v>SHIFT A</v>
      </c>
      <c r="H361" s="25">
        <v>1</v>
      </c>
      <c r="I361" s="25">
        <v>1</v>
      </c>
      <c r="J361" s="25">
        <v>1</v>
      </c>
      <c r="K361" s="25">
        <v>1</v>
      </c>
      <c r="L361" s="25">
        <v>1</v>
      </c>
      <c r="M361" s="25">
        <v>1</v>
      </c>
    </row>
    <row r="362" spans="3:16">
      <c r="C362" s="22" t="s">
        <v>1999</v>
      </c>
      <c r="D362" t="str">
        <f>VLOOKUP(Table3[[#This Row],[Employee No.]],Table1_1[[Employee No.]:[Employee Name]],2,FALSE)</f>
        <v>SHAHRIL BIN YAACOB</v>
      </c>
      <c r="E362" t="str">
        <f>VLOOKUP(Table3[[#This Row],[Employee No.]],Table1_1[[Employee No.]:[Department]],6,FALSE)</f>
        <v>EQUIPMENT</v>
      </c>
      <c r="F362" t="str">
        <f>VLOOKUP(Table3[[#This Row],[Employee No.]],Table1_1[[Employee No.]:[Gender]],7,FALSE)</f>
        <v>M</v>
      </c>
      <c r="G362" t="str">
        <f>VLOOKUP(Table3[[#This Row],[Employee No.]],Table1_1[[Employee No.]:[Shift]],9,FALSE)</f>
        <v>SHIFT B</v>
      </c>
      <c r="H362" s="25">
        <v>1</v>
      </c>
      <c r="I362" s="25">
        <v>1</v>
      </c>
      <c r="J362" s="25">
        <v>1</v>
      </c>
      <c r="K362" s="25">
        <v>1</v>
      </c>
      <c r="L362" s="25">
        <v>1</v>
      </c>
      <c r="M362" s="25">
        <v>0</v>
      </c>
    </row>
    <row r="363" spans="3:16">
      <c r="C363" s="22" t="s">
        <v>2003</v>
      </c>
      <c r="D363" t="str">
        <f>VLOOKUP(Table3[[#This Row],[Employee No.]],Table1_1[[Employee No.]:[Employee Name]],2,FALSE)</f>
        <v>MUHAMMAD SABRI BIN AWANG</v>
      </c>
      <c r="E363" t="str">
        <f>VLOOKUP(Table3[[#This Row],[Employee No.]],Table1_1[[Employee No.]:[Department]],6,FALSE)</f>
        <v>ENVIRONMENT</v>
      </c>
      <c r="F363" t="str">
        <f>VLOOKUP(Table3[[#This Row],[Employee No.]],Table1_1[[Employee No.]:[Gender]],7,FALSE)</f>
        <v>M</v>
      </c>
      <c r="G363" t="str">
        <f>VLOOKUP(Table3[[#This Row],[Employee No.]],Table1_1[[Employee No.]:[Shift]],9,FALSE)</f>
        <v>SHIFT A</v>
      </c>
      <c r="H363" s="25">
        <v>1</v>
      </c>
      <c r="I363" s="25">
        <v>1</v>
      </c>
      <c r="J363" s="25">
        <v>1</v>
      </c>
      <c r="K363" s="25">
        <v>1</v>
      </c>
      <c r="L363" s="25">
        <v>1</v>
      </c>
      <c r="M363" s="25">
        <v>1</v>
      </c>
    </row>
    <row r="364" spans="3:16">
      <c r="C364" s="22" t="s">
        <v>2007</v>
      </c>
      <c r="D364" t="str">
        <f>VLOOKUP(Table3[[#This Row],[Employee No.]],Table1_1[[Employee No.]:[Employee Name]],2,FALSE)</f>
        <v>MUHAMMAD UWAIS ZUHAIR BIN SHARIMAN</v>
      </c>
      <c r="E364" t="str">
        <f>VLOOKUP(Table3[[#This Row],[Employee No.]],Table1_1[[Employee No.]:[Department]],6,FALSE)</f>
        <v>ENVIRONMENT</v>
      </c>
      <c r="F364" t="str">
        <f>VLOOKUP(Table3[[#This Row],[Employee No.]],Table1_1[[Employee No.]:[Gender]],7,FALSE)</f>
        <v>M</v>
      </c>
      <c r="G364" t="str">
        <f>VLOOKUP(Table3[[#This Row],[Employee No.]],Table1_1[[Employee No.]:[Shift]],9,FALSE)</f>
        <v>SHIFT B</v>
      </c>
      <c r="H364" s="25">
        <v>1</v>
      </c>
      <c r="I364" s="25">
        <v>1</v>
      </c>
      <c r="J364" s="25">
        <v>1</v>
      </c>
      <c r="K364" s="25">
        <v>1</v>
      </c>
      <c r="L364" s="25">
        <v>1</v>
      </c>
      <c r="M364" s="25">
        <v>1</v>
      </c>
    </row>
    <row r="365" spans="3:16">
      <c r="C365" s="22" t="s">
        <v>2011</v>
      </c>
      <c r="D365" t="str">
        <f>VLOOKUP(Table3[[#This Row],[Employee No.]],Table1_1[[Employee No.]:[Employee Name]],2,FALSE)</f>
        <v>MUHAMMAD AZIM BIN AZMAN</v>
      </c>
      <c r="E365" t="str">
        <f>VLOOKUP(Table3[[#This Row],[Employee No.]],Table1_1[[Employee No.]:[Department]],6,FALSE)</f>
        <v>ENVIRONMENT</v>
      </c>
      <c r="F365" t="str">
        <f>VLOOKUP(Table3[[#This Row],[Employee No.]],Table1_1[[Employee No.]:[Gender]],7,FALSE)</f>
        <v>M</v>
      </c>
      <c r="G365" t="str">
        <f>VLOOKUP(Table3[[#This Row],[Employee No.]],Table1_1[[Employee No.]:[Shift]],9,FALSE)</f>
        <v>SHIFT C</v>
      </c>
      <c r="H365" s="25">
        <v>1</v>
      </c>
      <c r="I365" s="25">
        <v>1</v>
      </c>
      <c r="J365" s="25">
        <v>1</v>
      </c>
      <c r="K365" s="25">
        <v>1</v>
      </c>
      <c r="L365" s="25">
        <v>1</v>
      </c>
      <c r="M365" s="25">
        <v>1</v>
      </c>
      <c r="P365" s="25"/>
    </row>
    <row r="366" spans="3:16">
      <c r="C366" s="22" t="s">
        <v>2019</v>
      </c>
      <c r="D366" t="str">
        <f>VLOOKUP(Table3[[#This Row],[Employee No.]],Table1_1[[Employee No.]:[Employee Name]],2,FALSE)</f>
        <v>NAZRIN BIN SARJAN</v>
      </c>
      <c r="E366" t="str">
        <f>VLOOKUP(Table3[[#This Row],[Employee No.]],Table1_1[[Employee No.]:[Department]],6,FALSE)</f>
        <v>ENVIRONMENT</v>
      </c>
      <c r="F366" t="str">
        <f>VLOOKUP(Table3[[#This Row],[Employee No.]],Table1_1[[Employee No.]:[Gender]],7,FALSE)</f>
        <v>M</v>
      </c>
      <c r="G366" t="str">
        <f>VLOOKUP(Table3[[#This Row],[Employee No.]],Table1_1[[Employee No.]:[Shift]],9,FALSE)</f>
        <v>SHIFT A</v>
      </c>
      <c r="H366" s="25">
        <v>1</v>
      </c>
      <c r="I366" s="25">
        <v>1</v>
      </c>
      <c r="J366" s="25">
        <v>1</v>
      </c>
      <c r="K366" s="25">
        <v>1</v>
      </c>
      <c r="L366" s="25">
        <v>1</v>
      </c>
      <c r="M366" s="25">
        <v>1</v>
      </c>
    </row>
    <row r="367" spans="3:16">
      <c r="C367" s="22" t="s">
        <v>2023</v>
      </c>
      <c r="D367" t="str">
        <f>VLOOKUP(Table3[[#This Row],[Employee No.]],Table1_1[[Employee No.]:[Employee Name]],2,FALSE)</f>
        <v>MUHAMAD AKMAL BIN MOHD FARID</v>
      </c>
      <c r="E367" t="str">
        <f>VLOOKUP(Table3[[#This Row],[Employee No.]],Table1_1[[Employee No.]:[Department]],6,FALSE)</f>
        <v>EQUIPMENT</v>
      </c>
      <c r="F367" t="str">
        <f>VLOOKUP(Table3[[#This Row],[Employee No.]],Table1_1[[Employee No.]:[Gender]],7,FALSE)</f>
        <v>M</v>
      </c>
      <c r="G367" t="str">
        <f>VLOOKUP(Table3[[#This Row],[Employee No.]],Table1_1[[Employee No.]:[Shift]],9,FALSE)</f>
        <v>SHIFT A</v>
      </c>
      <c r="H367" s="25">
        <v>1</v>
      </c>
      <c r="I367" s="25">
        <v>1</v>
      </c>
      <c r="J367" s="25">
        <v>1</v>
      </c>
      <c r="K367" s="25">
        <v>1</v>
      </c>
      <c r="L367" s="25">
        <v>1</v>
      </c>
      <c r="M367" s="25">
        <v>1</v>
      </c>
    </row>
    <row r="368" spans="3:16">
      <c r="C368" s="22" t="s">
        <v>2027</v>
      </c>
      <c r="D368" t="str">
        <f>VLOOKUP(Table3[[#This Row],[Employee No.]],Table1_1[[Employee No.]:[Employee Name]],2,FALSE)</f>
        <v>MOHAMMAD AZAM BIN MOHD ZAMRI</v>
      </c>
      <c r="E368" t="str">
        <f>VLOOKUP(Table3[[#This Row],[Employee No.]],Table1_1[[Employee No.]:[Department]],6,FALSE)</f>
        <v>EQUIPMENT</v>
      </c>
      <c r="F368" t="str">
        <f>VLOOKUP(Table3[[#This Row],[Employee No.]],Table1_1[[Employee No.]:[Gender]],7,FALSE)</f>
        <v>M</v>
      </c>
      <c r="G368" t="str">
        <f>VLOOKUP(Table3[[#This Row],[Employee No.]],Table1_1[[Employee No.]:[Shift]],9,FALSE)</f>
        <v>SHIFT C</v>
      </c>
      <c r="H368" s="25">
        <v>1</v>
      </c>
      <c r="I368" s="25">
        <v>1</v>
      </c>
      <c r="J368" s="25">
        <v>1</v>
      </c>
      <c r="K368" s="25">
        <v>1</v>
      </c>
      <c r="L368" s="25">
        <v>1</v>
      </c>
      <c r="M368" s="25">
        <v>1</v>
      </c>
      <c r="P368" s="25"/>
    </row>
    <row r="369" spans="3:16">
      <c r="C369" s="22" t="s">
        <v>2031</v>
      </c>
      <c r="D369" t="str">
        <f>VLOOKUP(Table3[[#This Row],[Employee No.]],Table1_1[[Employee No.]:[Employee Name]],2,FALSE)</f>
        <v>ASIROHANA SITOMPUL</v>
      </c>
      <c r="E369" t="str">
        <f>VLOOKUP(Table3[[#This Row],[Employee No.]],Table1_1[[Employee No.]:[Department]],6,FALSE)</f>
        <v>FVI</v>
      </c>
      <c r="F369" t="str">
        <f>VLOOKUP(Table3[[#This Row],[Employee No.]],Table1_1[[Employee No.]:[Gender]],7,FALSE)</f>
        <v>F</v>
      </c>
      <c r="G369" t="str">
        <f>VLOOKUP(Table3[[#This Row],[Employee No.]],Table1_1[[Employee No.]:[Shift]],9,FALSE)</f>
        <v>SHIFT A</v>
      </c>
      <c r="H369" s="25">
        <v>1</v>
      </c>
      <c r="I369" s="25">
        <v>1</v>
      </c>
      <c r="J369" s="25">
        <v>1</v>
      </c>
      <c r="K369" s="25">
        <v>1</v>
      </c>
      <c r="L369" s="25">
        <v>1</v>
      </c>
      <c r="M369" s="25">
        <v>1</v>
      </c>
      <c r="P369" s="25"/>
    </row>
    <row r="370" spans="3:16">
      <c r="C370" s="22" t="s">
        <v>2033</v>
      </c>
      <c r="D370" t="str">
        <f>VLOOKUP(Table3[[#This Row],[Employee No.]],Table1_1[[Employee No.]:[Employee Name]],2,FALSE)</f>
        <v>CHRISTIN TIARA PANJAITAN</v>
      </c>
      <c r="E370" t="str">
        <f>VLOOKUP(Table3[[#This Row],[Employee No.]],Table1_1[[Employee No.]:[Department]],6,FALSE)</f>
        <v>FVI</v>
      </c>
      <c r="F370" t="str">
        <f>VLOOKUP(Table3[[#This Row],[Employee No.]],Table1_1[[Employee No.]:[Gender]],7,FALSE)</f>
        <v>F</v>
      </c>
      <c r="G370" t="str">
        <f>VLOOKUP(Table3[[#This Row],[Employee No.]],Table1_1[[Employee No.]:[Shift]],9,FALSE)</f>
        <v>SHIFT A</v>
      </c>
      <c r="H370" s="25">
        <v>1</v>
      </c>
      <c r="I370" s="25">
        <v>1</v>
      </c>
      <c r="J370" s="25">
        <v>1</v>
      </c>
      <c r="K370" s="25">
        <v>1</v>
      </c>
      <c r="L370" s="25">
        <v>1</v>
      </c>
      <c r="M370" s="25">
        <v>1</v>
      </c>
    </row>
    <row r="371" spans="3:16">
      <c r="C371" s="22" t="s">
        <v>2035</v>
      </c>
      <c r="D371" t="str">
        <f>VLOOKUP(Table3[[#This Row],[Employee No.]],Table1_1[[Employee No.]:[Employee Name]],2,FALSE)</f>
        <v>DAMAYANTI SILABAN</v>
      </c>
      <c r="E371" t="str">
        <f>VLOOKUP(Table3[[#This Row],[Employee No.]],Table1_1[[Employee No.]:[Department]],6,FALSE)</f>
        <v>FVI</v>
      </c>
      <c r="F371" t="str">
        <f>VLOOKUP(Table3[[#This Row],[Employee No.]],Table1_1[[Employee No.]:[Gender]],7,FALSE)</f>
        <v>F</v>
      </c>
      <c r="G371" t="str">
        <f>VLOOKUP(Table3[[#This Row],[Employee No.]],Table1_1[[Employee No.]:[Shift]],9,FALSE)</f>
        <v>SHIFT B</v>
      </c>
      <c r="H371" s="25">
        <v>1</v>
      </c>
      <c r="I371" s="25">
        <v>1</v>
      </c>
      <c r="J371" s="25">
        <v>1</v>
      </c>
      <c r="K371" s="25">
        <v>1</v>
      </c>
      <c r="L371" s="25">
        <v>1</v>
      </c>
      <c r="M371" s="25">
        <v>1</v>
      </c>
    </row>
    <row r="372" spans="3:16">
      <c r="C372" s="22" t="s">
        <v>2037</v>
      </c>
      <c r="D372" t="str">
        <f>VLOOKUP(Table3[[#This Row],[Employee No.]],Table1_1[[Employee No.]:[Employee Name]],2,FALSE)</f>
        <v>DEMA ANJANI GINTING</v>
      </c>
      <c r="E372" t="str">
        <f>VLOOKUP(Table3[[#This Row],[Employee No.]],Table1_1[[Employee No.]:[Department]],6,FALSE)</f>
        <v>FVI</v>
      </c>
      <c r="F372" t="str">
        <f>VLOOKUP(Table3[[#This Row],[Employee No.]],Table1_1[[Employee No.]:[Gender]],7,FALSE)</f>
        <v>F</v>
      </c>
      <c r="G372" t="str">
        <f>VLOOKUP(Table3[[#This Row],[Employee No.]],Table1_1[[Employee No.]:[Shift]],9,FALSE)</f>
        <v>SHIFT C</v>
      </c>
      <c r="H372" s="25">
        <v>1</v>
      </c>
      <c r="I372" s="25">
        <v>1</v>
      </c>
      <c r="J372" s="25">
        <v>1</v>
      </c>
      <c r="K372" s="25">
        <v>1</v>
      </c>
      <c r="L372" s="25">
        <v>1</v>
      </c>
      <c r="M372" s="25">
        <v>1</v>
      </c>
      <c r="P372" s="25"/>
    </row>
    <row r="373" spans="3:16">
      <c r="C373" s="22" t="s">
        <v>2039</v>
      </c>
      <c r="D373" t="str">
        <f>VLOOKUP(Table3[[#This Row],[Employee No.]],Table1_1[[Employee No.]:[Employee Name]],2,FALSE)</f>
        <v>DEWI OVIANA SIMANGUNSONG</v>
      </c>
      <c r="E373" t="str">
        <f>VLOOKUP(Table3[[#This Row],[Employee No.]],Table1_1[[Employee No.]:[Department]],6,FALSE)</f>
        <v>BBT</v>
      </c>
      <c r="F373" t="str">
        <f>VLOOKUP(Table3[[#This Row],[Employee No.]],Table1_1[[Employee No.]:[Gender]],7,FALSE)</f>
        <v>F</v>
      </c>
      <c r="G373" t="str">
        <f>VLOOKUP(Table3[[#This Row],[Employee No.]],Table1_1[[Employee No.]:[Shift]],9,FALSE)</f>
        <v>SHIFT A</v>
      </c>
      <c r="H373" s="25">
        <v>1</v>
      </c>
      <c r="I373" s="25">
        <v>1</v>
      </c>
      <c r="J373" s="25">
        <v>1</v>
      </c>
      <c r="K373" s="25">
        <v>1</v>
      </c>
      <c r="L373" s="25">
        <v>1</v>
      </c>
      <c r="M373" s="25">
        <v>1</v>
      </c>
    </row>
    <row r="374" spans="3:16">
      <c r="C374" s="22" t="s">
        <v>2041</v>
      </c>
      <c r="D374" t="str">
        <f>VLOOKUP(Table3[[#This Row],[Employee No.]],Table1_1[[Employee No.]:[Employee Name]],2,FALSE)</f>
        <v>ELISABET NOVITA SARI SITANGGANG</v>
      </c>
      <c r="E374" t="str">
        <f>VLOOKUP(Table3[[#This Row],[Employee No.]],Table1_1[[Employee No.]:[Department]],6,FALSE)</f>
        <v>FVI</v>
      </c>
      <c r="F374" t="str">
        <f>VLOOKUP(Table3[[#This Row],[Employee No.]],Table1_1[[Employee No.]:[Gender]],7,FALSE)</f>
        <v>F</v>
      </c>
      <c r="G374" t="str">
        <f>VLOOKUP(Table3[[#This Row],[Employee No.]],Table1_1[[Employee No.]:[Shift]],9,FALSE)</f>
        <v>SHIFT C</v>
      </c>
      <c r="H374" s="25">
        <v>1</v>
      </c>
      <c r="I374" s="25">
        <v>1</v>
      </c>
      <c r="J374" s="25">
        <v>1</v>
      </c>
      <c r="K374" s="25">
        <v>1</v>
      </c>
      <c r="L374" s="25">
        <v>1</v>
      </c>
      <c r="M374" s="25">
        <v>1</v>
      </c>
      <c r="P374" s="25"/>
    </row>
    <row r="375" spans="3:16">
      <c r="C375" s="22" t="s">
        <v>2043</v>
      </c>
      <c r="D375" t="str">
        <f>VLOOKUP(Table3[[#This Row],[Employee No.]],Table1_1[[Employee No.]:[Employee Name]],2,FALSE)</f>
        <v>FANNY SEPTRIANA</v>
      </c>
      <c r="E375" t="str">
        <f>VLOOKUP(Table3[[#This Row],[Employee No.]],Table1_1[[Employee No.]:[Department]],6,FALSE)</f>
        <v>FVI</v>
      </c>
      <c r="F375" t="str">
        <f>VLOOKUP(Table3[[#This Row],[Employee No.]],Table1_1[[Employee No.]:[Gender]],7,FALSE)</f>
        <v>F</v>
      </c>
      <c r="G375" t="str">
        <f>VLOOKUP(Table3[[#This Row],[Employee No.]],Table1_1[[Employee No.]:[Shift]],9,FALSE)</f>
        <v>SHIFT A</v>
      </c>
      <c r="H375" s="25">
        <v>1</v>
      </c>
      <c r="I375" s="25">
        <v>1</v>
      </c>
      <c r="J375" s="25">
        <v>1</v>
      </c>
      <c r="K375" s="25">
        <v>1</v>
      </c>
      <c r="L375" s="25">
        <v>1</v>
      </c>
      <c r="M375" s="25">
        <v>1</v>
      </c>
    </row>
    <row r="376" spans="3:16">
      <c r="C376" s="22" t="s">
        <v>2045</v>
      </c>
      <c r="D376" t="str">
        <f>VLOOKUP(Table3[[#This Row],[Employee No.]],Table1_1[[Employee No.]:[Employee Name]],2,FALSE)</f>
        <v>HADZIZAH SIMANGUNSONG</v>
      </c>
      <c r="E376" t="str">
        <f>VLOOKUP(Table3[[#This Row],[Employee No.]],Table1_1[[Employee No.]:[Department]],6,FALSE)</f>
        <v>FVI</v>
      </c>
      <c r="F376" t="str">
        <f>VLOOKUP(Table3[[#This Row],[Employee No.]],Table1_1[[Employee No.]:[Gender]],7,FALSE)</f>
        <v>F</v>
      </c>
      <c r="G376" t="str">
        <f>VLOOKUP(Table3[[#This Row],[Employee No.]],Table1_1[[Employee No.]:[Shift]],9,FALSE)</f>
        <v>SHIFT B</v>
      </c>
      <c r="H376" s="25">
        <v>1</v>
      </c>
      <c r="I376" s="25">
        <v>1</v>
      </c>
      <c r="J376" s="25">
        <v>1</v>
      </c>
      <c r="K376" s="25">
        <v>1</v>
      </c>
      <c r="L376" s="25">
        <v>1</v>
      </c>
      <c r="M376" s="25">
        <v>1</v>
      </c>
    </row>
    <row r="377" spans="3:16">
      <c r="C377" s="22" t="s">
        <v>2047</v>
      </c>
      <c r="D377" t="str">
        <f>VLOOKUP(Table3[[#This Row],[Employee No.]],Table1_1[[Employee No.]:[Employee Name]],2,FALSE)</f>
        <v>HEPPY MAGDA SITUMORANG</v>
      </c>
      <c r="E377" t="str">
        <f>VLOOKUP(Table3[[#This Row],[Employee No.]],Table1_1[[Employee No.]:[Department]],6,FALSE)</f>
        <v>AOI</v>
      </c>
      <c r="F377" t="str">
        <f>VLOOKUP(Table3[[#This Row],[Employee No.]],Table1_1[[Employee No.]:[Gender]],7,FALSE)</f>
        <v>F</v>
      </c>
      <c r="G377" t="str">
        <f>VLOOKUP(Table3[[#This Row],[Employee No.]],Table1_1[[Employee No.]:[Shift]],9,FALSE)</f>
        <v>SHIFT E</v>
      </c>
      <c r="H377" s="25">
        <v>0</v>
      </c>
      <c r="I377" s="25">
        <v>1</v>
      </c>
      <c r="J377" s="25">
        <v>1</v>
      </c>
      <c r="K377" s="25">
        <v>1</v>
      </c>
      <c r="L377" s="25">
        <v>1</v>
      </c>
      <c r="M377" s="25">
        <v>1</v>
      </c>
    </row>
    <row r="378" spans="3:16">
      <c r="C378" s="22" t="s">
        <v>2049</v>
      </c>
      <c r="D378" t="str">
        <f>VLOOKUP(Table3[[#This Row],[Employee No.]],Table1_1[[Employee No.]:[Employee Name]],2,FALSE)</f>
        <v>HERMAYANA</v>
      </c>
      <c r="E378" t="str">
        <f>VLOOKUP(Table3[[#This Row],[Employee No.]],Table1_1[[Employee No.]:[Department]],6,FALSE)</f>
        <v>FVI</v>
      </c>
      <c r="F378" t="str">
        <f>VLOOKUP(Table3[[#This Row],[Employee No.]],Table1_1[[Employee No.]:[Gender]],7,FALSE)</f>
        <v>F</v>
      </c>
      <c r="G378" t="str">
        <f>VLOOKUP(Table3[[#This Row],[Employee No.]],Table1_1[[Employee No.]:[Shift]],9,FALSE)</f>
        <v>SHIFT A</v>
      </c>
      <c r="H378" s="25">
        <v>1</v>
      </c>
      <c r="I378" s="25">
        <v>1</v>
      </c>
      <c r="J378" s="25">
        <v>1</v>
      </c>
      <c r="K378" s="25">
        <v>0</v>
      </c>
      <c r="L378" s="25">
        <v>0</v>
      </c>
      <c r="M378" s="25">
        <v>1</v>
      </c>
    </row>
    <row r="379" spans="3:16">
      <c r="C379" s="22" t="s">
        <v>2051</v>
      </c>
      <c r="D379" t="str">
        <f>VLOOKUP(Table3[[#This Row],[Employee No.]],Table1_1[[Employee No.]:[Employee Name]],2,FALSE)</f>
        <v>HERTIKA SILALAHI</v>
      </c>
      <c r="E379" t="str">
        <f>VLOOKUP(Table3[[#This Row],[Employee No.]],Table1_1[[Employee No.]:[Department]],6,FALSE)</f>
        <v>BBT</v>
      </c>
      <c r="F379" t="str">
        <f>VLOOKUP(Table3[[#This Row],[Employee No.]],Table1_1[[Employee No.]:[Gender]],7,FALSE)</f>
        <v>F</v>
      </c>
      <c r="G379" t="str">
        <f>VLOOKUP(Table3[[#This Row],[Employee No.]],Table1_1[[Employee No.]:[Shift]],9,FALSE)</f>
        <v>SHIFT E</v>
      </c>
      <c r="H379" s="25">
        <v>0</v>
      </c>
      <c r="I379" s="25">
        <v>1</v>
      </c>
      <c r="J379" s="25">
        <v>1</v>
      </c>
      <c r="K379" s="25">
        <v>0</v>
      </c>
      <c r="L379" s="25">
        <v>0</v>
      </c>
      <c r="M379" s="25">
        <v>1</v>
      </c>
    </row>
    <row r="380" spans="3:16">
      <c r="C380" s="22" t="s">
        <v>2053</v>
      </c>
      <c r="D380" t="str">
        <f>VLOOKUP(Table3[[#This Row],[Employee No.]],Table1_1[[Employee No.]:[Employee Name]],2,FALSE)</f>
        <v>HOTNITA LUMBANGAOL</v>
      </c>
      <c r="E380" t="str">
        <f>VLOOKUP(Table3[[#This Row],[Employee No.]],Table1_1[[Employee No.]:[Department]],6,FALSE)</f>
        <v>FVI</v>
      </c>
      <c r="F380" t="str">
        <f>VLOOKUP(Table3[[#This Row],[Employee No.]],Table1_1[[Employee No.]:[Gender]],7,FALSE)</f>
        <v>F</v>
      </c>
      <c r="G380" t="str">
        <f>VLOOKUP(Table3[[#This Row],[Employee No.]],Table1_1[[Employee No.]:[Shift]],9,FALSE)</f>
        <v>SHIFT C</v>
      </c>
      <c r="H380" s="25">
        <v>1</v>
      </c>
      <c r="I380" s="25">
        <v>1</v>
      </c>
      <c r="J380" s="25">
        <v>1</v>
      </c>
      <c r="K380" s="25">
        <v>1</v>
      </c>
      <c r="L380" s="25">
        <v>1</v>
      </c>
      <c r="M380" s="25">
        <v>1</v>
      </c>
      <c r="P380" s="25"/>
    </row>
    <row r="381" spans="3:16">
      <c r="C381" s="22" t="s">
        <v>2055</v>
      </c>
      <c r="D381" t="str">
        <f>VLOOKUP(Table3[[#This Row],[Employee No.]],Table1_1[[Employee No.]:[Employee Name]],2,FALSE)</f>
        <v>IRMAWATI</v>
      </c>
      <c r="E381" t="str">
        <f>VLOOKUP(Table3[[#This Row],[Employee No.]],Table1_1[[Employee No.]:[Department]],6,FALSE)</f>
        <v>BBT</v>
      </c>
      <c r="F381" t="str">
        <f>VLOOKUP(Table3[[#This Row],[Employee No.]],Table1_1[[Employee No.]:[Gender]],7,FALSE)</f>
        <v>F</v>
      </c>
      <c r="G381" t="str">
        <f>VLOOKUP(Table3[[#This Row],[Employee No.]],Table1_1[[Employee No.]:[Shift]],9,FALSE)</f>
        <v>SHIFT C</v>
      </c>
      <c r="H381" s="25">
        <v>1</v>
      </c>
      <c r="I381" s="25">
        <v>1</v>
      </c>
      <c r="J381" s="25">
        <v>1</v>
      </c>
      <c r="K381" s="25">
        <v>1</v>
      </c>
      <c r="L381" s="25">
        <v>1</v>
      </c>
      <c r="M381" s="25">
        <v>1</v>
      </c>
      <c r="P381" s="25"/>
    </row>
    <row r="382" spans="3:16">
      <c r="C382" s="22" t="s">
        <v>2058</v>
      </c>
      <c r="D382" t="str">
        <f>VLOOKUP(Table3[[#This Row],[Employee No.]],Table1_1[[Employee No.]:[Employee Name]],2,FALSE)</f>
        <v>KRISTINA NABABAN</v>
      </c>
      <c r="E382" t="str">
        <f>VLOOKUP(Table3[[#This Row],[Employee No.]],Table1_1[[Employee No.]:[Department]],6,FALSE)</f>
        <v>FVI</v>
      </c>
      <c r="F382" t="str">
        <f>VLOOKUP(Table3[[#This Row],[Employee No.]],Table1_1[[Employee No.]:[Gender]],7,FALSE)</f>
        <v>F</v>
      </c>
      <c r="G382" t="str">
        <f>VLOOKUP(Table3[[#This Row],[Employee No.]],Table1_1[[Employee No.]:[Shift]],9,FALSE)</f>
        <v>SHIFT B</v>
      </c>
      <c r="H382" s="25">
        <v>1</v>
      </c>
      <c r="I382" s="25">
        <v>1</v>
      </c>
      <c r="J382" s="25">
        <v>1</v>
      </c>
      <c r="K382" s="25">
        <v>1</v>
      </c>
      <c r="L382" s="25">
        <v>1</v>
      </c>
      <c r="M382" s="25">
        <v>1</v>
      </c>
    </row>
    <row r="383" spans="3:16">
      <c r="C383" s="22" t="s">
        <v>2060</v>
      </c>
      <c r="D383" t="str">
        <f>VLOOKUP(Table3[[#This Row],[Employee No.]],Table1_1[[Employee No.]:[Employee Name]],2,FALSE)</f>
        <v>LISDAWATI PARAPAT</v>
      </c>
      <c r="E383" t="str">
        <f>VLOOKUP(Table3[[#This Row],[Employee No.]],Table1_1[[Employee No.]:[Department]],6,FALSE)</f>
        <v>FVI</v>
      </c>
      <c r="F383" t="str">
        <f>VLOOKUP(Table3[[#This Row],[Employee No.]],Table1_1[[Employee No.]:[Gender]],7,FALSE)</f>
        <v>F</v>
      </c>
      <c r="G383" t="str">
        <f>VLOOKUP(Table3[[#This Row],[Employee No.]],Table1_1[[Employee No.]:[Shift]],9,FALSE)</f>
        <v>SHIFT C</v>
      </c>
      <c r="H383" s="25">
        <v>1</v>
      </c>
      <c r="I383" s="25">
        <v>1</v>
      </c>
      <c r="J383" s="25">
        <v>1</v>
      </c>
      <c r="K383" s="25">
        <v>1</v>
      </c>
      <c r="L383" s="25">
        <v>1</v>
      </c>
      <c r="M383" s="25">
        <v>1</v>
      </c>
      <c r="P383" s="25"/>
    </row>
    <row r="384" spans="3:16">
      <c r="C384" s="22" t="s">
        <v>2062</v>
      </c>
      <c r="D384" t="str">
        <f>VLOOKUP(Table3[[#This Row],[Employee No.]],Table1_1[[Employee No.]:[Employee Name]],2,FALSE)</f>
        <v>MARIA FITRI RAJAGUKGUK</v>
      </c>
      <c r="E384" t="str">
        <f>VLOOKUP(Table3[[#This Row],[Employee No.]],Table1_1[[Employee No.]:[Department]],6,FALSE)</f>
        <v>FVI</v>
      </c>
      <c r="F384" t="str">
        <f>VLOOKUP(Table3[[#This Row],[Employee No.]],Table1_1[[Employee No.]:[Gender]],7,FALSE)</f>
        <v>F</v>
      </c>
      <c r="G384" t="str">
        <f>VLOOKUP(Table3[[#This Row],[Employee No.]],Table1_1[[Employee No.]:[Shift]],9,FALSE)</f>
        <v>SHIFT B</v>
      </c>
      <c r="H384" s="25">
        <v>1</v>
      </c>
      <c r="I384" s="25">
        <v>1</v>
      </c>
      <c r="J384" s="25">
        <v>1</v>
      </c>
      <c r="K384" s="25">
        <v>1</v>
      </c>
      <c r="L384" s="25">
        <v>1</v>
      </c>
      <c r="M384" s="25">
        <v>1</v>
      </c>
    </row>
    <row r="385" spans="3:16">
      <c r="C385" s="22" t="s">
        <v>2064</v>
      </c>
      <c r="D385" t="str">
        <f>VLOOKUP(Table3[[#This Row],[Employee No.]],Table1_1[[Employee No.]:[Employee Name]],2,FALSE)</f>
        <v>NOVRITA SIANTURI</v>
      </c>
      <c r="E385" t="str">
        <f>VLOOKUP(Table3[[#This Row],[Employee No.]],Table1_1[[Employee No.]:[Department]],6,FALSE)</f>
        <v>FVI</v>
      </c>
      <c r="F385" t="str">
        <f>VLOOKUP(Table3[[#This Row],[Employee No.]],Table1_1[[Employee No.]:[Gender]],7,FALSE)</f>
        <v>F</v>
      </c>
      <c r="G385" t="str">
        <f>VLOOKUP(Table3[[#This Row],[Employee No.]],Table1_1[[Employee No.]:[Shift]],9,FALSE)</f>
        <v>SHIFT A</v>
      </c>
      <c r="H385" s="25">
        <v>1</v>
      </c>
      <c r="I385" s="25">
        <v>1</v>
      </c>
      <c r="J385" s="25">
        <v>1</v>
      </c>
      <c r="K385" s="25">
        <v>1</v>
      </c>
      <c r="L385" s="25">
        <v>1</v>
      </c>
      <c r="M385" s="25">
        <v>1</v>
      </c>
    </row>
    <row r="386" spans="3:16">
      <c r="C386" s="22" t="s">
        <v>2066</v>
      </c>
      <c r="D386" t="str">
        <f>VLOOKUP(Table3[[#This Row],[Employee No.]],Table1_1[[Employee No.]:[Employee Name]],2,FALSE)</f>
        <v>RATNA SARI TOGATOROP</v>
      </c>
      <c r="E386" t="str">
        <f>VLOOKUP(Table3[[#This Row],[Employee No.]],Table1_1[[Employee No.]:[Department]],6,FALSE)</f>
        <v>CHAMFER</v>
      </c>
      <c r="F386" t="str">
        <f>VLOOKUP(Table3[[#This Row],[Employee No.]],Table1_1[[Employee No.]:[Gender]],7,FALSE)</f>
        <v>F</v>
      </c>
      <c r="G386" t="str">
        <f>VLOOKUP(Table3[[#This Row],[Employee No.]],Table1_1[[Employee No.]:[Shift]],9,FALSE)</f>
        <v>SHIFT C</v>
      </c>
      <c r="H386" s="25">
        <v>1</v>
      </c>
      <c r="I386" s="25">
        <v>1</v>
      </c>
      <c r="J386" s="25">
        <v>1</v>
      </c>
      <c r="K386" s="25">
        <v>1</v>
      </c>
      <c r="L386" s="25">
        <v>1</v>
      </c>
      <c r="M386" s="25">
        <v>1</v>
      </c>
      <c r="P386" s="25"/>
    </row>
    <row r="387" spans="3:16">
      <c r="C387" s="22" t="s">
        <v>2068</v>
      </c>
      <c r="D387" t="str">
        <f>VLOOKUP(Table3[[#This Row],[Employee No.]],Table1_1[[Employee No.]:[Employee Name]],2,FALSE)</f>
        <v>VENTI WINDA SINAGA</v>
      </c>
      <c r="E387" t="str">
        <f>VLOOKUP(Table3[[#This Row],[Employee No.]],Table1_1[[Employee No.]:[Department]],6,FALSE)</f>
        <v>FVI</v>
      </c>
      <c r="F387" t="str">
        <f>VLOOKUP(Table3[[#This Row],[Employee No.]],Table1_1[[Employee No.]:[Gender]],7,FALSE)</f>
        <v>F</v>
      </c>
      <c r="G387" t="str">
        <f>VLOOKUP(Table3[[#This Row],[Employee No.]],Table1_1[[Employee No.]:[Shift]],9,FALSE)</f>
        <v>SHIFT B</v>
      </c>
      <c r="H387" s="25">
        <v>1</v>
      </c>
      <c r="I387" s="25">
        <v>1</v>
      </c>
      <c r="J387" s="25">
        <v>1</v>
      </c>
      <c r="K387" s="25">
        <v>1</v>
      </c>
      <c r="L387" s="25">
        <v>1</v>
      </c>
      <c r="M387" s="25">
        <v>1</v>
      </c>
    </row>
    <row r="388" spans="3:16">
      <c r="C388" s="22" t="s">
        <v>2070</v>
      </c>
      <c r="D388" t="str">
        <f>VLOOKUP(Table3[[#This Row],[Employee No.]],Table1_1[[Employee No.]:[Employee Name]],2,FALSE)</f>
        <v>YESIKA LAVINA ZALUKKHU</v>
      </c>
      <c r="E388" t="str">
        <f>VLOOKUP(Table3[[#This Row],[Employee No.]],Table1_1[[Employee No.]:[Department]],6,FALSE)</f>
        <v>FVI</v>
      </c>
      <c r="F388" t="str">
        <f>VLOOKUP(Table3[[#This Row],[Employee No.]],Table1_1[[Employee No.]:[Gender]],7,FALSE)</f>
        <v>F</v>
      </c>
      <c r="G388" t="str">
        <f>VLOOKUP(Table3[[#This Row],[Employee No.]],Table1_1[[Employee No.]:[Shift]],9,FALSE)</f>
        <v>SHIFT A</v>
      </c>
      <c r="H388" s="25">
        <v>1</v>
      </c>
      <c r="I388" s="25">
        <v>1</v>
      </c>
      <c r="J388" s="25">
        <v>1</v>
      </c>
      <c r="K388" s="25">
        <v>1</v>
      </c>
      <c r="L388" s="25">
        <v>1</v>
      </c>
      <c r="M388" s="25">
        <v>1</v>
      </c>
    </row>
    <row r="389" spans="3:16">
      <c r="C389" s="22" t="s">
        <v>2072</v>
      </c>
      <c r="D389" t="str">
        <f>VLOOKUP(Table3[[#This Row],[Employee No.]],Table1_1[[Employee No.]:[Employee Name]],2,FALSE)</f>
        <v>JALALUDDIN BIN JOHARI</v>
      </c>
      <c r="E389" t="str">
        <f>VLOOKUP(Table3[[#This Row],[Employee No.]],Table1_1[[Employee No.]:[Department]],6,FALSE)</f>
        <v>ENVIRONMENT</v>
      </c>
      <c r="F389" t="str">
        <f>VLOOKUP(Table3[[#This Row],[Employee No.]],Table1_1[[Employee No.]:[Gender]],7,FALSE)</f>
        <v>M</v>
      </c>
      <c r="G389" t="str">
        <f>VLOOKUP(Table3[[#This Row],[Employee No.]],Table1_1[[Employee No.]:[Shift]],9,FALSE)</f>
        <v>SHIFT B</v>
      </c>
      <c r="H389" s="25">
        <v>1</v>
      </c>
      <c r="I389" s="25">
        <v>1</v>
      </c>
      <c r="J389" s="25">
        <v>1</v>
      </c>
      <c r="K389" s="25">
        <v>1</v>
      </c>
      <c r="L389" s="25">
        <v>1</v>
      </c>
      <c r="M389" s="25">
        <v>1</v>
      </c>
    </row>
    <row r="390" spans="3:16">
      <c r="C390" s="22" t="s">
        <v>2076</v>
      </c>
      <c r="D390" t="str">
        <f>VLOOKUP(Table3[[#This Row],[Employee No.]],Table1_1[[Employee No.]:[Employee Name]],2,FALSE)</f>
        <v>MUHAMAD SYAHMI BIN CHE YUSOFF</v>
      </c>
      <c r="E390" t="str">
        <f>VLOOKUP(Table3[[#This Row],[Employee No.]],Table1_1[[Employee No.]:[Department]],6,FALSE)</f>
        <v>QUALITY</v>
      </c>
      <c r="F390" t="str">
        <f>VLOOKUP(Table3[[#This Row],[Employee No.]],Table1_1[[Employee No.]:[Gender]],7,FALSE)</f>
        <v>M</v>
      </c>
      <c r="G390" t="str">
        <f>VLOOKUP(Table3[[#This Row],[Employee No.]],Table1_1[[Employee No.]:[Shift]],9,FALSE)</f>
        <v>SHIFT C</v>
      </c>
      <c r="H390" s="25">
        <v>1</v>
      </c>
      <c r="I390" s="25">
        <v>1</v>
      </c>
      <c r="J390" s="25">
        <v>1</v>
      </c>
      <c r="K390" s="25">
        <v>1</v>
      </c>
      <c r="L390" s="25">
        <v>1</v>
      </c>
      <c r="M390" s="25">
        <v>1</v>
      </c>
    </row>
    <row r="391" spans="3:16">
      <c r="C391" s="22" t="s">
        <v>2080</v>
      </c>
      <c r="D391" t="str">
        <f>VLOOKUP(Table3[[#This Row],[Employee No.]],Table1_1[[Employee No.]:[Employee Name]],2,FALSE)</f>
        <v>UMMUL NOORSOLEHAH BINTI ABDUL AZIZ</v>
      </c>
      <c r="E391" t="str">
        <f>VLOOKUP(Table3[[#This Row],[Employee No.]],Table1_1[[Employee No.]:[Department]],6,FALSE)</f>
        <v>QUALITY</v>
      </c>
      <c r="F391" t="str">
        <f>VLOOKUP(Table3[[#This Row],[Employee No.]],Table1_1[[Employee No.]:[Gender]],7,FALSE)</f>
        <v>F</v>
      </c>
      <c r="G391" t="str">
        <f>VLOOKUP(Table3[[#This Row],[Employee No.]],Table1_1[[Employee No.]:[Shift]],9,FALSE)</f>
        <v>SHIFT A</v>
      </c>
      <c r="H391" s="25">
        <v>1</v>
      </c>
      <c r="I391" s="25">
        <v>1</v>
      </c>
      <c r="J391" s="25">
        <v>1</v>
      </c>
      <c r="K391" s="25">
        <v>1</v>
      </c>
      <c r="L391" s="25">
        <v>1</v>
      </c>
      <c r="M391" s="25">
        <v>1</v>
      </c>
    </row>
    <row r="392" spans="3:16">
      <c r="C392" s="22" t="s">
        <v>2084</v>
      </c>
      <c r="D392" t="str">
        <f>VLOOKUP(Table3[[#This Row],[Employee No.]],Table1_1[[Employee No.]:[Employee Name]],2,FALSE)</f>
        <v>AMAN RAJ</v>
      </c>
      <c r="E392" t="str">
        <f>VLOOKUP(Table3[[#This Row],[Employee No.]],Table1_1[[Employee No.]:[Department]],6,FALSE)</f>
        <v>DRILL</v>
      </c>
      <c r="F392" t="str">
        <f>VLOOKUP(Table3[[#This Row],[Employee No.]],Table1_1[[Employee No.]:[Gender]],7,FALSE)</f>
        <v>M</v>
      </c>
      <c r="G392" t="str">
        <f>VLOOKUP(Table3[[#This Row],[Employee No.]],Table1_1[[Employee No.]:[Shift]],9,FALSE)</f>
        <v>SHIFT B</v>
      </c>
      <c r="H392" s="25">
        <v>1</v>
      </c>
      <c r="I392" s="25">
        <v>1</v>
      </c>
      <c r="J392" s="25">
        <v>1</v>
      </c>
      <c r="K392" s="25">
        <v>1</v>
      </c>
      <c r="L392" s="25">
        <v>1</v>
      </c>
      <c r="M392" s="25">
        <v>1</v>
      </c>
    </row>
    <row r="393" spans="3:16">
      <c r="C393" s="22" t="s">
        <v>2086</v>
      </c>
      <c r="D393" t="str">
        <f>VLOOKUP(Table3[[#This Row],[Employee No.]],Table1_1[[Employee No.]:[Employee Name]],2,FALSE)</f>
        <v>ANAND MEHATA</v>
      </c>
      <c r="E393" t="str">
        <f>VLOOKUP(Table3[[#This Row],[Employee No.]],Table1_1[[Employee No.]:[Department]],6,FALSE)</f>
        <v>AU</v>
      </c>
      <c r="F393" t="str">
        <f>VLOOKUP(Table3[[#This Row],[Employee No.]],Table1_1[[Employee No.]:[Gender]],7,FALSE)</f>
        <v>M</v>
      </c>
      <c r="G393" t="str">
        <f>VLOOKUP(Table3[[#This Row],[Employee No.]],Table1_1[[Employee No.]:[Shift]],9,FALSE)</f>
        <v>SHIFT C</v>
      </c>
      <c r="H393" s="25">
        <v>1</v>
      </c>
      <c r="I393" s="25">
        <v>1</v>
      </c>
      <c r="J393" s="25">
        <v>1</v>
      </c>
      <c r="K393" s="25">
        <v>1</v>
      </c>
      <c r="L393" s="25">
        <v>1</v>
      </c>
      <c r="M393" s="25">
        <v>1</v>
      </c>
      <c r="P393" s="25"/>
    </row>
    <row r="394" spans="3:16">
      <c r="C394" s="22" t="s">
        <v>2088</v>
      </c>
      <c r="D394" t="str">
        <f>VLOOKUP(Table3[[#This Row],[Employee No.]],Table1_1[[Employee No.]:[Employee Name]],2,FALSE)</f>
        <v>ANJAN YONGHANG</v>
      </c>
      <c r="E394" t="str">
        <f>VLOOKUP(Table3[[#This Row],[Employee No.]],Table1_1[[Employee No.]:[Department]],6,FALSE)</f>
        <v>BBT</v>
      </c>
      <c r="F394" t="str">
        <f>VLOOKUP(Table3[[#This Row],[Employee No.]],Table1_1[[Employee No.]:[Gender]],7,FALSE)</f>
        <v>M</v>
      </c>
      <c r="G394" t="str">
        <f>VLOOKUP(Table3[[#This Row],[Employee No.]],Table1_1[[Employee No.]:[Shift]],9,FALSE)</f>
        <v>SHIFT A</v>
      </c>
      <c r="H394" s="25">
        <v>1</v>
      </c>
      <c r="I394" s="25">
        <v>1</v>
      </c>
      <c r="J394" s="25">
        <v>1</v>
      </c>
      <c r="K394" s="25">
        <v>1</v>
      </c>
      <c r="L394" s="25">
        <v>1</v>
      </c>
      <c r="M394" s="25">
        <v>1</v>
      </c>
    </row>
    <row r="395" spans="3:16">
      <c r="C395" s="22" t="s">
        <v>2090</v>
      </c>
      <c r="D395" t="str">
        <f>VLOOKUP(Table3[[#This Row],[Employee No.]],Table1_1[[Employee No.]:[Employee Name]],2,FALSE)</f>
        <v>ASHOK KUMAR GODHI</v>
      </c>
      <c r="E395" t="str">
        <f>VLOOKUP(Table3[[#This Row],[Employee No.]],Table1_1[[Employee No.]:[Department]],6,FALSE)</f>
        <v>SM</v>
      </c>
      <c r="F395" t="str">
        <f>VLOOKUP(Table3[[#This Row],[Employee No.]],Table1_1[[Employee No.]:[Gender]],7,FALSE)</f>
        <v>M</v>
      </c>
      <c r="G395" t="str">
        <f>VLOOKUP(Table3[[#This Row],[Employee No.]],Table1_1[[Employee No.]:[Shift]],9,FALSE)</f>
        <v>SHIFT B</v>
      </c>
      <c r="H395" s="25">
        <v>1</v>
      </c>
      <c r="I395" s="25">
        <v>1</v>
      </c>
      <c r="J395" s="25">
        <v>1</v>
      </c>
      <c r="K395" s="25">
        <v>1</v>
      </c>
      <c r="L395" s="25">
        <v>1</v>
      </c>
      <c r="M395" s="25">
        <v>1</v>
      </c>
    </row>
    <row r="396" spans="3:16">
      <c r="C396" s="22" t="s">
        <v>2092</v>
      </c>
      <c r="D396" t="str">
        <f>VLOOKUP(Table3[[#This Row],[Employee No.]],Table1_1[[Employee No.]:[Employee Name]],2,FALSE)</f>
        <v>BAIJNATH SINGH</v>
      </c>
      <c r="E396" t="str">
        <f>VLOOKUP(Table3[[#This Row],[Employee No.]],Table1_1[[Employee No.]:[Department]],6,FALSE)</f>
        <v>BBT</v>
      </c>
      <c r="F396" t="str">
        <f>VLOOKUP(Table3[[#This Row],[Employee No.]],Table1_1[[Employee No.]:[Gender]],7,FALSE)</f>
        <v>M</v>
      </c>
      <c r="G396" t="str">
        <f>VLOOKUP(Table3[[#This Row],[Employee No.]],Table1_1[[Employee No.]:[Shift]],9,FALSE)</f>
        <v>SHIFT C</v>
      </c>
      <c r="H396" s="25">
        <v>1</v>
      </c>
      <c r="I396" s="25">
        <v>1</v>
      </c>
      <c r="J396" s="25">
        <v>1</v>
      </c>
      <c r="K396" s="25">
        <v>1</v>
      </c>
      <c r="L396" s="25">
        <v>1</v>
      </c>
      <c r="M396" s="25">
        <v>1</v>
      </c>
      <c r="P396" s="25"/>
    </row>
    <row r="397" spans="3:16">
      <c r="C397" s="22" t="s">
        <v>2094</v>
      </c>
      <c r="D397" t="str">
        <f>VLOOKUP(Table3[[#This Row],[Employee No.]],Table1_1[[Employee No.]:[Employee Name]],2,FALSE)</f>
        <v>BET BAHADUR THAPA MAGAR</v>
      </c>
      <c r="E397" t="str">
        <f>VLOOKUP(Table3[[#This Row],[Employee No.]],Table1_1[[Employee No.]:[Department]],6,FALSE)</f>
        <v>CU</v>
      </c>
      <c r="F397" t="str">
        <f>VLOOKUP(Table3[[#This Row],[Employee No.]],Table1_1[[Employee No.]:[Gender]],7,FALSE)</f>
        <v>M</v>
      </c>
      <c r="G397" t="str">
        <f>VLOOKUP(Table3[[#This Row],[Employee No.]],Table1_1[[Employee No.]:[Shift]],9,FALSE)</f>
        <v>SHIFT B</v>
      </c>
      <c r="H397" s="25">
        <v>1</v>
      </c>
      <c r="I397" s="25">
        <v>1</v>
      </c>
      <c r="J397" s="25">
        <v>1</v>
      </c>
      <c r="K397" s="25">
        <v>1</v>
      </c>
      <c r="L397" s="25">
        <v>1</v>
      </c>
      <c r="M397" s="25">
        <v>1</v>
      </c>
    </row>
    <row r="398" spans="3:16">
      <c r="C398" s="22" t="s">
        <v>2096</v>
      </c>
      <c r="D398" t="str">
        <f>VLOOKUP(Table3[[#This Row],[Employee No.]],Table1_1[[Employee No.]:[Employee Name]],2,FALSE)</f>
        <v>BHOGENDRA MANDAL</v>
      </c>
      <c r="E398" t="str">
        <f>VLOOKUP(Table3[[#This Row],[Employee No.]],Table1_1[[Employee No.]:[Department]],6,FALSE)</f>
        <v>SM</v>
      </c>
      <c r="F398" t="str">
        <f>VLOOKUP(Table3[[#This Row],[Employee No.]],Table1_1[[Employee No.]:[Gender]],7,FALSE)</f>
        <v>M</v>
      </c>
      <c r="G398" t="str">
        <f>VLOOKUP(Table3[[#This Row],[Employee No.]],Table1_1[[Employee No.]:[Shift]],9,FALSE)</f>
        <v>SHIFT C</v>
      </c>
      <c r="H398" s="25">
        <v>1</v>
      </c>
      <c r="I398" s="25">
        <v>1</v>
      </c>
      <c r="J398" s="25">
        <v>1</v>
      </c>
      <c r="K398" s="25">
        <v>1</v>
      </c>
      <c r="L398" s="25">
        <v>1</v>
      </c>
      <c r="M398" s="25">
        <v>1</v>
      </c>
      <c r="P398" s="25"/>
    </row>
    <row r="399" spans="3:16">
      <c r="C399" s="22" t="s">
        <v>2098</v>
      </c>
      <c r="D399" t="str">
        <f>VLOOKUP(Table3[[#This Row],[Employee No.]],Table1_1[[Employee No.]:[Employee Name]],2,FALSE)</f>
        <v>BIDYANAND SAH</v>
      </c>
      <c r="E399" t="str">
        <f>VLOOKUP(Table3[[#This Row],[Employee No.]],Table1_1[[Employee No.]:[Department]],6,FALSE)</f>
        <v>DRILL</v>
      </c>
      <c r="F399" t="str">
        <f>VLOOKUP(Table3[[#This Row],[Employee No.]],Table1_1[[Employee No.]:[Gender]],7,FALSE)</f>
        <v>M</v>
      </c>
      <c r="G399" t="str">
        <f>VLOOKUP(Table3[[#This Row],[Employee No.]],Table1_1[[Employee No.]:[Shift]],9,FALSE)</f>
        <v>SHIFT B</v>
      </c>
      <c r="H399" s="25">
        <v>1</v>
      </c>
      <c r="I399" s="25">
        <v>1</v>
      </c>
      <c r="J399" s="25">
        <v>1</v>
      </c>
      <c r="K399" s="25">
        <v>1</v>
      </c>
      <c r="L399" s="25">
        <v>1</v>
      </c>
      <c r="M399" s="25">
        <v>1</v>
      </c>
    </row>
    <row r="400" spans="3:16">
      <c r="C400" s="22" t="s">
        <v>2100</v>
      </c>
      <c r="D400" t="str">
        <f>VLOOKUP(Table3[[#This Row],[Employee No.]],Table1_1[[Employee No.]:[Employee Name]],2,FALSE)</f>
        <v>BISHAL KUMAR BHAGAT</v>
      </c>
      <c r="E400" t="str">
        <f>VLOOKUP(Table3[[#This Row],[Employee No.]],Table1_1[[Employee No.]:[Department]],6,FALSE)</f>
        <v>SM</v>
      </c>
      <c r="F400" t="str">
        <f>VLOOKUP(Table3[[#This Row],[Employee No.]],Table1_1[[Employee No.]:[Gender]],7,FALSE)</f>
        <v>M</v>
      </c>
      <c r="G400" t="str">
        <f>VLOOKUP(Table3[[#This Row],[Employee No.]],Table1_1[[Employee No.]:[Shift]],9,FALSE)</f>
        <v>SHIFT C</v>
      </c>
      <c r="H400" s="25">
        <v>1</v>
      </c>
      <c r="I400" s="25">
        <v>1</v>
      </c>
      <c r="J400" s="25">
        <v>1</v>
      </c>
      <c r="K400" s="25">
        <v>1</v>
      </c>
      <c r="L400" s="25">
        <v>1</v>
      </c>
      <c r="M400" s="25">
        <v>1</v>
      </c>
      <c r="P400" s="25"/>
    </row>
    <row r="401" spans="3:16">
      <c r="C401" s="22" t="s">
        <v>2102</v>
      </c>
      <c r="D401" t="str">
        <f>VLOOKUP(Table3[[#This Row],[Employee No.]],Table1_1[[Employee No.]:[Employee Name]],2,FALSE)</f>
        <v>BISHNU BHATTARAI</v>
      </c>
      <c r="E401" t="str">
        <f>VLOOKUP(Table3[[#This Row],[Employee No.]],Table1_1[[Employee No.]:[Department]],6,FALSE)</f>
        <v>CU</v>
      </c>
      <c r="F401" t="str">
        <f>VLOOKUP(Table3[[#This Row],[Employee No.]],Table1_1[[Employee No.]:[Gender]],7,FALSE)</f>
        <v>M</v>
      </c>
      <c r="G401" t="str">
        <f>VLOOKUP(Table3[[#This Row],[Employee No.]],Table1_1[[Employee No.]:[Shift]],9,FALSE)</f>
        <v>SHIFT C</v>
      </c>
      <c r="H401" s="25">
        <v>1</v>
      </c>
      <c r="I401" s="25">
        <v>1</v>
      </c>
      <c r="J401" s="25">
        <v>1</v>
      </c>
      <c r="K401" s="25">
        <v>1</v>
      </c>
      <c r="L401" s="25">
        <v>1</v>
      </c>
      <c r="M401" s="25">
        <v>1</v>
      </c>
      <c r="P401" s="25"/>
    </row>
    <row r="402" spans="3:16">
      <c r="C402" s="22" t="s">
        <v>2104</v>
      </c>
      <c r="D402" t="str">
        <f>VLOOKUP(Table3[[#This Row],[Employee No.]],Table1_1[[Employee No.]:[Employee Name]],2,FALSE)</f>
        <v>BISNU PAL</v>
      </c>
      <c r="E402" t="str">
        <f>VLOOKUP(Table3[[#This Row],[Employee No.]],Table1_1[[Employee No.]:[Department]],6,FALSE)</f>
        <v>DF</v>
      </c>
      <c r="F402" t="str">
        <f>VLOOKUP(Table3[[#This Row],[Employee No.]],Table1_1[[Employee No.]:[Gender]],7,FALSE)</f>
        <v>M</v>
      </c>
      <c r="G402" t="str">
        <f>VLOOKUP(Table3[[#This Row],[Employee No.]],Table1_1[[Employee No.]:[Shift]],9,FALSE)</f>
        <v>SHIFT B</v>
      </c>
      <c r="H402" s="25">
        <v>1</v>
      </c>
      <c r="I402" s="25">
        <v>1</v>
      </c>
      <c r="J402" s="25">
        <v>1</v>
      </c>
      <c r="K402" s="25">
        <v>1</v>
      </c>
      <c r="L402" s="25">
        <v>1</v>
      </c>
      <c r="M402" s="25">
        <v>1</v>
      </c>
    </row>
    <row r="403" spans="3:16">
      <c r="C403" s="22" t="s">
        <v>2106</v>
      </c>
      <c r="D403" t="str">
        <f>VLOOKUP(Table3[[#This Row],[Employee No.]],Table1_1[[Employee No.]:[Employee Name]],2,FALSE)</f>
        <v>CHANDRA BAHADUR BISHOWKARMA</v>
      </c>
      <c r="E403" t="str">
        <f>VLOOKUP(Table3[[#This Row],[Employee No.]],Table1_1[[Employee No.]:[Department]],6,FALSE)</f>
        <v>SM</v>
      </c>
      <c r="F403" t="str">
        <f>VLOOKUP(Table3[[#This Row],[Employee No.]],Table1_1[[Employee No.]:[Gender]],7,FALSE)</f>
        <v>M</v>
      </c>
      <c r="G403" t="str">
        <f>VLOOKUP(Table3[[#This Row],[Employee No.]],Table1_1[[Employee No.]:[Shift]],9,FALSE)</f>
        <v>SHIFT C</v>
      </c>
      <c r="H403" s="25">
        <v>1</v>
      </c>
      <c r="I403" s="25">
        <v>1</v>
      </c>
      <c r="J403" s="25">
        <v>1</v>
      </c>
      <c r="K403" s="25">
        <v>1</v>
      </c>
      <c r="L403" s="25">
        <v>1</v>
      </c>
      <c r="M403" s="25">
        <v>1</v>
      </c>
      <c r="P403" s="25"/>
    </row>
    <row r="404" spans="3:16">
      <c r="C404" s="22" t="s">
        <v>2108</v>
      </c>
      <c r="D404" t="str">
        <f>VLOOKUP(Table3[[#This Row],[Employee No.]],Table1_1[[Employee No.]:[Employee Name]],2,FALSE)</f>
        <v>DAN BAHADUR BASNET</v>
      </c>
      <c r="E404" t="str">
        <f>VLOOKUP(Table3[[#This Row],[Employee No.]],Table1_1[[Employee No.]:[Department]],6,FALSE)</f>
        <v>SM</v>
      </c>
      <c r="F404" t="str">
        <f>VLOOKUP(Table3[[#This Row],[Employee No.]],Table1_1[[Employee No.]:[Gender]],7,FALSE)</f>
        <v>M</v>
      </c>
      <c r="G404" t="str">
        <f>VLOOKUP(Table3[[#This Row],[Employee No.]],Table1_1[[Employee No.]:[Shift]],9,FALSE)</f>
        <v>SHIFT A</v>
      </c>
      <c r="H404" s="25">
        <v>1</v>
      </c>
      <c r="I404" s="25">
        <v>1</v>
      </c>
      <c r="J404" s="25">
        <v>1</v>
      </c>
      <c r="K404" s="25">
        <v>1</v>
      </c>
      <c r="L404" s="25">
        <v>1</v>
      </c>
      <c r="M404" s="25">
        <v>1</v>
      </c>
    </row>
    <row r="405" spans="3:16">
      <c r="C405" s="22" t="s">
        <v>2110</v>
      </c>
      <c r="D405" t="str">
        <f>VLOOKUP(Table3[[#This Row],[Employee No.]],Table1_1[[Employee No.]:[Employee Name]],2,FALSE)</f>
        <v>DATEMBA SHERPA</v>
      </c>
      <c r="E405" t="str">
        <f>VLOOKUP(Table3[[#This Row],[Employee No.]],Table1_1[[Employee No.]:[Department]],6,FALSE)</f>
        <v>BBT</v>
      </c>
      <c r="F405" t="str">
        <f>VLOOKUP(Table3[[#This Row],[Employee No.]],Table1_1[[Employee No.]:[Gender]],7,FALSE)</f>
        <v>M</v>
      </c>
      <c r="G405" t="str">
        <f>VLOOKUP(Table3[[#This Row],[Employee No.]],Table1_1[[Employee No.]:[Shift]],9,FALSE)</f>
        <v>SHIFT B</v>
      </c>
      <c r="H405" s="25">
        <v>1</v>
      </c>
      <c r="I405" s="25">
        <v>1</v>
      </c>
      <c r="J405" s="25">
        <v>1</v>
      </c>
      <c r="K405" s="25">
        <v>1</v>
      </c>
      <c r="L405" s="25">
        <v>1</v>
      </c>
      <c r="M405" s="25">
        <v>1</v>
      </c>
    </row>
    <row r="406" spans="3:16">
      <c r="C406" s="22" t="s">
        <v>2112</v>
      </c>
      <c r="D406" t="str">
        <f>VLOOKUP(Table3[[#This Row],[Employee No.]],Table1_1[[Employee No.]:[Employee Name]],2,FALSE)</f>
        <v>DIPAK BHATTA</v>
      </c>
      <c r="E406" t="str">
        <f>VLOOKUP(Table3[[#This Row],[Employee No.]],Table1_1[[Employee No.]:[Department]],6,FALSE)</f>
        <v>SM</v>
      </c>
      <c r="F406" t="str">
        <f>VLOOKUP(Table3[[#This Row],[Employee No.]],Table1_1[[Employee No.]:[Gender]],7,FALSE)</f>
        <v>M</v>
      </c>
      <c r="G406" t="str">
        <f>VLOOKUP(Table3[[#This Row],[Employee No.]],Table1_1[[Employee No.]:[Shift]],9,FALSE)</f>
        <v>SHIFT A</v>
      </c>
      <c r="H406" s="25">
        <v>1</v>
      </c>
      <c r="I406" s="25">
        <v>1</v>
      </c>
      <c r="J406" s="25">
        <v>1</v>
      </c>
      <c r="K406" s="25">
        <v>1</v>
      </c>
      <c r="L406" s="25">
        <v>1</v>
      </c>
      <c r="M406" s="25">
        <v>1</v>
      </c>
    </row>
    <row r="407" spans="3:16">
      <c r="C407" s="22" t="s">
        <v>2114</v>
      </c>
      <c r="D407" t="str">
        <f>VLOOKUP(Table3[[#This Row],[Employee No.]],Table1_1[[Employee No.]:[Employee Name]],2,FALSE)</f>
        <v>GAJENDRA KARKI</v>
      </c>
      <c r="E407" t="str">
        <f>VLOOKUP(Table3[[#This Row],[Employee No.]],Table1_1[[Employee No.]:[Department]],6,FALSE)</f>
        <v>SM</v>
      </c>
      <c r="F407" t="str">
        <f>VLOOKUP(Table3[[#This Row],[Employee No.]],Table1_1[[Employee No.]:[Gender]],7,FALSE)</f>
        <v>M</v>
      </c>
      <c r="G407" t="str">
        <f>VLOOKUP(Table3[[#This Row],[Employee No.]],Table1_1[[Employee No.]:[Shift]],9,FALSE)</f>
        <v>SHIFT O</v>
      </c>
      <c r="H407" s="25">
        <v>0</v>
      </c>
      <c r="I407" s="25">
        <v>1</v>
      </c>
      <c r="J407" s="25">
        <v>0</v>
      </c>
      <c r="K407" s="25">
        <v>1</v>
      </c>
      <c r="L407" s="25">
        <v>1</v>
      </c>
      <c r="M407" s="25">
        <v>0</v>
      </c>
    </row>
    <row r="408" spans="3:16">
      <c r="C408" s="22" t="s">
        <v>2117</v>
      </c>
      <c r="D408" t="str">
        <f>VLOOKUP(Table3[[#This Row],[Employee No.]],Table1_1[[Employee No.]:[Employee Name]],2,FALSE)</f>
        <v>HEM NARAYAN YADAV</v>
      </c>
      <c r="E408" t="str">
        <f>VLOOKUP(Table3[[#This Row],[Employee No.]],Table1_1[[Employee No.]:[Department]],6,FALSE)</f>
        <v>AOI</v>
      </c>
      <c r="F408" t="str">
        <f>VLOOKUP(Table3[[#This Row],[Employee No.]],Table1_1[[Employee No.]:[Gender]],7,FALSE)</f>
        <v>M</v>
      </c>
      <c r="G408" t="str">
        <f>VLOOKUP(Table3[[#This Row],[Employee No.]],Table1_1[[Employee No.]:[Shift]],9,FALSE)</f>
        <v>SHIFT B</v>
      </c>
      <c r="H408" s="25">
        <v>1</v>
      </c>
      <c r="I408" s="25">
        <v>1</v>
      </c>
      <c r="J408" s="25">
        <v>1</v>
      </c>
      <c r="K408" s="25">
        <v>1</v>
      </c>
      <c r="L408" s="25">
        <v>1</v>
      </c>
      <c r="M408" s="25">
        <v>1</v>
      </c>
    </row>
    <row r="409" spans="3:16">
      <c r="C409" s="22" t="s">
        <v>2119</v>
      </c>
      <c r="D409" t="str">
        <f>VLOOKUP(Table3[[#This Row],[Employee No.]],Table1_1[[Employee No.]:[Employee Name]],2,FALSE)</f>
        <v>JAY KISHOR MAHATO</v>
      </c>
      <c r="E409" t="str">
        <f>VLOOKUP(Table3[[#This Row],[Employee No.]],Table1_1[[Employee No.]:[Department]],6,FALSE)</f>
        <v>ENVIRONMENT</v>
      </c>
      <c r="F409" t="str">
        <f>VLOOKUP(Table3[[#This Row],[Employee No.]],Table1_1[[Employee No.]:[Gender]],7,FALSE)</f>
        <v>M</v>
      </c>
      <c r="G409" t="str">
        <f>VLOOKUP(Table3[[#This Row],[Employee No.]],Table1_1[[Employee No.]:[Shift]],9,FALSE)</f>
        <v>SHIFT C</v>
      </c>
      <c r="H409" s="25">
        <v>0</v>
      </c>
      <c r="I409" s="25">
        <v>0</v>
      </c>
      <c r="J409" s="25">
        <v>1</v>
      </c>
      <c r="K409" s="25">
        <v>0</v>
      </c>
      <c r="L409" s="25">
        <v>0</v>
      </c>
      <c r="M409" s="25">
        <v>1</v>
      </c>
      <c r="P409" s="25"/>
    </row>
    <row r="410" spans="3:16">
      <c r="C410" s="22" t="s">
        <v>2121</v>
      </c>
      <c r="D410" t="str">
        <f>VLOOKUP(Table3[[#This Row],[Employee No.]],Table1_1[[Employee No.]:[Employee Name]],2,FALSE)</f>
        <v>JIWAN KHADKA</v>
      </c>
      <c r="E410" t="str">
        <f>VLOOKUP(Table3[[#This Row],[Employee No.]],Table1_1[[Employee No.]:[Department]],6,FALSE)</f>
        <v>DRILL</v>
      </c>
      <c r="F410" t="str">
        <f>VLOOKUP(Table3[[#This Row],[Employee No.]],Table1_1[[Employee No.]:[Gender]],7,FALSE)</f>
        <v>M</v>
      </c>
      <c r="G410" t="str">
        <f>VLOOKUP(Table3[[#This Row],[Employee No.]],Table1_1[[Employee No.]:[Shift]],9,FALSE)</f>
        <v>SHIFT A</v>
      </c>
      <c r="H410" s="25">
        <v>1</v>
      </c>
      <c r="I410" s="25">
        <v>1</v>
      </c>
      <c r="J410" s="25">
        <v>1</v>
      </c>
      <c r="K410" s="25">
        <v>1</v>
      </c>
      <c r="L410" s="25">
        <v>1</v>
      </c>
      <c r="M410" s="25">
        <v>1</v>
      </c>
    </row>
    <row r="411" spans="3:16">
      <c r="C411" s="22" t="s">
        <v>2123</v>
      </c>
      <c r="D411" t="str">
        <f>VLOOKUP(Table3[[#This Row],[Employee No.]],Table1_1[[Employee No.]:[Employee Name]],2,FALSE)</f>
        <v>KARAN BAHADUR SUNAR</v>
      </c>
      <c r="E411" t="str">
        <f>VLOOKUP(Table3[[#This Row],[Employee No.]],Table1_1[[Employee No.]:[Department]],6,FALSE)</f>
        <v>DF</v>
      </c>
      <c r="F411" t="str">
        <f>VLOOKUP(Table3[[#This Row],[Employee No.]],Table1_1[[Employee No.]:[Gender]],7,FALSE)</f>
        <v>M</v>
      </c>
      <c r="G411" t="str">
        <f>VLOOKUP(Table3[[#This Row],[Employee No.]],Table1_1[[Employee No.]:[Shift]],9,FALSE)</f>
        <v>SHIFT A</v>
      </c>
      <c r="H411" s="25">
        <v>1</v>
      </c>
      <c r="I411" s="25">
        <v>1</v>
      </c>
      <c r="J411" s="25">
        <v>1</v>
      </c>
      <c r="K411" s="25">
        <v>1</v>
      </c>
      <c r="L411" s="25">
        <v>1</v>
      </c>
      <c r="M411" s="25">
        <v>1</v>
      </c>
    </row>
    <row r="412" spans="3:16">
      <c r="C412" s="22" t="s">
        <v>2125</v>
      </c>
      <c r="D412" t="str">
        <f>VLOOKUP(Table3[[#This Row],[Employee No.]],Table1_1[[Employee No.]:[Employee Name]],2,FALSE)</f>
        <v>KIRAN SHRESTHA</v>
      </c>
      <c r="E412" t="str">
        <f>VLOOKUP(Table3[[#This Row],[Employee No.]],Table1_1[[Employee No.]:[Department]],6,FALSE)</f>
        <v>DF</v>
      </c>
      <c r="F412" t="str">
        <f>VLOOKUP(Table3[[#This Row],[Employee No.]],Table1_1[[Employee No.]:[Gender]],7,FALSE)</f>
        <v>M</v>
      </c>
      <c r="G412" t="str">
        <f>VLOOKUP(Table3[[#This Row],[Employee No.]],Table1_1[[Employee No.]:[Shift]],9,FALSE)</f>
        <v>SHIFT C</v>
      </c>
      <c r="H412" s="25">
        <v>1</v>
      </c>
      <c r="I412" s="25">
        <v>1</v>
      </c>
      <c r="J412" s="25">
        <v>1</v>
      </c>
      <c r="K412" s="25">
        <v>1</v>
      </c>
      <c r="L412" s="25">
        <v>1</v>
      </c>
      <c r="M412" s="25">
        <v>1</v>
      </c>
      <c r="P412" s="25"/>
    </row>
    <row r="413" spans="3:16">
      <c r="C413" s="22" t="s">
        <v>2127</v>
      </c>
      <c r="D413" t="str">
        <f>VLOOKUP(Table3[[#This Row],[Employee No.]],Table1_1[[Employee No.]:[Employee Name]],2,FALSE)</f>
        <v>KRISHNA BAHADUR GURUNG</v>
      </c>
      <c r="E413" t="str">
        <f>VLOOKUP(Table3[[#This Row],[Employee No.]],Table1_1[[Employee No.]:[Department]],6,FALSE)</f>
        <v>DF</v>
      </c>
      <c r="F413" t="str">
        <f>VLOOKUP(Table3[[#This Row],[Employee No.]],Table1_1[[Employee No.]:[Gender]],7,FALSE)</f>
        <v>M</v>
      </c>
      <c r="G413" t="str">
        <f>VLOOKUP(Table3[[#This Row],[Employee No.]],Table1_1[[Employee No.]:[Shift]],9,FALSE)</f>
        <v>SHIFT A</v>
      </c>
      <c r="H413" s="25">
        <v>1</v>
      </c>
      <c r="I413" s="25">
        <v>1</v>
      </c>
      <c r="J413" s="25">
        <v>1</v>
      </c>
      <c r="K413" s="25">
        <v>1</v>
      </c>
      <c r="L413" s="25">
        <v>1</v>
      </c>
      <c r="M413" s="25">
        <v>1</v>
      </c>
    </row>
    <row r="414" spans="3:16">
      <c r="C414" s="22" t="s">
        <v>2129</v>
      </c>
      <c r="D414" t="str">
        <f>VLOOKUP(Table3[[#This Row],[Employee No.]],Table1_1[[Employee No.]:[Employee Name]],2,FALSE)</f>
        <v>LOKENDRA BAHADUR BIST</v>
      </c>
      <c r="E414" t="str">
        <f>VLOOKUP(Table3[[#This Row],[Employee No.]],Table1_1[[Employee No.]:[Department]],6,FALSE)</f>
        <v>DRILL</v>
      </c>
      <c r="F414" t="str">
        <f>VLOOKUP(Table3[[#This Row],[Employee No.]],Table1_1[[Employee No.]:[Gender]],7,FALSE)</f>
        <v>M</v>
      </c>
      <c r="G414" t="str">
        <f>VLOOKUP(Table3[[#This Row],[Employee No.]],Table1_1[[Employee No.]:[Shift]],9,FALSE)</f>
        <v>SHIFT A</v>
      </c>
      <c r="H414" s="25">
        <v>1</v>
      </c>
      <c r="I414" s="25">
        <v>1</v>
      </c>
      <c r="J414" s="25">
        <v>1</v>
      </c>
      <c r="K414" s="25">
        <v>1</v>
      </c>
      <c r="L414" s="25">
        <v>1</v>
      </c>
      <c r="M414" s="25">
        <v>1</v>
      </c>
    </row>
    <row r="415" spans="3:16">
      <c r="C415" s="22" t="s">
        <v>2131</v>
      </c>
      <c r="D415" t="str">
        <f>VLOOKUP(Table3[[#This Row],[Employee No.]],Table1_1[[Employee No.]:[Employee Name]],2,FALSE)</f>
        <v>MAHATMA BARUWAL</v>
      </c>
      <c r="E415" t="str">
        <f>VLOOKUP(Table3[[#This Row],[Employee No.]],Table1_1[[Employee No.]:[Department]],6,FALSE)</f>
        <v>DRILL</v>
      </c>
      <c r="F415" t="str">
        <f>VLOOKUP(Table3[[#This Row],[Employee No.]],Table1_1[[Employee No.]:[Gender]],7,FALSE)</f>
        <v>M</v>
      </c>
      <c r="G415" t="str">
        <f>VLOOKUP(Table3[[#This Row],[Employee No.]],Table1_1[[Employee No.]:[Shift]],9,FALSE)</f>
        <v>SHIFT A</v>
      </c>
      <c r="H415" s="25">
        <v>1</v>
      </c>
      <c r="I415" s="25">
        <v>1</v>
      </c>
      <c r="J415" s="25">
        <v>1</v>
      </c>
      <c r="K415" s="25">
        <v>1</v>
      </c>
      <c r="L415" s="25">
        <v>1</v>
      </c>
      <c r="M415" s="25">
        <v>1</v>
      </c>
    </row>
    <row r="416" spans="3:16">
      <c r="C416" s="22" t="s">
        <v>2133</v>
      </c>
      <c r="D416" t="str">
        <f>VLOOKUP(Table3[[#This Row],[Employee No.]],Table1_1[[Employee No.]:[Employee Name]],2,FALSE)</f>
        <v>MANGARU KEWAT</v>
      </c>
      <c r="E416" t="str">
        <f>VLOOKUP(Table3[[#This Row],[Employee No.]],Table1_1[[Employee No.]:[Department]],6,FALSE)</f>
        <v>DRILL</v>
      </c>
      <c r="F416" t="str">
        <f>VLOOKUP(Table3[[#This Row],[Employee No.]],Table1_1[[Employee No.]:[Gender]],7,FALSE)</f>
        <v>M</v>
      </c>
      <c r="G416" t="str">
        <f>VLOOKUP(Table3[[#This Row],[Employee No.]],Table1_1[[Employee No.]:[Shift]],9,FALSE)</f>
        <v>SHIFT B</v>
      </c>
      <c r="H416" s="25">
        <v>1</v>
      </c>
      <c r="I416" s="25">
        <v>1</v>
      </c>
      <c r="J416" s="25">
        <v>1</v>
      </c>
      <c r="K416" s="25">
        <v>1</v>
      </c>
      <c r="L416" s="25">
        <v>1</v>
      </c>
      <c r="M416" s="25">
        <v>1</v>
      </c>
    </row>
    <row r="417" spans="3:16">
      <c r="C417" s="22" t="s">
        <v>2135</v>
      </c>
      <c r="D417" t="str">
        <f>VLOOKUP(Table3[[#This Row],[Employee No.]],Table1_1[[Employee No.]:[Employee Name]],2,FALSE)</f>
        <v>MANISH THAKUR</v>
      </c>
      <c r="E417" t="str">
        <f>VLOOKUP(Table3[[#This Row],[Employee No.]],Table1_1[[Employee No.]:[Department]],6,FALSE)</f>
        <v>MLB</v>
      </c>
      <c r="F417" t="str">
        <f>VLOOKUP(Table3[[#This Row],[Employee No.]],Table1_1[[Employee No.]:[Gender]],7,FALSE)</f>
        <v>M</v>
      </c>
      <c r="G417" t="str">
        <f>VLOOKUP(Table3[[#This Row],[Employee No.]],Table1_1[[Employee No.]:[Shift]],9,FALSE)</f>
        <v>SHIFT A</v>
      </c>
      <c r="H417" s="25">
        <v>1</v>
      </c>
      <c r="I417" s="25">
        <v>1</v>
      </c>
      <c r="J417" s="25">
        <v>1</v>
      </c>
      <c r="K417" s="25">
        <v>1</v>
      </c>
      <c r="L417" s="25">
        <v>1</v>
      </c>
      <c r="M417" s="25">
        <v>1</v>
      </c>
    </row>
    <row r="418" spans="3:16">
      <c r="C418" s="22" t="s">
        <v>2137</v>
      </c>
      <c r="D418" t="str">
        <f>VLOOKUP(Table3[[#This Row],[Employee No.]],Table1_1[[Employee No.]:[Employee Name]],2,FALSE)</f>
        <v>MANOJ SOMAI</v>
      </c>
      <c r="E418" t="str">
        <f>VLOOKUP(Table3[[#This Row],[Employee No.]],Table1_1[[Employee No.]:[Department]],6,FALSE)</f>
        <v>DRILL</v>
      </c>
      <c r="F418" t="str">
        <f>VLOOKUP(Table3[[#This Row],[Employee No.]],Table1_1[[Employee No.]:[Gender]],7,FALSE)</f>
        <v>M</v>
      </c>
      <c r="G418" t="str">
        <f>VLOOKUP(Table3[[#This Row],[Employee No.]],Table1_1[[Employee No.]:[Shift]],9,FALSE)</f>
        <v>SHIFT C</v>
      </c>
      <c r="H418" s="25">
        <v>1</v>
      </c>
      <c r="I418" s="25">
        <v>1</v>
      </c>
      <c r="J418" s="25">
        <v>1</v>
      </c>
      <c r="K418" s="25">
        <v>1</v>
      </c>
      <c r="L418" s="25">
        <v>1</v>
      </c>
      <c r="M418" s="25">
        <v>0</v>
      </c>
      <c r="P418" s="25"/>
    </row>
    <row r="419" spans="3:16">
      <c r="C419" s="22" t="s">
        <v>2139</v>
      </c>
      <c r="D419" t="str">
        <f>VLOOKUP(Table3[[#This Row],[Employee No.]],Table1_1[[Employee No.]:[Employee Name]],2,FALSE)</f>
        <v>MEGH RAJ RIJAL</v>
      </c>
      <c r="E419" t="str">
        <f>VLOOKUP(Table3[[#This Row],[Employee No.]],Table1_1[[Employee No.]:[Department]],6,FALSE)</f>
        <v>AU</v>
      </c>
      <c r="F419" t="str">
        <f>VLOOKUP(Table3[[#This Row],[Employee No.]],Table1_1[[Employee No.]:[Gender]],7,FALSE)</f>
        <v>M</v>
      </c>
      <c r="G419" t="str">
        <f>VLOOKUP(Table3[[#This Row],[Employee No.]],Table1_1[[Employee No.]:[Shift]],9,FALSE)</f>
        <v>SHIFT B</v>
      </c>
      <c r="H419" s="25">
        <v>1</v>
      </c>
      <c r="I419" s="25">
        <v>1</v>
      </c>
      <c r="J419" s="25">
        <v>1</v>
      </c>
      <c r="K419" s="25">
        <v>1</v>
      </c>
      <c r="L419" s="25">
        <v>1</v>
      </c>
      <c r="M419" s="25">
        <v>1</v>
      </c>
    </row>
    <row r="420" spans="3:16">
      <c r="C420" s="22" t="s">
        <v>2141</v>
      </c>
      <c r="D420" t="str">
        <f>VLOOKUP(Table3[[#This Row],[Employee No.]],Table1_1[[Employee No.]:[Employee Name]],2,FALSE)</f>
        <v>NITESH KUMAR SAH</v>
      </c>
      <c r="E420" t="str">
        <f>VLOOKUP(Table3[[#This Row],[Employee No.]],Table1_1[[Employee No.]:[Department]],6,FALSE)</f>
        <v>MLB</v>
      </c>
      <c r="F420" t="str">
        <f>VLOOKUP(Table3[[#This Row],[Employee No.]],Table1_1[[Employee No.]:[Gender]],7,FALSE)</f>
        <v>M</v>
      </c>
      <c r="G420" t="str">
        <f>VLOOKUP(Table3[[#This Row],[Employee No.]],Table1_1[[Employee No.]:[Shift]],9,FALSE)</f>
        <v>SHIFT B</v>
      </c>
      <c r="H420" s="25">
        <v>1</v>
      </c>
      <c r="I420" s="25">
        <v>1</v>
      </c>
      <c r="J420" s="25">
        <v>1</v>
      </c>
      <c r="K420" s="25">
        <v>1</v>
      </c>
      <c r="L420" s="25">
        <v>1</v>
      </c>
      <c r="M420" s="25">
        <v>1</v>
      </c>
    </row>
    <row r="421" spans="3:16">
      <c r="C421" s="22" t="s">
        <v>2143</v>
      </c>
      <c r="D421" t="str">
        <f>VLOOKUP(Table3[[#This Row],[Employee No.]],Table1_1[[Employee No.]:[Employee Name]],2,FALSE)</f>
        <v>PRADIP KHADKA</v>
      </c>
      <c r="E421" t="str">
        <f>VLOOKUP(Table3[[#This Row],[Employee No.]],Table1_1[[Employee No.]:[Department]],6,FALSE)</f>
        <v>ENVIRONMENT</v>
      </c>
      <c r="F421" t="str">
        <f>VLOOKUP(Table3[[#This Row],[Employee No.]],Table1_1[[Employee No.]:[Gender]],7,FALSE)</f>
        <v>M</v>
      </c>
      <c r="G421" t="str">
        <f>VLOOKUP(Table3[[#This Row],[Employee No.]],Table1_1[[Employee No.]:[Shift]],9,FALSE)</f>
        <v>SHIFT B</v>
      </c>
      <c r="H421" s="25">
        <v>1</v>
      </c>
      <c r="I421" s="25">
        <v>1</v>
      </c>
      <c r="J421" s="25">
        <v>1</v>
      </c>
      <c r="K421" s="25">
        <v>1</v>
      </c>
      <c r="L421" s="25">
        <v>1</v>
      </c>
      <c r="M421" s="25">
        <v>1</v>
      </c>
    </row>
    <row r="422" spans="3:16">
      <c r="C422" s="22" t="s">
        <v>2145</v>
      </c>
      <c r="D422" t="str">
        <f>VLOOKUP(Table3[[#This Row],[Employee No.]],Table1_1[[Employee No.]:[Employee Name]],2,FALSE)</f>
        <v>PREM KUMAR KATWAL</v>
      </c>
      <c r="E422" t="str">
        <f>VLOOKUP(Table3[[#This Row],[Employee No.]],Table1_1[[Employee No.]:[Department]],6,FALSE)</f>
        <v>AU</v>
      </c>
      <c r="F422" t="str">
        <f>VLOOKUP(Table3[[#This Row],[Employee No.]],Table1_1[[Employee No.]:[Gender]],7,FALSE)</f>
        <v>M</v>
      </c>
      <c r="G422" t="str">
        <f>VLOOKUP(Table3[[#This Row],[Employee No.]],Table1_1[[Employee No.]:[Shift]],9,FALSE)</f>
        <v>SHIFT C</v>
      </c>
      <c r="H422" s="25">
        <v>1</v>
      </c>
      <c r="I422" s="25">
        <v>1</v>
      </c>
      <c r="J422" s="25">
        <v>1</v>
      </c>
      <c r="K422" s="25">
        <v>1</v>
      </c>
      <c r="L422" s="25">
        <v>1</v>
      </c>
      <c r="M422" s="25">
        <v>1</v>
      </c>
      <c r="P422" s="25"/>
    </row>
    <row r="423" spans="3:16">
      <c r="C423" s="22" t="s">
        <v>2147</v>
      </c>
      <c r="D423" t="str">
        <f>VLOOKUP(Table3[[#This Row],[Employee No.]],Table1_1[[Employee No.]:[Employee Name]],2,FALSE)</f>
        <v>PURAN DHIMAL</v>
      </c>
      <c r="E423" t="str">
        <f>VLOOKUP(Table3[[#This Row],[Employee No.]],Table1_1[[Employee No.]:[Department]],6,FALSE)</f>
        <v>AU</v>
      </c>
      <c r="F423" t="str">
        <f>VLOOKUP(Table3[[#This Row],[Employee No.]],Table1_1[[Employee No.]:[Gender]],7,FALSE)</f>
        <v>M</v>
      </c>
      <c r="G423" t="str">
        <f>VLOOKUP(Table3[[#This Row],[Employee No.]],Table1_1[[Employee No.]:[Shift]],9,FALSE)</f>
        <v>SHIFT A</v>
      </c>
      <c r="H423" s="25">
        <v>1</v>
      </c>
      <c r="I423" s="25">
        <v>1</v>
      </c>
      <c r="J423" s="25">
        <v>1</v>
      </c>
      <c r="K423" s="25">
        <v>0</v>
      </c>
      <c r="L423" s="25">
        <v>1</v>
      </c>
      <c r="M423" s="25">
        <v>1</v>
      </c>
    </row>
    <row r="424" spans="3:16">
      <c r="C424" s="22" t="s">
        <v>2149</v>
      </c>
      <c r="D424" t="str">
        <f>VLOOKUP(Table3[[#This Row],[Employee No.]],Table1_1[[Employee No.]:[Employee Name]],2,FALSE)</f>
        <v>RAM KUMAR JABEGU</v>
      </c>
      <c r="E424" t="str">
        <f>VLOOKUP(Table3[[#This Row],[Employee No.]],Table1_1[[Employee No.]:[Department]],6,FALSE)</f>
        <v>DRILL</v>
      </c>
      <c r="F424" t="str">
        <f>VLOOKUP(Table3[[#This Row],[Employee No.]],Table1_1[[Employee No.]:[Gender]],7,FALSE)</f>
        <v>M</v>
      </c>
      <c r="G424" t="str">
        <f>VLOOKUP(Table3[[#This Row],[Employee No.]],Table1_1[[Employee No.]:[Shift]],9,FALSE)</f>
        <v>SHIFT B</v>
      </c>
      <c r="H424" s="25">
        <v>1</v>
      </c>
      <c r="I424" s="25">
        <v>1</v>
      </c>
      <c r="J424" s="25">
        <v>1</v>
      </c>
      <c r="K424" s="25">
        <v>1</v>
      </c>
      <c r="L424" s="25">
        <v>1</v>
      </c>
      <c r="M424" s="25">
        <v>1</v>
      </c>
    </row>
    <row r="425" spans="3:16">
      <c r="C425" s="22" t="s">
        <v>2151</v>
      </c>
      <c r="D425" t="str">
        <f>VLOOKUP(Table3[[#This Row],[Employee No.]],Table1_1[[Employee No.]:[Employee Name]],2,FALSE)</f>
        <v>RAM PRASAD CHAUDHARY</v>
      </c>
      <c r="E425" t="str">
        <f>VLOOKUP(Table3[[#This Row],[Employee No.]],Table1_1[[Employee No.]:[Department]],6,FALSE)</f>
        <v>AOI</v>
      </c>
      <c r="F425" t="str">
        <f>VLOOKUP(Table3[[#This Row],[Employee No.]],Table1_1[[Employee No.]:[Gender]],7,FALSE)</f>
        <v>M</v>
      </c>
      <c r="G425" t="str">
        <f>VLOOKUP(Table3[[#This Row],[Employee No.]],Table1_1[[Employee No.]:[Shift]],9,FALSE)</f>
        <v>SHIFT C</v>
      </c>
      <c r="H425" s="25">
        <v>1</v>
      </c>
      <c r="I425" s="25">
        <v>1</v>
      </c>
      <c r="J425" s="25">
        <v>1</v>
      </c>
      <c r="K425" s="25">
        <v>1</v>
      </c>
      <c r="L425" s="25">
        <v>1</v>
      </c>
      <c r="M425" s="25">
        <v>1</v>
      </c>
    </row>
    <row r="426" spans="3:16">
      <c r="C426" s="22" t="s">
        <v>2153</v>
      </c>
      <c r="D426" t="str">
        <f>VLOOKUP(Table3[[#This Row],[Employee No.]],Table1_1[[Employee No.]:[Employee Name]],2,FALSE)</f>
        <v>RAMDAS MOKTAN</v>
      </c>
      <c r="E426" t="str">
        <f>VLOOKUP(Table3[[#This Row],[Employee No.]],Table1_1[[Employee No.]:[Department]],6,FALSE)</f>
        <v>ROUTER</v>
      </c>
      <c r="F426" t="str">
        <f>VLOOKUP(Table3[[#This Row],[Employee No.]],Table1_1[[Employee No.]:[Gender]],7,FALSE)</f>
        <v>M</v>
      </c>
      <c r="G426" t="str">
        <f>VLOOKUP(Table3[[#This Row],[Employee No.]],Table1_1[[Employee No.]:[Shift]],9,FALSE)</f>
        <v>SHIFT A</v>
      </c>
      <c r="H426" s="25">
        <v>1</v>
      </c>
      <c r="I426" s="25">
        <v>1</v>
      </c>
      <c r="J426" s="25">
        <v>1</v>
      </c>
      <c r="K426" s="25">
        <v>1</v>
      </c>
      <c r="L426" s="25">
        <v>1</v>
      </c>
      <c r="M426" s="25">
        <v>1</v>
      </c>
    </row>
    <row r="427" spans="3:16">
      <c r="C427" s="22" t="s">
        <v>2155</v>
      </c>
      <c r="D427" t="str">
        <f>VLOOKUP(Table3[[#This Row],[Employee No.]],Table1_1[[Employee No.]:[Employee Name]],2,FALSE)</f>
        <v>RAMKISHAN BAITHA DHOBI</v>
      </c>
      <c r="E427" t="str">
        <f>VLOOKUP(Table3[[#This Row],[Employee No.]],Table1_1[[Employee No.]:[Department]],6,FALSE)</f>
        <v>QUALITY</v>
      </c>
      <c r="F427" t="str">
        <f>VLOOKUP(Table3[[#This Row],[Employee No.]],Table1_1[[Employee No.]:[Gender]],7,FALSE)</f>
        <v>M</v>
      </c>
      <c r="G427" t="str">
        <f>VLOOKUP(Table3[[#This Row],[Employee No.]],Table1_1[[Employee No.]:[Shift]],9,FALSE)</f>
        <v>SHIFT C</v>
      </c>
      <c r="H427" s="25">
        <v>1</v>
      </c>
      <c r="I427" s="25">
        <v>1</v>
      </c>
      <c r="J427" s="25">
        <v>1</v>
      </c>
      <c r="K427" s="25">
        <v>1</v>
      </c>
      <c r="L427" s="25">
        <v>1</v>
      </c>
      <c r="M427" s="25">
        <v>1</v>
      </c>
      <c r="P427" s="25"/>
    </row>
    <row r="428" spans="3:16">
      <c r="C428" s="22" t="s">
        <v>2157</v>
      </c>
      <c r="D428" t="str">
        <f>VLOOKUP(Table3[[#This Row],[Employee No.]],Table1_1[[Employee No.]:[Employee Name]],2,FALSE)</f>
        <v>SANJAY KUMAR YADAV</v>
      </c>
      <c r="E428" t="str">
        <f>VLOOKUP(Table3[[#This Row],[Employee No.]],Table1_1[[Employee No.]:[Department]],6,FALSE)</f>
        <v>ROUTER</v>
      </c>
      <c r="F428" t="str">
        <f>VLOOKUP(Table3[[#This Row],[Employee No.]],Table1_1[[Employee No.]:[Gender]],7,FALSE)</f>
        <v>M</v>
      </c>
      <c r="G428" t="str">
        <f>VLOOKUP(Table3[[#This Row],[Employee No.]],Table1_1[[Employee No.]:[Shift]],9,FALSE)</f>
        <v>SHIFT C</v>
      </c>
      <c r="H428" s="25">
        <v>1</v>
      </c>
      <c r="I428" s="25">
        <v>1</v>
      </c>
      <c r="J428" s="25">
        <v>1</v>
      </c>
      <c r="K428" s="25">
        <v>1</v>
      </c>
      <c r="L428" s="25">
        <v>1</v>
      </c>
      <c r="M428" s="25">
        <v>1</v>
      </c>
      <c r="P428" s="25"/>
    </row>
    <row r="429" spans="3:16">
      <c r="C429" s="22" t="s">
        <v>2159</v>
      </c>
      <c r="D429" t="str">
        <f>VLOOKUP(Table3[[#This Row],[Employee No.]],Table1_1[[Employee No.]:[Employee Name]],2,FALSE)</f>
        <v>SANJIB KUMAR YADAV</v>
      </c>
      <c r="E429" t="str">
        <f>VLOOKUP(Table3[[#This Row],[Employee No.]],Table1_1[[Employee No.]:[Department]],6,FALSE)</f>
        <v>ROUTER</v>
      </c>
      <c r="F429" t="str">
        <f>VLOOKUP(Table3[[#This Row],[Employee No.]],Table1_1[[Employee No.]:[Gender]],7,FALSE)</f>
        <v>M</v>
      </c>
      <c r="G429" t="str">
        <f>VLOOKUP(Table3[[#This Row],[Employee No.]],Table1_1[[Employee No.]:[Shift]],9,FALSE)</f>
        <v>SHIFT B</v>
      </c>
      <c r="H429" s="25">
        <v>1</v>
      </c>
      <c r="I429" s="25">
        <v>1</v>
      </c>
      <c r="J429" s="25">
        <v>1</v>
      </c>
      <c r="K429" s="25">
        <v>1</v>
      </c>
      <c r="L429" s="25">
        <v>1</v>
      </c>
      <c r="M429" s="25">
        <v>1</v>
      </c>
    </row>
    <row r="430" spans="3:16">
      <c r="C430" s="22" t="s">
        <v>2161</v>
      </c>
      <c r="D430" t="str">
        <f>VLOOKUP(Table3[[#This Row],[Employee No.]],Table1_1[[Employee No.]:[Employee Name]],2,FALSE)</f>
        <v>SANTOSH TAMANG</v>
      </c>
      <c r="E430" t="str">
        <f>VLOOKUP(Table3[[#This Row],[Employee No.]],Table1_1[[Employee No.]:[Department]],6,FALSE)</f>
        <v>ROUTER</v>
      </c>
      <c r="F430" t="str">
        <f>VLOOKUP(Table3[[#This Row],[Employee No.]],Table1_1[[Employee No.]:[Gender]],7,FALSE)</f>
        <v>M</v>
      </c>
      <c r="G430" t="str">
        <f>VLOOKUP(Table3[[#This Row],[Employee No.]],Table1_1[[Employee No.]:[Shift]],9,FALSE)</f>
        <v>SHIFT B</v>
      </c>
      <c r="H430" s="25">
        <v>1</v>
      </c>
      <c r="I430" s="25">
        <v>1</v>
      </c>
      <c r="J430" s="25">
        <v>1</v>
      </c>
      <c r="K430" s="25">
        <v>1</v>
      </c>
      <c r="L430" s="25">
        <v>1</v>
      </c>
      <c r="M430" s="25">
        <v>1</v>
      </c>
    </row>
    <row r="431" spans="3:16">
      <c r="C431" s="22" t="s">
        <v>2163</v>
      </c>
      <c r="D431" t="str">
        <f>VLOOKUP(Table3[[#This Row],[Employee No.]],Table1_1[[Employee No.]:[Employee Name]],2,FALSE)</f>
        <v>SREE KANTA TRIPATHEE</v>
      </c>
      <c r="E431" t="str">
        <f>VLOOKUP(Table3[[#This Row],[Employee No.]],Table1_1[[Employee No.]:[Department]],6,FALSE)</f>
        <v>DRILL</v>
      </c>
      <c r="F431" t="str">
        <f>VLOOKUP(Table3[[#This Row],[Employee No.]],Table1_1[[Employee No.]:[Gender]],7,FALSE)</f>
        <v>M</v>
      </c>
      <c r="G431" t="str">
        <f>VLOOKUP(Table3[[#This Row],[Employee No.]],Table1_1[[Employee No.]:[Shift]],9,FALSE)</f>
        <v>SHIFT A</v>
      </c>
      <c r="H431" s="25">
        <v>1</v>
      </c>
      <c r="I431" s="25">
        <v>1</v>
      </c>
      <c r="J431" s="25">
        <v>1</v>
      </c>
      <c r="K431" s="25">
        <v>1</v>
      </c>
      <c r="L431" s="25">
        <v>1</v>
      </c>
      <c r="M431" s="25">
        <v>1</v>
      </c>
    </row>
    <row r="432" spans="3:16">
      <c r="C432" s="22" t="s">
        <v>2165</v>
      </c>
      <c r="D432" t="str">
        <f>VLOOKUP(Table3[[#This Row],[Employee No.]],Table1_1[[Employee No.]:[Employee Name]],2,FALSE)</f>
        <v>SUMAN ALE MAGAR</v>
      </c>
      <c r="E432" t="str">
        <f>VLOOKUP(Table3[[#This Row],[Employee No.]],Table1_1[[Employee No.]:[Department]],6,FALSE)</f>
        <v>CU</v>
      </c>
      <c r="F432" t="str">
        <f>VLOOKUP(Table3[[#This Row],[Employee No.]],Table1_1[[Employee No.]:[Gender]],7,FALSE)</f>
        <v>M</v>
      </c>
      <c r="G432" t="str">
        <f>VLOOKUP(Table3[[#This Row],[Employee No.]],Table1_1[[Employee No.]:[Shift]],9,FALSE)</f>
        <v>SHIFT C</v>
      </c>
      <c r="H432" s="25">
        <v>0</v>
      </c>
      <c r="I432" s="25">
        <v>0</v>
      </c>
      <c r="J432" s="25">
        <v>1</v>
      </c>
      <c r="K432" s="25">
        <v>1</v>
      </c>
      <c r="L432" s="25">
        <v>1</v>
      </c>
      <c r="M432" s="25">
        <v>1</v>
      </c>
    </row>
    <row r="433" spans="3:16">
      <c r="C433" s="22" t="s">
        <v>2167</v>
      </c>
      <c r="D433" t="str">
        <f>VLOOKUP(Table3[[#This Row],[Employee No.]],Table1_1[[Employee No.]:[Employee Name]],2,FALSE)</f>
        <v>SUMBHO HANG LIMBU</v>
      </c>
      <c r="E433" t="str">
        <f>VLOOKUP(Table3[[#This Row],[Employee No.]],Table1_1[[Employee No.]:[Department]],6,FALSE)</f>
        <v>CU</v>
      </c>
      <c r="F433" t="str">
        <f>VLOOKUP(Table3[[#This Row],[Employee No.]],Table1_1[[Employee No.]:[Gender]],7,FALSE)</f>
        <v>M</v>
      </c>
      <c r="G433" t="str">
        <f>VLOOKUP(Table3[[#This Row],[Employee No.]],Table1_1[[Employee No.]:[Shift]],9,FALSE)</f>
        <v>SHIFT B</v>
      </c>
      <c r="H433" s="25">
        <v>1</v>
      </c>
      <c r="I433" s="25">
        <v>1</v>
      </c>
      <c r="J433" s="25">
        <v>1</v>
      </c>
      <c r="K433" s="25">
        <v>1</v>
      </c>
      <c r="L433" s="25">
        <v>1</v>
      </c>
      <c r="M433" s="25">
        <v>1</v>
      </c>
    </row>
    <row r="434" spans="3:16">
      <c r="C434" s="22" t="s">
        <v>2169</v>
      </c>
      <c r="D434" t="str">
        <f>VLOOKUP(Table3[[#This Row],[Employee No.]],Table1_1[[Employee No.]:[Employee Name]],2,FALSE)</f>
        <v>SUNIL KUMAR ARGARIYA  YADAV</v>
      </c>
      <c r="E434" t="str">
        <f>VLOOKUP(Table3[[#This Row],[Employee No.]],Table1_1[[Employee No.]:[Department]],6,FALSE)</f>
        <v>ROUTER</v>
      </c>
      <c r="F434" t="str">
        <f>VLOOKUP(Table3[[#This Row],[Employee No.]],Table1_1[[Employee No.]:[Gender]],7,FALSE)</f>
        <v>M</v>
      </c>
      <c r="G434" t="str">
        <f>VLOOKUP(Table3[[#This Row],[Employee No.]],Table1_1[[Employee No.]:[Shift]],9,FALSE)</f>
        <v>SHIFT A</v>
      </c>
      <c r="H434" s="25">
        <v>1</v>
      </c>
      <c r="I434" s="25">
        <v>1</v>
      </c>
      <c r="J434" s="25">
        <v>1</v>
      </c>
      <c r="K434" s="25">
        <v>0</v>
      </c>
      <c r="L434" s="25">
        <v>1</v>
      </c>
      <c r="M434" s="25">
        <v>1</v>
      </c>
    </row>
    <row r="435" spans="3:16">
      <c r="C435" s="22" t="s">
        <v>2171</v>
      </c>
      <c r="D435" t="str">
        <f>VLOOKUP(Table3[[#This Row],[Employee No.]],Table1_1[[Employee No.]:[Employee Name]],2,FALSE)</f>
        <v>SURENDRA KUMAR KUSHWAHA</v>
      </c>
      <c r="E435" t="str">
        <f>VLOOKUP(Table3[[#This Row],[Employee No.]],Table1_1[[Employee No.]:[Department]],6,FALSE)</f>
        <v>CHAMFER</v>
      </c>
      <c r="F435" t="str">
        <f>VLOOKUP(Table3[[#This Row],[Employee No.]],Table1_1[[Employee No.]:[Gender]],7,FALSE)</f>
        <v>M</v>
      </c>
      <c r="G435" t="str">
        <f>VLOOKUP(Table3[[#This Row],[Employee No.]],Table1_1[[Employee No.]:[Shift]],9,FALSE)</f>
        <v>SHIFT B</v>
      </c>
      <c r="H435" s="25">
        <v>1</v>
      </c>
      <c r="I435" s="25">
        <v>1</v>
      </c>
      <c r="J435" s="25">
        <v>1</v>
      </c>
      <c r="K435" s="25">
        <v>1</v>
      </c>
      <c r="L435" s="25">
        <v>1</v>
      </c>
      <c r="M435" s="25">
        <v>1</v>
      </c>
    </row>
    <row r="436" spans="3:16">
      <c r="C436" s="22" t="s">
        <v>2173</v>
      </c>
      <c r="D436" t="str">
        <f>VLOOKUP(Table3[[#This Row],[Employee No.]],Table1_1[[Employee No.]:[Employee Name]],2,FALSE)</f>
        <v>SUSHIL PRASAD MEHTA</v>
      </c>
      <c r="E436" t="str">
        <f>VLOOKUP(Table3[[#This Row],[Employee No.]],Table1_1[[Employee No.]:[Department]],6,FALSE)</f>
        <v>CU</v>
      </c>
      <c r="F436" t="str">
        <f>VLOOKUP(Table3[[#This Row],[Employee No.]],Table1_1[[Employee No.]:[Gender]],7,FALSE)</f>
        <v>M</v>
      </c>
      <c r="G436" t="str">
        <f>VLOOKUP(Table3[[#This Row],[Employee No.]],Table1_1[[Employee No.]:[Shift]],9,FALSE)</f>
        <v>SHIFT A</v>
      </c>
      <c r="H436" s="25">
        <v>1</v>
      </c>
      <c r="I436" s="25">
        <v>1</v>
      </c>
      <c r="J436" s="25">
        <v>1</v>
      </c>
      <c r="K436" s="25">
        <v>1</v>
      </c>
      <c r="L436" s="25">
        <v>1</v>
      </c>
      <c r="M436" s="25">
        <v>1</v>
      </c>
    </row>
    <row r="437" spans="3:16">
      <c r="C437" s="22" t="s">
        <v>2175</v>
      </c>
      <c r="D437" t="str">
        <f>VLOOKUP(Table3[[#This Row],[Employee No.]],Table1_1[[Employee No.]:[Employee Name]],2,FALSE)</f>
        <v>TOP BAHADUR B C</v>
      </c>
      <c r="E437" t="str">
        <f>VLOOKUP(Table3[[#This Row],[Employee No.]],Table1_1[[Employee No.]:[Department]],6,FALSE)</f>
        <v>NPI</v>
      </c>
      <c r="F437" t="str">
        <f>VLOOKUP(Table3[[#This Row],[Employee No.]],Table1_1[[Employee No.]:[Gender]],7,FALSE)</f>
        <v>M</v>
      </c>
      <c r="G437" t="str">
        <f>VLOOKUP(Table3[[#This Row],[Employee No.]],Table1_1[[Employee No.]:[Shift]],9,FALSE)</f>
        <v>SHIFT B</v>
      </c>
      <c r="H437" s="25">
        <v>1</v>
      </c>
      <c r="I437" s="25">
        <v>1</v>
      </c>
      <c r="J437" s="25">
        <v>1</v>
      </c>
      <c r="K437" s="25">
        <v>1</v>
      </c>
      <c r="L437" s="25">
        <v>1</v>
      </c>
      <c r="M437" s="25">
        <v>0</v>
      </c>
    </row>
    <row r="438" spans="3:16">
      <c r="C438" s="22" t="s">
        <v>2177</v>
      </c>
      <c r="D438" t="str">
        <f>VLOOKUP(Table3[[#This Row],[Employee No.]],Table1_1[[Employee No.]:[Employee Name]],2,FALSE)</f>
        <v>UJJWAL ACHARYA</v>
      </c>
      <c r="E438" t="str">
        <f>VLOOKUP(Table3[[#This Row],[Employee No.]],Table1_1[[Employee No.]:[Department]],6,FALSE)</f>
        <v>NPI</v>
      </c>
      <c r="F438" t="str">
        <f>VLOOKUP(Table3[[#This Row],[Employee No.]],Table1_1[[Employee No.]:[Gender]],7,FALSE)</f>
        <v>M</v>
      </c>
      <c r="G438" t="str">
        <f>VLOOKUP(Table3[[#This Row],[Employee No.]],Table1_1[[Employee No.]:[Shift]],9,FALSE)</f>
        <v>SHIFT A</v>
      </c>
      <c r="H438" s="25">
        <v>1</v>
      </c>
      <c r="I438" s="25">
        <v>1</v>
      </c>
      <c r="J438" s="25">
        <v>1</v>
      </c>
      <c r="K438" s="25">
        <v>0</v>
      </c>
      <c r="L438" s="25">
        <v>0</v>
      </c>
      <c r="M438" s="25">
        <v>0</v>
      </c>
    </row>
    <row r="439" spans="3:16">
      <c r="C439" s="22" t="s">
        <v>2179</v>
      </c>
      <c r="D439" t="str">
        <f>VLOOKUP(Table3[[#This Row],[Employee No.]],Table1_1[[Employee No.]:[Employee Name]],2,FALSE)</f>
        <v>UMESH BISTA</v>
      </c>
      <c r="E439" t="str">
        <f>VLOOKUP(Table3[[#This Row],[Employee No.]],Table1_1[[Employee No.]:[Department]],6,FALSE)</f>
        <v>DRILL</v>
      </c>
      <c r="F439" t="str">
        <f>VLOOKUP(Table3[[#This Row],[Employee No.]],Table1_1[[Employee No.]:[Gender]],7,FALSE)</f>
        <v>M</v>
      </c>
      <c r="G439" t="str">
        <f>VLOOKUP(Table3[[#This Row],[Employee No.]],Table1_1[[Employee No.]:[Shift]],9,FALSE)</f>
        <v>SHIFT A</v>
      </c>
      <c r="H439" s="25">
        <v>1</v>
      </c>
      <c r="I439" s="25">
        <v>1</v>
      </c>
      <c r="J439" s="25">
        <v>1</v>
      </c>
      <c r="K439" s="25">
        <v>1</v>
      </c>
      <c r="L439" s="25">
        <v>1</v>
      </c>
      <c r="M439" s="25">
        <v>1</v>
      </c>
    </row>
    <row r="440" spans="3:16">
      <c r="C440" s="22" t="s">
        <v>2181</v>
      </c>
      <c r="D440" t="str">
        <f>VLOOKUP(Table3[[#This Row],[Employee No.]],Table1_1[[Employee No.]:[Employee Name]],2,FALSE)</f>
        <v>UPENDRA MAHATO</v>
      </c>
      <c r="E440" t="str">
        <f>VLOOKUP(Table3[[#This Row],[Employee No.]],Table1_1[[Employee No.]:[Department]],6,FALSE)</f>
        <v>SM</v>
      </c>
      <c r="F440" t="str">
        <f>VLOOKUP(Table3[[#This Row],[Employee No.]],Table1_1[[Employee No.]:[Gender]],7,FALSE)</f>
        <v>M</v>
      </c>
      <c r="G440" t="str">
        <f>VLOOKUP(Table3[[#This Row],[Employee No.]],Table1_1[[Employee No.]:[Shift]],9,FALSE)</f>
        <v>SHIFT C</v>
      </c>
      <c r="H440" s="25">
        <v>1</v>
      </c>
      <c r="I440" s="25">
        <v>1</v>
      </c>
      <c r="J440" s="25">
        <v>1</v>
      </c>
      <c r="K440" s="25">
        <v>1</v>
      </c>
      <c r="L440" s="25">
        <v>1</v>
      </c>
      <c r="M440" s="25">
        <v>1</v>
      </c>
    </row>
    <row r="441" spans="3:16">
      <c r="C441" s="22" t="s">
        <v>2183</v>
      </c>
      <c r="D441" t="str">
        <f>VLOOKUP(Table3[[#This Row],[Employee No.]],Table1_1[[Employee No.]:[Employee Name]],2,FALSE)</f>
        <v>YUBRAJ CHALAUNE</v>
      </c>
      <c r="E441" t="str">
        <f>VLOOKUP(Table3[[#This Row],[Employee No.]],Table1_1[[Employee No.]:[Department]],6,FALSE)</f>
        <v>SM</v>
      </c>
      <c r="F441" t="str">
        <f>VLOOKUP(Table3[[#This Row],[Employee No.]],Table1_1[[Employee No.]:[Gender]],7,FALSE)</f>
        <v>M</v>
      </c>
      <c r="G441" t="str">
        <f>VLOOKUP(Table3[[#This Row],[Employee No.]],Table1_1[[Employee No.]:[Shift]],9,FALSE)</f>
        <v>SHIFT B</v>
      </c>
      <c r="H441" s="25">
        <v>1</v>
      </c>
      <c r="I441" s="25">
        <v>1</v>
      </c>
      <c r="J441" s="25">
        <v>1</v>
      </c>
      <c r="K441" s="25">
        <v>1</v>
      </c>
      <c r="L441" s="25">
        <v>1</v>
      </c>
      <c r="M441" s="25">
        <v>1</v>
      </c>
    </row>
    <row r="442" spans="3:16">
      <c r="C442" s="22" t="s">
        <v>2206</v>
      </c>
      <c r="D442" t="str">
        <f>VLOOKUP(Table3[[#This Row],[Employee No.]],Table1_1[[Employee No.]:[Employee Name]],2,FALSE)</f>
        <v>NURUL AINUR AFIFAH BINTI ZAIDY ISMAIL</v>
      </c>
      <c r="E442" t="str">
        <f>VLOOKUP(Table3[[#This Row],[Employee No.]],Table1_1[[Employee No.]:[Department]],6,FALSE)</f>
        <v>FVI</v>
      </c>
      <c r="F442" t="str">
        <f>VLOOKUP(Table3[[#This Row],[Employee No.]],Table1_1[[Employee No.]:[Gender]],7,FALSE)</f>
        <v>F</v>
      </c>
      <c r="G442" t="str">
        <f>VLOOKUP(Table3[[#This Row],[Employee No.]],Table1_1[[Employee No.]:[Shift]],9,FALSE)</f>
        <v>SHIFT B</v>
      </c>
      <c r="H442" s="25">
        <v>1</v>
      </c>
      <c r="I442" s="25">
        <v>1</v>
      </c>
      <c r="J442" s="25">
        <v>1</v>
      </c>
      <c r="K442" s="25">
        <v>1</v>
      </c>
      <c r="L442" s="25">
        <v>1</v>
      </c>
      <c r="M442" s="25">
        <v>1</v>
      </c>
    </row>
    <row r="443" spans="3:16">
      <c r="C443" s="22" t="s">
        <v>2217</v>
      </c>
      <c r="D443" t="str">
        <f>VLOOKUP(Table3[[#This Row],[Employee No.]],Table1_1[[Employee No.]:[Employee Name]],2,FALSE)</f>
        <v>CASTRI SINAGA</v>
      </c>
      <c r="E443" t="str">
        <f>VLOOKUP(Table3[[#This Row],[Employee No.]],Table1_1[[Employee No.]:[Department]],6,FALSE)</f>
        <v>FVI</v>
      </c>
      <c r="F443" t="str">
        <f>VLOOKUP(Table3[[#This Row],[Employee No.]],Table1_1[[Employee No.]:[Gender]],7,FALSE)</f>
        <v>F</v>
      </c>
      <c r="G443" t="str">
        <f>VLOOKUP(Table3[[#This Row],[Employee No.]],Table1_1[[Employee No.]:[Shift]],9,FALSE)</f>
        <v>SHIFT B</v>
      </c>
      <c r="H443" s="25">
        <v>1</v>
      </c>
      <c r="I443" s="25">
        <v>1</v>
      </c>
      <c r="J443" s="25">
        <v>1</v>
      </c>
      <c r="K443" s="25">
        <v>1</v>
      </c>
      <c r="L443" s="25">
        <v>1</v>
      </c>
      <c r="M443" s="25">
        <v>1</v>
      </c>
    </row>
    <row r="444" spans="3:16">
      <c r="C444" s="22" t="s">
        <v>2219</v>
      </c>
      <c r="D444" t="str">
        <f>VLOOKUP(Table3[[#This Row],[Employee No.]],Table1_1[[Employee No.]:[Employee Name]],2,FALSE)</f>
        <v>DESTRI ROMARITO HUTASOIT</v>
      </c>
      <c r="E444" t="str">
        <f>VLOOKUP(Table3[[#This Row],[Employee No.]],Table1_1[[Employee No.]:[Department]],6,FALSE)</f>
        <v>FVI</v>
      </c>
      <c r="F444" t="str">
        <f>VLOOKUP(Table3[[#This Row],[Employee No.]],Table1_1[[Employee No.]:[Gender]],7,FALSE)</f>
        <v>F</v>
      </c>
      <c r="G444" t="str">
        <f>VLOOKUP(Table3[[#This Row],[Employee No.]],Table1_1[[Employee No.]:[Shift]],9,FALSE)</f>
        <v>SHIFT C</v>
      </c>
      <c r="H444" s="25">
        <v>1</v>
      </c>
      <c r="I444" s="25">
        <v>1</v>
      </c>
      <c r="J444" s="25">
        <v>1</v>
      </c>
      <c r="K444" s="25">
        <v>1</v>
      </c>
      <c r="L444" s="25">
        <v>1</v>
      </c>
      <c r="M444" s="25">
        <v>1</v>
      </c>
      <c r="P444" s="25"/>
    </row>
    <row r="445" spans="3:16">
      <c r="C445" s="22" t="s">
        <v>2221</v>
      </c>
      <c r="D445" t="str">
        <f>VLOOKUP(Table3[[#This Row],[Employee No.]],Table1_1[[Employee No.]:[Employee Name]],2,FALSE)</f>
        <v>DEVI ELISYA NAINGGOLAN</v>
      </c>
      <c r="E445" t="str">
        <f>VLOOKUP(Table3[[#This Row],[Employee No.]],Table1_1[[Employee No.]:[Department]],6,FALSE)</f>
        <v>FVI</v>
      </c>
      <c r="F445" t="str">
        <f>VLOOKUP(Table3[[#This Row],[Employee No.]],Table1_1[[Employee No.]:[Gender]],7,FALSE)</f>
        <v>F</v>
      </c>
      <c r="G445" t="str">
        <f>VLOOKUP(Table3[[#This Row],[Employee No.]],Table1_1[[Employee No.]:[Shift]],9,FALSE)</f>
        <v>SHIFT B</v>
      </c>
      <c r="H445" s="25">
        <v>1</v>
      </c>
      <c r="I445" s="25">
        <v>1</v>
      </c>
      <c r="J445" s="25">
        <v>1</v>
      </c>
      <c r="K445" s="25">
        <v>1</v>
      </c>
      <c r="L445" s="25">
        <v>1</v>
      </c>
      <c r="M445" s="25">
        <v>1</v>
      </c>
    </row>
    <row r="446" spans="3:16">
      <c r="C446" s="22" t="s">
        <v>2223</v>
      </c>
      <c r="D446" t="str">
        <f>VLOOKUP(Table3[[#This Row],[Employee No.]],Table1_1[[Employee No.]:[Employee Name]],2,FALSE)</f>
        <v>GETA SITORUS</v>
      </c>
      <c r="E446" t="str">
        <f>VLOOKUP(Table3[[#This Row],[Employee No.]],Table1_1[[Employee No.]:[Department]],6,FALSE)</f>
        <v>LASER</v>
      </c>
      <c r="F446" t="str">
        <f>VLOOKUP(Table3[[#This Row],[Employee No.]],Table1_1[[Employee No.]:[Gender]],7,FALSE)</f>
        <v>F</v>
      </c>
      <c r="G446" t="str">
        <f>VLOOKUP(Table3[[#This Row],[Employee No.]],Table1_1[[Employee No.]:[Shift]],9,FALSE)</f>
        <v>SHIFT B</v>
      </c>
      <c r="H446" s="25">
        <v>1</v>
      </c>
      <c r="I446" s="25">
        <v>1</v>
      </c>
      <c r="J446" s="25">
        <v>1</v>
      </c>
      <c r="K446" s="25">
        <v>1</v>
      </c>
      <c r="L446" s="25">
        <v>1</v>
      </c>
      <c r="M446" s="25">
        <v>1</v>
      </c>
    </row>
    <row r="447" spans="3:16">
      <c r="C447" s="22" t="s">
        <v>2225</v>
      </c>
      <c r="D447" t="str">
        <f>VLOOKUP(Table3[[#This Row],[Employee No.]],Table1_1[[Employee No.]:[Employee Name]],2,FALSE)</f>
        <v>ILDA WINITA HASIBUAN</v>
      </c>
      <c r="E447" t="str">
        <f>VLOOKUP(Table3[[#This Row],[Employee No.]],Table1_1[[Employee No.]:[Department]],6,FALSE)</f>
        <v>FVI</v>
      </c>
      <c r="F447" t="str">
        <f>VLOOKUP(Table3[[#This Row],[Employee No.]],Table1_1[[Employee No.]:[Gender]],7,FALSE)</f>
        <v>F</v>
      </c>
      <c r="G447" t="str">
        <f>VLOOKUP(Table3[[#This Row],[Employee No.]],Table1_1[[Employee No.]:[Shift]],9,FALSE)</f>
        <v>SHIFT B</v>
      </c>
      <c r="H447" s="25">
        <v>1</v>
      </c>
      <c r="I447" s="25">
        <v>1</v>
      </c>
      <c r="J447" s="25">
        <v>1</v>
      </c>
      <c r="K447" s="25">
        <v>1</v>
      </c>
      <c r="L447" s="25">
        <v>1</v>
      </c>
      <c r="M447" s="25">
        <v>1</v>
      </c>
    </row>
    <row r="448" spans="3:16">
      <c r="C448" s="22" t="s">
        <v>2227</v>
      </c>
      <c r="D448" t="str">
        <f>VLOOKUP(Table3[[#This Row],[Employee No.]],Table1_1[[Employee No.]:[Employee Name]],2,FALSE)</f>
        <v>INGGRIK HANDAYANI SIRAIT</v>
      </c>
      <c r="E448" t="str">
        <f>VLOOKUP(Table3[[#This Row],[Employee No.]],Table1_1[[Employee No.]:[Department]],6,FALSE)</f>
        <v>FVI</v>
      </c>
      <c r="F448" t="str">
        <f>VLOOKUP(Table3[[#This Row],[Employee No.]],Table1_1[[Employee No.]:[Gender]],7,FALSE)</f>
        <v>F</v>
      </c>
      <c r="G448" t="str">
        <f>VLOOKUP(Table3[[#This Row],[Employee No.]],Table1_1[[Employee No.]:[Shift]],9,FALSE)</f>
        <v>SHIFT B</v>
      </c>
      <c r="H448" s="25">
        <v>1</v>
      </c>
      <c r="I448" s="25">
        <v>1</v>
      </c>
      <c r="J448" s="25">
        <v>1</v>
      </c>
      <c r="K448" s="25">
        <v>1</v>
      </c>
      <c r="L448" s="25">
        <v>1</v>
      </c>
      <c r="M448" s="25">
        <v>1</v>
      </c>
    </row>
    <row r="449" spans="3:16">
      <c r="C449" s="22" t="s">
        <v>2229</v>
      </c>
      <c r="D449" t="str">
        <f>VLOOKUP(Table3[[#This Row],[Employee No.]],Table1_1[[Employee No.]:[Employee Name]],2,FALSE)</f>
        <v>MIRA PURNAMA SARI SIPAYUNG</v>
      </c>
      <c r="E449" t="str">
        <f>VLOOKUP(Table3[[#This Row],[Employee No.]],Table1_1[[Employee No.]:[Department]],6,FALSE)</f>
        <v>FVI</v>
      </c>
      <c r="F449" t="str">
        <f>VLOOKUP(Table3[[#This Row],[Employee No.]],Table1_1[[Employee No.]:[Gender]],7,FALSE)</f>
        <v>F</v>
      </c>
      <c r="G449" t="str">
        <f>VLOOKUP(Table3[[#This Row],[Employee No.]],Table1_1[[Employee No.]:[Shift]],9,FALSE)</f>
        <v>SHIFT C</v>
      </c>
      <c r="H449" s="25">
        <v>1</v>
      </c>
      <c r="I449" s="25">
        <v>1</v>
      </c>
      <c r="J449" s="25">
        <v>1</v>
      </c>
      <c r="K449" s="25">
        <v>1</v>
      </c>
      <c r="L449" s="25">
        <v>1</v>
      </c>
      <c r="M449" s="25">
        <v>1</v>
      </c>
      <c r="P449" s="25"/>
    </row>
    <row r="450" spans="3:16">
      <c r="C450" s="22" t="s">
        <v>2231</v>
      </c>
      <c r="D450" t="str">
        <f>VLOOKUP(Table3[[#This Row],[Employee No.]],Table1_1[[Employee No.]:[Employee Name]],2,FALSE)</f>
        <v>MONALISA TAMBUNAN</v>
      </c>
      <c r="E450" t="str">
        <f>VLOOKUP(Table3[[#This Row],[Employee No.]],Table1_1[[Employee No.]:[Department]],6,FALSE)</f>
        <v>DRILL</v>
      </c>
      <c r="F450" t="str">
        <f>VLOOKUP(Table3[[#This Row],[Employee No.]],Table1_1[[Employee No.]:[Gender]],7,FALSE)</f>
        <v>F</v>
      </c>
      <c r="G450" t="str">
        <f>VLOOKUP(Table3[[#This Row],[Employee No.]],Table1_1[[Employee No.]:[Shift]],9,FALSE)</f>
        <v>SHIFT B</v>
      </c>
      <c r="H450" s="25">
        <v>1</v>
      </c>
      <c r="I450" s="25">
        <v>1</v>
      </c>
      <c r="J450" s="25">
        <v>1</v>
      </c>
      <c r="K450" s="25">
        <v>1</v>
      </c>
      <c r="L450" s="25">
        <v>1</v>
      </c>
      <c r="M450" s="25">
        <v>1</v>
      </c>
    </row>
    <row r="451" spans="3:16">
      <c r="C451" s="22" t="s">
        <v>2233</v>
      </c>
      <c r="D451" t="str">
        <f>VLOOKUP(Table3[[#This Row],[Employee No.]],Table1_1[[Employee No.]:[Employee Name]],2,FALSE)</f>
        <v>NURMALA KURNIAWATI</v>
      </c>
      <c r="E451" t="str">
        <f>VLOOKUP(Table3[[#This Row],[Employee No.]],Table1_1[[Employee No.]:[Department]],6,FALSE)</f>
        <v>FVI</v>
      </c>
      <c r="F451" t="str">
        <f>VLOOKUP(Table3[[#This Row],[Employee No.]],Table1_1[[Employee No.]:[Gender]],7,FALSE)</f>
        <v>F</v>
      </c>
      <c r="G451" t="str">
        <f>VLOOKUP(Table3[[#This Row],[Employee No.]],Table1_1[[Employee No.]:[Shift]],9,FALSE)</f>
        <v>SHIFT A</v>
      </c>
      <c r="H451" s="25">
        <v>1</v>
      </c>
      <c r="I451" s="25">
        <v>1</v>
      </c>
      <c r="J451" s="25">
        <v>1</v>
      </c>
      <c r="K451" s="25">
        <v>1</v>
      </c>
      <c r="L451" s="25">
        <v>1</v>
      </c>
      <c r="M451" s="25">
        <v>1</v>
      </c>
    </row>
    <row r="452" spans="3:16">
      <c r="C452" s="22" t="s">
        <v>2235</v>
      </c>
      <c r="D452" t="str">
        <f>VLOOKUP(Table3[[#This Row],[Employee No.]],Table1_1[[Employee No.]:[Employee Name]],2,FALSE)</f>
        <v>PUTRI MONIKA SIANTURI</v>
      </c>
      <c r="E452" t="str">
        <f>VLOOKUP(Table3[[#This Row],[Employee No.]],Table1_1[[Employee No.]:[Department]],6,FALSE)</f>
        <v>FVI</v>
      </c>
      <c r="F452" t="str">
        <f>VLOOKUP(Table3[[#This Row],[Employee No.]],Table1_1[[Employee No.]:[Gender]],7,FALSE)</f>
        <v>F</v>
      </c>
      <c r="G452" t="str">
        <f>VLOOKUP(Table3[[#This Row],[Employee No.]],Table1_1[[Employee No.]:[Shift]],9,FALSE)</f>
        <v>SHIFT C</v>
      </c>
      <c r="H452" s="25">
        <v>1</v>
      </c>
      <c r="I452" s="25">
        <v>1</v>
      </c>
      <c r="J452" s="25">
        <v>1</v>
      </c>
      <c r="K452" s="25">
        <v>1</v>
      </c>
      <c r="L452" s="25">
        <v>1</v>
      </c>
      <c r="M452" s="25">
        <v>1</v>
      </c>
      <c r="P452" s="25"/>
    </row>
    <row r="453" spans="3:16">
      <c r="C453" s="22" t="s">
        <v>2237</v>
      </c>
      <c r="D453" t="str">
        <f>VLOOKUP(Table3[[#This Row],[Employee No.]],Table1_1[[Employee No.]:[Employee Name]],2,FALSE)</f>
        <v>SITI AISYAH</v>
      </c>
      <c r="E453" t="str">
        <f>VLOOKUP(Table3[[#This Row],[Employee No.]],Table1_1[[Employee No.]:[Department]],6,FALSE)</f>
        <v>FVI</v>
      </c>
      <c r="F453" t="str">
        <f>VLOOKUP(Table3[[#This Row],[Employee No.]],Table1_1[[Employee No.]:[Gender]],7,FALSE)</f>
        <v>F</v>
      </c>
      <c r="G453" t="str">
        <f>VLOOKUP(Table3[[#This Row],[Employee No.]],Table1_1[[Employee No.]:[Shift]],9,FALSE)</f>
        <v>SHIFT A</v>
      </c>
      <c r="H453" s="25">
        <v>1</v>
      </c>
      <c r="I453" s="25">
        <v>1</v>
      </c>
      <c r="J453" s="25">
        <v>1</v>
      </c>
      <c r="K453" s="25">
        <v>1</v>
      </c>
      <c r="L453" s="25">
        <v>1</v>
      </c>
      <c r="M453" s="25">
        <v>1</v>
      </c>
    </row>
    <row r="454" spans="3:16">
      <c r="C454" s="22" t="s">
        <v>2239</v>
      </c>
      <c r="D454" t="str">
        <f>VLOOKUP(Table3[[#This Row],[Employee No.]],Table1_1[[Employee No.]:[Employee Name]],2,FALSE)</f>
        <v>SRI HARTATI LUSIANA SIHOMBING</v>
      </c>
      <c r="E454" t="str">
        <f>VLOOKUP(Table3[[#This Row],[Employee No.]],Table1_1[[Employee No.]:[Department]],6,FALSE)</f>
        <v>FVI</v>
      </c>
      <c r="F454" t="str">
        <f>VLOOKUP(Table3[[#This Row],[Employee No.]],Table1_1[[Employee No.]:[Gender]],7,FALSE)</f>
        <v>F</v>
      </c>
      <c r="G454" t="str">
        <f>VLOOKUP(Table3[[#This Row],[Employee No.]],Table1_1[[Employee No.]:[Shift]],9,FALSE)</f>
        <v>SHIFT A</v>
      </c>
      <c r="H454" s="25">
        <v>1</v>
      </c>
      <c r="I454" s="25">
        <v>1</v>
      </c>
      <c r="J454" s="25">
        <v>1</v>
      </c>
      <c r="K454" s="25">
        <v>1</v>
      </c>
      <c r="L454" s="25">
        <v>1</v>
      </c>
      <c r="M454" s="25">
        <v>1</v>
      </c>
    </row>
    <row r="455" spans="3:16">
      <c r="C455" s="22" t="s">
        <v>2241</v>
      </c>
      <c r="D455" t="str">
        <f>VLOOKUP(Table3[[#This Row],[Employee No.]],Table1_1[[Employee No.]:[Employee Name]],2,FALSE)</f>
        <v>TRESIANA SIREGAR</v>
      </c>
      <c r="E455" t="str">
        <f>VLOOKUP(Table3[[#This Row],[Employee No.]],Table1_1[[Employee No.]:[Department]],6,FALSE)</f>
        <v>FVI</v>
      </c>
      <c r="F455" t="str">
        <f>VLOOKUP(Table3[[#This Row],[Employee No.]],Table1_1[[Employee No.]:[Gender]],7,FALSE)</f>
        <v>F</v>
      </c>
      <c r="G455" t="str">
        <f>VLOOKUP(Table3[[#This Row],[Employee No.]],Table1_1[[Employee No.]:[Shift]],9,FALSE)</f>
        <v>SHIFT B</v>
      </c>
      <c r="H455" s="25">
        <v>1</v>
      </c>
      <c r="I455" s="25">
        <v>1</v>
      </c>
      <c r="J455" s="25">
        <v>1</v>
      </c>
      <c r="K455" s="25">
        <v>1</v>
      </c>
      <c r="L455" s="25">
        <v>1</v>
      </c>
      <c r="M455" s="25">
        <v>1</v>
      </c>
    </row>
    <row r="456" spans="3:16">
      <c r="C456" s="22" t="s">
        <v>2247</v>
      </c>
      <c r="D456" t="str">
        <f>VLOOKUP(Table3[[#This Row],[Employee No.]],Table1_1[[Employee No.]:[Employee Name]],2,FALSE)</f>
        <v>MUHAMAD HASROL BIN SUBDIN</v>
      </c>
      <c r="E456" t="str">
        <f>VLOOKUP(Table3[[#This Row],[Employee No.]],Table1_1[[Employee No.]:[Department]],6,FALSE)</f>
        <v>EQUIPMENT</v>
      </c>
      <c r="F456" t="str">
        <f>VLOOKUP(Table3[[#This Row],[Employee No.]],Table1_1[[Employee No.]:[Gender]],7,FALSE)</f>
        <v>M</v>
      </c>
      <c r="G456" t="str">
        <f>VLOOKUP(Table3[[#This Row],[Employee No.]],Table1_1[[Employee No.]:[Shift]],9,FALSE)</f>
        <v>SHIFT B</v>
      </c>
      <c r="H456" s="25">
        <v>1</v>
      </c>
      <c r="I456" s="25">
        <v>1</v>
      </c>
      <c r="J456" s="25">
        <v>1</v>
      </c>
      <c r="K456" s="25">
        <v>1</v>
      </c>
      <c r="L456" s="25">
        <v>1</v>
      </c>
      <c r="M456" s="25">
        <v>0</v>
      </c>
    </row>
    <row r="457" spans="3:16">
      <c r="C457" s="22" t="s">
        <v>2251</v>
      </c>
      <c r="D457" t="str">
        <f>VLOOKUP(Table3[[#This Row],[Employee No.]],Table1_1[[Employee No.]:[Employee Name]],2,FALSE)</f>
        <v>MOHD FAKHRI BIN ABDULLAH</v>
      </c>
      <c r="E457" t="str">
        <f>VLOOKUP(Table3[[#This Row],[Employee No.]],Table1_1[[Employee No.]:[Department]],6,FALSE)</f>
        <v>EQUIPMENT</v>
      </c>
      <c r="F457" t="str">
        <f>VLOOKUP(Table3[[#This Row],[Employee No.]],Table1_1[[Employee No.]:[Gender]],7,FALSE)</f>
        <v>M</v>
      </c>
      <c r="G457" t="str">
        <f>VLOOKUP(Table3[[#This Row],[Employee No.]],Table1_1[[Employee No.]:[Shift]],9,FALSE)</f>
        <v>SHIFT B</v>
      </c>
      <c r="H457" s="25">
        <v>1</v>
      </c>
      <c r="I457" s="25">
        <v>1</v>
      </c>
      <c r="J457" s="25">
        <v>1</v>
      </c>
      <c r="K457" s="25">
        <v>1</v>
      </c>
      <c r="L457" s="25">
        <v>1</v>
      </c>
      <c r="M457" s="25">
        <v>0</v>
      </c>
    </row>
    <row r="458" spans="3:16">
      <c r="C458" s="22" t="s">
        <v>2259</v>
      </c>
      <c r="D458" t="str">
        <f>VLOOKUP(Table3[[#This Row],[Employee No.]],Table1_1[[Employee No.]:[Employee Name]],2,FALSE)</f>
        <v>AIMAN SYAUQI BIN HUSSAIN</v>
      </c>
      <c r="E458" t="str">
        <f>VLOOKUP(Table3[[#This Row],[Employee No.]],Table1_1[[Employee No.]:[Department]],6,FALSE)</f>
        <v>AOI</v>
      </c>
      <c r="F458" t="str">
        <f>VLOOKUP(Table3[[#This Row],[Employee No.]],Table1_1[[Employee No.]:[Gender]],7,FALSE)</f>
        <v>M</v>
      </c>
      <c r="G458" t="str">
        <f>VLOOKUP(Table3[[#This Row],[Employee No.]],Table1_1[[Employee No.]:[Shift]],9,FALSE)</f>
        <v>SHIFT B</v>
      </c>
      <c r="H458" s="25">
        <v>1</v>
      </c>
      <c r="I458" s="25">
        <v>1</v>
      </c>
      <c r="J458" s="25">
        <v>1</v>
      </c>
      <c r="K458" s="25">
        <v>1</v>
      </c>
      <c r="L458" s="25">
        <v>1</v>
      </c>
      <c r="M458" s="25">
        <v>1</v>
      </c>
    </row>
    <row r="459" spans="3:16">
      <c r="C459" s="22" t="s">
        <v>2263</v>
      </c>
      <c r="D459" t="str">
        <f>VLOOKUP(Table3[[#This Row],[Employee No.]],Table1_1[[Employee No.]:[Employee Name]],2,FALSE)</f>
        <v>AMIRUL EHSAN BIN RODZMAN</v>
      </c>
      <c r="E459" t="str">
        <f>VLOOKUP(Table3[[#This Row],[Employee No.]],Table1_1[[Employee No.]:[Department]],6,FALSE)</f>
        <v>AOI</v>
      </c>
      <c r="F459" t="str">
        <f>VLOOKUP(Table3[[#This Row],[Employee No.]],Table1_1[[Employee No.]:[Gender]],7,FALSE)</f>
        <v>M</v>
      </c>
      <c r="G459" t="str">
        <f>VLOOKUP(Table3[[#This Row],[Employee No.]],Table1_1[[Employee No.]:[Shift]],9,FALSE)</f>
        <v>SHIFT B</v>
      </c>
      <c r="H459" s="25">
        <v>1</v>
      </c>
      <c r="I459" s="25">
        <v>1</v>
      </c>
      <c r="J459" s="25">
        <v>1</v>
      </c>
      <c r="K459" s="25">
        <v>1</v>
      </c>
      <c r="L459" s="25">
        <v>1</v>
      </c>
      <c r="M459" s="25">
        <v>1</v>
      </c>
    </row>
    <row r="460" spans="3:16">
      <c r="C460" s="22" t="s">
        <v>2266</v>
      </c>
      <c r="D460" t="str">
        <f>VLOOKUP(Table3[[#This Row],[Employee No.]],Table1_1[[Employee No.]:[Employee Name]],2,FALSE)</f>
        <v>MOHAMAD FIDAIY BIN MOHAMAD SALLEH</v>
      </c>
      <c r="E460" t="str">
        <f>VLOOKUP(Table3[[#This Row],[Employee No.]],Table1_1[[Employee No.]:[Department]],6,FALSE)</f>
        <v>BBT</v>
      </c>
      <c r="F460" t="str">
        <f>VLOOKUP(Table3[[#This Row],[Employee No.]],Table1_1[[Employee No.]:[Gender]],7,FALSE)</f>
        <v>M</v>
      </c>
      <c r="G460" t="str">
        <f>VLOOKUP(Table3[[#This Row],[Employee No.]],Table1_1[[Employee No.]:[Shift]],9,FALSE)</f>
        <v>SHIFT C</v>
      </c>
      <c r="H460" s="25">
        <v>1</v>
      </c>
      <c r="I460" s="25">
        <v>1</v>
      </c>
      <c r="J460" s="25">
        <v>0</v>
      </c>
      <c r="K460" s="25">
        <v>1</v>
      </c>
      <c r="L460" s="25">
        <v>1</v>
      </c>
      <c r="M460" s="25">
        <v>1</v>
      </c>
      <c r="P460" s="25"/>
    </row>
    <row r="461" spans="3:16">
      <c r="C461" s="22" t="s">
        <v>2270</v>
      </c>
      <c r="D461" t="str">
        <f>VLOOKUP(Table3[[#This Row],[Employee No.]],Table1_1[[Employee No.]:[Employee Name]],2,FALSE)</f>
        <v>MOHD FAKHRULLAH BIN ASMAN</v>
      </c>
      <c r="E461" t="str">
        <f>VLOOKUP(Table3[[#This Row],[Employee No.]],Table1_1[[Employee No.]:[Department]],6,FALSE)</f>
        <v>CU</v>
      </c>
      <c r="F461" t="str">
        <f>VLOOKUP(Table3[[#This Row],[Employee No.]],Table1_1[[Employee No.]:[Gender]],7,FALSE)</f>
        <v>M</v>
      </c>
      <c r="G461" t="str">
        <f>VLOOKUP(Table3[[#This Row],[Employee No.]],Table1_1[[Employee No.]:[Shift]],9,FALSE)</f>
        <v>SHIFT C</v>
      </c>
      <c r="H461" s="25">
        <v>1</v>
      </c>
      <c r="I461" s="25">
        <v>1</v>
      </c>
      <c r="J461" s="25">
        <v>1</v>
      </c>
      <c r="K461" s="25">
        <v>1</v>
      </c>
      <c r="L461" s="25">
        <v>1</v>
      </c>
      <c r="M461" s="25">
        <v>1</v>
      </c>
      <c r="P461" s="25"/>
    </row>
    <row r="462" spans="3:16">
      <c r="C462" s="22" t="s">
        <v>2277</v>
      </c>
      <c r="D462" t="str">
        <f>VLOOKUP(Table3[[#This Row],[Employee No.]],Table1_1[[Employee No.]:[Employee Name]],2,FALSE)</f>
        <v>MUHAMAD RIFDI BIN ABDUL RAHIM</v>
      </c>
      <c r="E462" t="str">
        <f>VLOOKUP(Table3[[#This Row],[Employee No.]],Table1_1[[Employee No.]:[Department]],6,FALSE)</f>
        <v>DF</v>
      </c>
      <c r="F462" t="str">
        <f>VLOOKUP(Table3[[#This Row],[Employee No.]],Table1_1[[Employee No.]:[Gender]],7,FALSE)</f>
        <v>M</v>
      </c>
      <c r="G462" t="str">
        <f>VLOOKUP(Table3[[#This Row],[Employee No.]],Table1_1[[Employee No.]:[Shift]],9,FALSE)</f>
        <v>SHIFT A</v>
      </c>
      <c r="H462" s="25">
        <v>1</v>
      </c>
      <c r="I462" s="25">
        <v>1</v>
      </c>
      <c r="J462" s="25">
        <v>1</v>
      </c>
      <c r="K462" s="25">
        <v>1</v>
      </c>
      <c r="L462" s="25">
        <v>1</v>
      </c>
      <c r="M462" s="25">
        <v>1</v>
      </c>
    </row>
    <row r="463" spans="3:16">
      <c r="C463" s="22" t="s">
        <v>2281</v>
      </c>
      <c r="D463" t="str">
        <f>VLOOKUP(Table3[[#This Row],[Employee No.]],Table1_1[[Employee No.]:[Employee Name]],2,FALSE)</f>
        <v>MOHD ATHIF ISHWANDY BIN MOHD NORDIN AZMAIN</v>
      </c>
      <c r="E463" t="str">
        <f>VLOOKUP(Table3[[#This Row],[Employee No.]],Table1_1[[Employee No.]:[Department]],6,FALSE)</f>
        <v>DF</v>
      </c>
      <c r="F463" t="str">
        <f>VLOOKUP(Table3[[#This Row],[Employee No.]],Table1_1[[Employee No.]:[Gender]],7,FALSE)</f>
        <v>M</v>
      </c>
      <c r="G463" t="str">
        <f>VLOOKUP(Table3[[#This Row],[Employee No.]],Table1_1[[Employee No.]:[Shift]],9,FALSE)</f>
        <v>SHIFT B</v>
      </c>
      <c r="H463" s="25">
        <v>1</v>
      </c>
      <c r="I463" s="25">
        <v>1</v>
      </c>
      <c r="J463" s="25">
        <v>1</v>
      </c>
      <c r="K463" s="25">
        <v>1</v>
      </c>
      <c r="L463" s="25">
        <v>1</v>
      </c>
      <c r="M463" s="25">
        <v>1</v>
      </c>
    </row>
    <row r="464" spans="3:16">
      <c r="C464" s="22" t="s">
        <v>2285</v>
      </c>
      <c r="D464" t="str">
        <f>VLOOKUP(Table3[[#This Row],[Employee No.]],Table1_1[[Employee No.]:[Employee Name]],2,FALSE)</f>
        <v>MOHD AMIRUL ZAMANI BIN HENDRY</v>
      </c>
      <c r="E464" t="str">
        <f>VLOOKUP(Table3[[#This Row],[Employee No.]],Table1_1[[Employee No.]:[Department]],6,FALSE)</f>
        <v>DF</v>
      </c>
      <c r="F464" t="str">
        <f>VLOOKUP(Table3[[#This Row],[Employee No.]],Table1_1[[Employee No.]:[Gender]],7,FALSE)</f>
        <v>M</v>
      </c>
      <c r="G464" t="str">
        <f>VLOOKUP(Table3[[#This Row],[Employee No.]],Table1_1[[Employee No.]:[Shift]],9,FALSE)</f>
        <v>SHIFT B</v>
      </c>
      <c r="H464" s="25">
        <v>1</v>
      </c>
      <c r="I464" s="25">
        <v>1</v>
      </c>
      <c r="J464" s="25">
        <v>1</v>
      </c>
      <c r="K464" s="25">
        <v>1</v>
      </c>
      <c r="L464" s="25">
        <v>1</v>
      </c>
      <c r="M464" s="25">
        <v>1</v>
      </c>
    </row>
    <row r="465" spans="3:16">
      <c r="C465" s="22" t="s">
        <v>2289</v>
      </c>
      <c r="D465" t="str">
        <f>VLOOKUP(Table3[[#This Row],[Employee No.]],Table1_1[[Employee No.]:[Employee Name]],2,FALSE)</f>
        <v>NURUL NAZZIA BINTI ROZALI</v>
      </c>
      <c r="E465" t="str">
        <f>VLOOKUP(Table3[[#This Row],[Employee No.]],Table1_1[[Employee No.]:[Department]],6,FALSE)</f>
        <v>FVI</v>
      </c>
      <c r="F465" t="str">
        <f>VLOOKUP(Table3[[#This Row],[Employee No.]],Table1_1[[Employee No.]:[Gender]],7,FALSE)</f>
        <v>F</v>
      </c>
      <c r="G465" t="str">
        <f>VLOOKUP(Table3[[#This Row],[Employee No.]],Table1_1[[Employee No.]:[Shift]],9,FALSE)</f>
        <v>SHIFT C</v>
      </c>
      <c r="H465" s="25">
        <v>1</v>
      </c>
      <c r="I465" s="25">
        <v>1</v>
      </c>
      <c r="J465" s="25">
        <v>1</v>
      </c>
      <c r="K465" s="25">
        <v>1</v>
      </c>
      <c r="L465" s="25">
        <v>1</v>
      </c>
      <c r="M465" s="25">
        <v>1</v>
      </c>
    </row>
    <row r="466" spans="3:16">
      <c r="C466" s="22" t="s">
        <v>2293</v>
      </c>
      <c r="D466" t="str">
        <f>VLOOKUP(Table3[[#This Row],[Employee No.]],Table1_1[[Employee No.]:[Employee Name]],2,FALSE)</f>
        <v>NURUL AINA BINTI ADNAN</v>
      </c>
      <c r="E466" t="str">
        <f>VLOOKUP(Table3[[#This Row],[Employee No.]],Table1_1[[Employee No.]:[Department]],6,FALSE)</f>
        <v>FVI</v>
      </c>
      <c r="F466" t="str">
        <f>VLOOKUP(Table3[[#This Row],[Employee No.]],Table1_1[[Employee No.]:[Gender]],7,FALSE)</f>
        <v>F</v>
      </c>
      <c r="G466" t="str">
        <f>VLOOKUP(Table3[[#This Row],[Employee No.]],Table1_1[[Employee No.]:[Shift]],9,FALSE)</f>
        <v>SHIFT B</v>
      </c>
      <c r="H466" s="25">
        <v>1</v>
      </c>
      <c r="I466" s="25">
        <v>1</v>
      </c>
      <c r="J466" s="25">
        <v>1</v>
      </c>
      <c r="K466" s="25">
        <v>1</v>
      </c>
      <c r="L466" s="25">
        <v>1</v>
      </c>
      <c r="M466" s="25">
        <v>1</v>
      </c>
    </row>
    <row r="467" spans="3:16">
      <c r="C467" s="22" t="s">
        <v>2297</v>
      </c>
      <c r="D467" t="str">
        <f>VLOOKUP(Table3[[#This Row],[Employee No.]],Table1_1[[Employee No.]:[Employee Name]],2,FALSE)</f>
        <v>ROHAYA BINTI BAHAROM</v>
      </c>
      <c r="E467" t="str">
        <f>VLOOKUP(Table3[[#This Row],[Employee No.]],Table1_1[[Employee No.]:[Department]],6,FALSE)</f>
        <v>FVI</v>
      </c>
      <c r="F467" t="str">
        <f>VLOOKUP(Table3[[#This Row],[Employee No.]],Table1_1[[Employee No.]:[Gender]],7,FALSE)</f>
        <v>F</v>
      </c>
      <c r="G467" t="str">
        <f>VLOOKUP(Table3[[#This Row],[Employee No.]],Table1_1[[Employee No.]:[Shift]],9,FALSE)</f>
        <v>SHIFT C</v>
      </c>
      <c r="H467" s="25">
        <v>1</v>
      </c>
      <c r="I467" s="25">
        <v>1</v>
      </c>
      <c r="J467" s="25">
        <v>1</v>
      </c>
      <c r="K467" s="25">
        <v>1</v>
      </c>
      <c r="L467" s="25">
        <v>1</v>
      </c>
      <c r="M467" s="25">
        <v>1</v>
      </c>
      <c r="P467" s="25"/>
    </row>
    <row r="468" spans="3:16">
      <c r="C468" s="22" t="s">
        <v>2301</v>
      </c>
      <c r="D468" t="str">
        <f>VLOOKUP(Table3[[#This Row],[Employee No.]],Table1_1[[Employee No.]:[Employee Name]],2,FALSE)</f>
        <v>MOHAMAD HARIS BIN SULAIMAN</v>
      </c>
      <c r="E468" t="str">
        <f>VLOOKUP(Table3[[#This Row],[Employee No.]],Table1_1[[Employee No.]:[Department]],6,FALSE)</f>
        <v>FVI</v>
      </c>
      <c r="F468" t="str">
        <f>VLOOKUP(Table3[[#This Row],[Employee No.]],Table1_1[[Employee No.]:[Gender]],7,FALSE)</f>
        <v>M</v>
      </c>
      <c r="G468" t="str">
        <f>VLOOKUP(Table3[[#This Row],[Employee No.]],Table1_1[[Employee No.]:[Shift]],9,FALSE)</f>
        <v>SHIFT C</v>
      </c>
      <c r="H468" s="25">
        <v>1</v>
      </c>
      <c r="I468" s="25">
        <v>1</v>
      </c>
      <c r="J468" s="25">
        <v>1</v>
      </c>
      <c r="K468" s="25">
        <v>1</v>
      </c>
      <c r="L468" s="25">
        <v>1</v>
      </c>
      <c r="M468" s="25">
        <v>1</v>
      </c>
      <c r="P468" s="25"/>
    </row>
    <row r="469" spans="3:16">
      <c r="C469" s="22" t="s">
        <v>2305</v>
      </c>
      <c r="D469" t="str">
        <f>VLOOKUP(Table3[[#This Row],[Employee No.]],Table1_1[[Employee No.]:[Employee Name]],2,FALSE)</f>
        <v>MUHAMMAD ABDUL HAKIM BIN ABD HAMID</v>
      </c>
      <c r="E469" t="str">
        <f>VLOOKUP(Table3[[#This Row],[Employee No.]],Table1_1[[Employee No.]:[Department]],6,FALSE)</f>
        <v>FVI</v>
      </c>
      <c r="F469" t="str">
        <f>VLOOKUP(Table3[[#This Row],[Employee No.]],Table1_1[[Employee No.]:[Gender]],7,FALSE)</f>
        <v>M</v>
      </c>
      <c r="G469" t="str">
        <f>VLOOKUP(Table3[[#This Row],[Employee No.]],Table1_1[[Employee No.]:[Shift]],9,FALSE)</f>
        <v>SHIFT C</v>
      </c>
      <c r="H469" s="25">
        <v>1</v>
      </c>
      <c r="I469" s="25">
        <v>1</v>
      </c>
      <c r="J469" s="25">
        <v>1</v>
      </c>
      <c r="K469" s="25">
        <v>1</v>
      </c>
      <c r="L469" s="25">
        <v>1</v>
      </c>
      <c r="M469" s="25">
        <v>1</v>
      </c>
      <c r="P469" s="25"/>
    </row>
    <row r="470" spans="3:16">
      <c r="C470" s="22" t="s">
        <v>2309</v>
      </c>
      <c r="D470" t="str">
        <f>VLOOKUP(Table3[[#This Row],[Employee No.]],Table1_1[[Employee No.]:[Employee Name]],2,FALSE)</f>
        <v>SAPAREN BIN ISMAIL</v>
      </c>
      <c r="E470" t="str">
        <f>VLOOKUP(Table3[[#This Row],[Employee No.]],Table1_1[[Employee No.]:[Department]],6,FALSE)</f>
        <v>DRILL</v>
      </c>
      <c r="F470" t="str">
        <f>VLOOKUP(Table3[[#This Row],[Employee No.]],Table1_1[[Employee No.]:[Gender]],7,FALSE)</f>
        <v>M</v>
      </c>
      <c r="G470" t="str">
        <f>VLOOKUP(Table3[[#This Row],[Employee No.]],Table1_1[[Employee No.]:[Shift]],9,FALSE)</f>
        <v>SHIFT C</v>
      </c>
      <c r="H470" s="25">
        <v>1</v>
      </c>
      <c r="I470" s="25">
        <v>1</v>
      </c>
      <c r="J470" s="25">
        <v>1</v>
      </c>
      <c r="K470" s="25">
        <v>1</v>
      </c>
      <c r="L470" s="25">
        <v>1</v>
      </c>
      <c r="M470" s="25">
        <v>1</v>
      </c>
      <c r="P470" s="25"/>
    </row>
    <row r="471" spans="3:16">
      <c r="C471" s="22" t="s">
        <v>2313</v>
      </c>
      <c r="D471" t="str">
        <f>VLOOKUP(Table3[[#This Row],[Employee No.]],Table1_1[[Employee No.]:[Employee Name]],2,FALSE)</f>
        <v>AHMAD ASYRAAF BIN AHMAD FAZILIA</v>
      </c>
      <c r="E471" t="str">
        <f>VLOOKUP(Table3[[#This Row],[Employee No.]],Table1_1[[Employee No.]:[Department]],6,FALSE)</f>
        <v>MLB</v>
      </c>
      <c r="F471" t="str">
        <f>VLOOKUP(Table3[[#This Row],[Employee No.]],Table1_1[[Employee No.]:[Gender]],7,FALSE)</f>
        <v>M</v>
      </c>
      <c r="G471" t="str">
        <f>VLOOKUP(Table3[[#This Row],[Employee No.]],Table1_1[[Employee No.]:[Shift]],9,FALSE)</f>
        <v>SHIFT B</v>
      </c>
      <c r="H471" s="25">
        <v>1</v>
      </c>
      <c r="I471" s="25">
        <v>1</v>
      </c>
      <c r="J471" s="25">
        <v>1</v>
      </c>
      <c r="K471" s="25">
        <v>1</v>
      </c>
      <c r="L471" s="25">
        <v>1</v>
      </c>
      <c r="M471" s="25">
        <v>1</v>
      </c>
    </row>
    <row r="472" spans="3:16">
      <c r="C472" s="22" t="s">
        <v>2317</v>
      </c>
      <c r="D472" t="str">
        <f>VLOOKUP(Table3[[#This Row],[Employee No.]],Table1_1[[Employee No.]:[Employee Name]],2,FALSE)</f>
        <v>NURUL HUSNINA BINTI HAMDAN</v>
      </c>
      <c r="E472" t="str">
        <f>VLOOKUP(Table3[[#This Row],[Employee No.]],Table1_1[[Employee No.]:[Department]],6,FALSE)</f>
        <v>SM</v>
      </c>
      <c r="F472" t="str">
        <f>VLOOKUP(Table3[[#This Row],[Employee No.]],Table1_1[[Employee No.]:[Gender]],7,FALSE)</f>
        <v>F</v>
      </c>
      <c r="G472" t="str">
        <f>VLOOKUP(Table3[[#This Row],[Employee No.]],Table1_1[[Employee No.]:[Shift]],9,FALSE)</f>
        <v>SHIFT E</v>
      </c>
      <c r="H472" s="25">
        <v>0</v>
      </c>
      <c r="I472" s="25">
        <v>1</v>
      </c>
      <c r="J472" s="25">
        <v>1</v>
      </c>
      <c r="K472" s="25">
        <v>1</v>
      </c>
      <c r="L472" s="25">
        <v>1</v>
      </c>
      <c r="M472" s="25">
        <v>1</v>
      </c>
    </row>
    <row r="473" spans="3:16">
      <c r="C473" s="22" t="s">
        <v>2321</v>
      </c>
      <c r="D473" t="str">
        <f>VLOOKUP(Table3[[#This Row],[Employee No.]],Table1_1[[Employee No.]:[Employee Name]],2,FALSE)</f>
        <v>MUHAMMAD AMIR MUSLIM BIN AZAHAR</v>
      </c>
      <c r="E473" t="str">
        <f>VLOOKUP(Table3[[#This Row],[Employee No.]],Table1_1[[Employee No.]:[Department]],6,FALSE)</f>
        <v>SM</v>
      </c>
      <c r="F473" t="str">
        <f>VLOOKUP(Table3[[#This Row],[Employee No.]],Table1_1[[Employee No.]:[Gender]],7,FALSE)</f>
        <v>M</v>
      </c>
      <c r="G473" t="str">
        <f>VLOOKUP(Table3[[#This Row],[Employee No.]],Table1_1[[Employee No.]:[Shift]],9,FALSE)</f>
        <v>SHIFT C</v>
      </c>
      <c r="H473" s="25">
        <v>1</v>
      </c>
      <c r="I473" s="25">
        <v>1</v>
      </c>
      <c r="J473" s="25">
        <v>1</v>
      </c>
      <c r="K473" s="25">
        <v>1</v>
      </c>
      <c r="L473" s="25">
        <v>1</v>
      </c>
      <c r="M473" s="25">
        <v>1</v>
      </c>
      <c r="P473" s="25"/>
    </row>
    <row r="474" spans="3:16">
      <c r="C474" s="22" t="s">
        <v>2325</v>
      </c>
      <c r="D474" t="str">
        <f>VLOOKUP(Table3[[#This Row],[Employee No.]],Table1_1[[Employee No.]:[Employee Name]],2,FALSE)</f>
        <v>MUHAMMAD AIMAN ARIF BIN AHMAD ZAIDI</v>
      </c>
      <c r="E474" t="str">
        <f>VLOOKUP(Table3[[#This Row],[Employee No.]],Table1_1[[Employee No.]:[Department]],6,FALSE)</f>
        <v>SM</v>
      </c>
      <c r="F474" t="str">
        <f>VLOOKUP(Table3[[#This Row],[Employee No.]],Table1_1[[Employee No.]:[Gender]],7,FALSE)</f>
        <v>M</v>
      </c>
      <c r="G474" t="str">
        <f>VLOOKUP(Table3[[#This Row],[Employee No.]],Table1_1[[Employee No.]:[Shift]],9,FALSE)</f>
        <v>SHIFT C</v>
      </c>
      <c r="H474" s="25">
        <v>1</v>
      </c>
      <c r="I474" s="25">
        <v>1</v>
      </c>
      <c r="J474" s="25">
        <v>1</v>
      </c>
      <c r="K474" s="25">
        <v>1</v>
      </c>
      <c r="L474" s="25">
        <v>1</v>
      </c>
      <c r="M474" s="25">
        <v>1</v>
      </c>
      <c r="P474" s="25"/>
    </row>
    <row r="475" spans="3:16">
      <c r="C475" s="22" t="s">
        <v>2329</v>
      </c>
      <c r="D475" t="str">
        <f>VLOOKUP(Table3[[#This Row],[Employee No.]],Table1_1[[Employee No.]:[Employee Name]],2,FALSE)</f>
        <v>MOHAMMAD IZZAT BIN MOHD SOFIAN</v>
      </c>
      <c r="E475" t="str">
        <f>VLOOKUP(Table3[[#This Row],[Employee No.]],Table1_1[[Employee No.]:[Department]],6,FALSE)</f>
        <v>SM</v>
      </c>
      <c r="F475" t="str">
        <f>VLOOKUP(Table3[[#This Row],[Employee No.]],Table1_1[[Employee No.]:[Gender]],7,FALSE)</f>
        <v>M</v>
      </c>
      <c r="G475" t="str">
        <f>VLOOKUP(Table3[[#This Row],[Employee No.]],Table1_1[[Employee No.]:[Shift]],9,FALSE)</f>
        <v>SHIFT A</v>
      </c>
      <c r="H475" s="25">
        <v>1</v>
      </c>
      <c r="I475" s="25">
        <v>1</v>
      </c>
      <c r="J475" s="25">
        <v>1</v>
      </c>
      <c r="K475" s="25">
        <v>1</v>
      </c>
      <c r="L475" s="25">
        <v>1</v>
      </c>
      <c r="M475" s="25">
        <v>1</v>
      </c>
    </row>
    <row r="476" spans="3:16">
      <c r="C476" s="22" t="s">
        <v>2333</v>
      </c>
      <c r="D476" t="str">
        <f>VLOOKUP(Table3[[#This Row],[Employee No.]],Table1_1[[Employee No.]:[Employee Name]],2,FALSE)</f>
        <v>MOHAMAD ZEFFY BIN HALAKE</v>
      </c>
      <c r="E476" t="str">
        <f>VLOOKUP(Table3[[#This Row],[Employee No.]],Table1_1[[Employee No.]:[Department]],6,FALSE)</f>
        <v>SM</v>
      </c>
      <c r="F476" t="str">
        <f>VLOOKUP(Table3[[#This Row],[Employee No.]],Table1_1[[Employee No.]:[Gender]],7,FALSE)</f>
        <v>M</v>
      </c>
      <c r="G476" t="str">
        <f>VLOOKUP(Table3[[#This Row],[Employee No.]],Table1_1[[Employee No.]:[Shift]],9,FALSE)</f>
        <v>SHIFT C</v>
      </c>
      <c r="H476" s="25">
        <v>1</v>
      </c>
      <c r="I476" s="25">
        <v>1</v>
      </c>
      <c r="J476" s="25">
        <v>1</v>
      </c>
      <c r="K476" s="25">
        <v>1</v>
      </c>
      <c r="L476" s="25">
        <v>1</v>
      </c>
      <c r="M476" s="25">
        <v>1</v>
      </c>
      <c r="P476" s="25"/>
    </row>
    <row r="477" spans="3:16">
      <c r="C477" s="22" t="s">
        <v>2337</v>
      </c>
      <c r="D477" t="str">
        <f>VLOOKUP(Table3[[#This Row],[Employee No.]],Table1_1[[Employee No.]:[Employee Name]],2,FALSE)</f>
        <v>KISIN ANAK KIROH</v>
      </c>
      <c r="E477" t="str">
        <f>VLOOKUP(Table3[[#This Row],[Employee No.]],Table1_1[[Employee No.]:[Department]],6,FALSE)</f>
        <v>WAREHOUSE</v>
      </c>
      <c r="F477" t="str">
        <f>VLOOKUP(Table3[[#This Row],[Employee No.]],Table1_1[[Employee No.]:[Gender]],7,FALSE)</f>
        <v>M</v>
      </c>
      <c r="G477" t="str">
        <f>VLOOKUP(Table3[[#This Row],[Employee No.]],Table1_1[[Employee No.]:[Shift]],9,FALSE)</f>
        <v>SHIFT C</v>
      </c>
      <c r="H477" s="25">
        <v>1</v>
      </c>
      <c r="I477" s="25">
        <v>1</v>
      </c>
      <c r="J477" s="25">
        <v>1</v>
      </c>
      <c r="K477" s="25">
        <v>1</v>
      </c>
      <c r="L477" s="25">
        <v>1</v>
      </c>
      <c r="M477" s="25">
        <v>1</v>
      </c>
    </row>
    <row r="478" spans="3:16">
      <c r="C478" s="22" t="s">
        <v>2342</v>
      </c>
      <c r="D478" t="str">
        <f>VLOOKUP(Table3[[#This Row],[Employee No.]],Table1_1[[Employee No.]:[Employee Name]],2,FALSE)</f>
        <v>MUHAMMAD RAZALI ADAM BIN SHUHERI</v>
      </c>
      <c r="E478" t="str">
        <f>VLOOKUP(Table3[[#This Row],[Employee No.]],Table1_1[[Employee No.]:[Department]],6,FALSE)</f>
        <v>WAREHOUSE</v>
      </c>
      <c r="F478" t="str">
        <f>VLOOKUP(Table3[[#This Row],[Employee No.]],Table1_1[[Employee No.]:[Gender]],7,FALSE)</f>
        <v>M</v>
      </c>
      <c r="G478" t="str">
        <f>VLOOKUP(Table3[[#This Row],[Employee No.]],Table1_1[[Employee No.]:[Shift]],9,FALSE)</f>
        <v>SHIFT A</v>
      </c>
      <c r="H478" s="25">
        <v>1</v>
      </c>
      <c r="I478" s="25">
        <v>1</v>
      </c>
      <c r="J478" s="25">
        <v>1</v>
      </c>
      <c r="K478" s="25">
        <v>1</v>
      </c>
      <c r="L478" s="25">
        <v>1</v>
      </c>
      <c r="M478" s="25">
        <v>1</v>
      </c>
    </row>
    <row r="479" spans="3:16">
      <c r="C479" s="22" t="s">
        <v>2346</v>
      </c>
      <c r="D479" t="str">
        <f>VLOOKUP(Table3[[#This Row],[Employee No.]],Table1_1[[Employee No.]:[Employee Name]],2,FALSE)</f>
        <v>KARTHIRAJ A/L SEGAR</v>
      </c>
      <c r="E479" t="str">
        <f>VLOOKUP(Table3[[#This Row],[Employee No.]],Table1_1[[Employee No.]:[Department]],6,FALSE)</f>
        <v>EQUIPMENT</v>
      </c>
      <c r="F479" t="str">
        <f>VLOOKUP(Table3[[#This Row],[Employee No.]],Table1_1[[Employee No.]:[Gender]],7,FALSE)</f>
        <v>M</v>
      </c>
      <c r="G479" t="str">
        <f>VLOOKUP(Table3[[#This Row],[Employee No.]],Table1_1[[Employee No.]:[Shift]],9,FALSE)</f>
        <v>SHIFT A</v>
      </c>
      <c r="H479" s="25">
        <v>1</v>
      </c>
      <c r="I479" s="25">
        <v>1</v>
      </c>
      <c r="J479" s="25">
        <v>1</v>
      </c>
      <c r="K479" s="25">
        <v>1</v>
      </c>
      <c r="L479" s="25">
        <v>1</v>
      </c>
      <c r="M479" s="25">
        <v>1</v>
      </c>
    </row>
    <row r="480" spans="3:16">
      <c r="C480" s="22" t="s">
        <v>2354</v>
      </c>
      <c r="D480" t="str">
        <f>VLOOKUP(Table3[[#This Row],[Employee No.]],Table1_1[[Employee No.]:[Employee Name]],2,FALSE)</f>
        <v>MUHAMMAD FAZARUL FAIZ BIN SAHARI</v>
      </c>
      <c r="E480" t="str">
        <f>VLOOKUP(Table3[[#This Row],[Employee No.]],Table1_1[[Employee No.]:[Department]],6,FALSE)</f>
        <v>CHAMFER</v>
      </c>
      <c r="F480" t="str">
        <f>VLOOKUP(Table3[[#This Row],[Employee No.]],Table1_1[[Employee No.]:[Gender]],7,FALSE)</f>
        <v>M</v>
      </c>
      <c r="G480" t="str">
        <f>VLOOKUP(Table3[[#This Row],[Employee No.]],Table1_1[[Employee No.]:[Shift]],9,FALSE)</f>
        <v>SHIFT B</v>
      </c>
      <c r="H480" s="25">
        <v>1</v>
      </c>
      <c r="I480" s="25">
        <v>1</v>
      </c>
      <c r="J480" s="25">
        <v>1</v>
      </c>
      <c r="K480" s="25">
        <v>1</v>
      </c>
      <c r="L480" s="25">
        <v>1</v>
      </c>
      <c r="M480" s="25">
        <v>1</v>
      </c>
    </row>
    <row r="481" spans="3:16">
      <c r="C481" s="22" t="s">
        <v>2369</v>
      </c>
      <c r="D481" t="str">
        <f>VLOOKUP(Table3[[#This Row],[Employee No.]],Table1_1[[Employee No.]:[Employee Name]],2,FALSE)</f>
        <v>APRILIA RITONGA</v>
      </c>
      <c r="E481" t="str">
        <f>VLOOKUP(Table3[[#This Row],[Employee No.]],Table1_1[[Employee No.]:[Department]],6,FALSE)</f>
        <v>CHAMFER</v>
      </c>
      <c r="F481" t="str">
        <f>VLOOKUP(Table3[[#This Row],[Employee No.]],Table1_1[[Employee No.]:[Gender]],7,FALSE)</f>
        <v>F</v>
      </c>
      <c r="G481" t="str">
        <f>VLOOKUP(Table3[[#This Row],[Employee No.]],Table1_1[[Employee No.]:[Shift]],9,FALSE)</f>
        <v>SHIFT A</v>
      </c>
      <c r="H481" s="25">
        <v>1</v>
      </c>
      <c r="I481" s="25">
        <v>1</v>
      </c>
      <c r="J481" s="25">
        <v>1</v>
      </c>
      <c r="K481" s="25">
        <v>1</v>
      </c>
      <c r="L481" s="25">
        <v>1</v>
      </c>
      <c r="M481" s="25">
        <v>1</v>
      </c>
    </row>
    <row r="482" spans="3:16">
      <c r="C482" s="22" t="s">
        <v>2371</v>
      </c>
      <c r="D482" t="str">
        <f>VLOOKUP(Table3[[#This Row],[Employee No.]],Table1_1[[Employee No.]:[Employee Name]],2,FALSE)</f>
        <v>AYU RIYANTI</v>
      </c>
      <c r="E482" t="str">
        <f>VLOOKUP(Table3[[#This Row],[Employee No.]],Table1_1[[Employee No.]:[Department]],6,FALSE)</f>
        <v>CHAMFER</v>
      </c>
      <c r="F482" t="str">
        <f>VLOOKUP(Table3[[#This Row],[Employee No.]],Table1_1[[Employee No.]:[Gender]],7,FALSE)</f>
        <v>F</v>
      </c>
      <c r="G482" t="str">
        <f>VLOOKUP(Table3[[#This Row],[Employee No.]],Table1_1[[Employee No.]:[Shift]],9,FALSE)</f>
        <v>SHIFT B</v>
      </c>
      <c r="H482" s="25">
        <v>1</v>
      </c>
      <c r="I482" s="25">
        <v>1</v>
      </c>
      <c r="J482" s="25">
        <v>1</v>
      </c>
      <c r="K482" s="25">
        <v>1</v>
      </c>
      <c r="L482" s="25">
        <v>1</v>
      </c>
      <c r="M482" s="25">
        <v>1</v>
      </c>
    </row>
    <row r="483" spans="3:16">
      <c r="C483" s="22" t="s">
        <v>2373</v>
      </c>
      <c r="D483" t="str">
        <f>VLOOKUP(Table3[[#This Row],[Employee No.]],Table1_1[[Employee No.]:[Employee Name]],2,FALSE)</f>
        <v>AYU YUSNITA TARIHORAN</v>
      </c>
      <c r="E483" t="str">
        <f>VLOOKUP(Table3[[#This Row],[Employee No.]],Table1_1[[Employee No.]:[Department]],6,FALSE)</f>
        <v>CHAMFER</v>
      </c>
      <c r="F483" t="str">
        <f>VLOOKUP(Table3[[#This Row],[Employee No.]],Table1_1[[Employee No.]:[Gender]],7,FALSE)</f>
        <v>F</v>
      </c>
      <c r="G483" t="str">
        <f>VLOOKUP(Table3[[#This Row],[Employee No.]],Table1_1[[Employee No.]:[Shift]],9,FALSE)</f>
        <v>SHIFT C</v>
      </c>
      <c r="H483" s="25">
        <v>1</v>
      </c>
      <c r="I483" s="25">
        <v>1</v>
      </c>
      <c r="J483" s="25">
        <v>1</v>
      </c>
      <c r="K483" s="25">
        <v>1</v>
      </c>
      <c r="L483" s="25">
        <v>1</v>
      </c>
      <c r="M483" s="25">
        <v>1</v>
      </c>
      <c r="P483" s="25"/>
    </row>
    <row r="484" spans="3:16">
      <c r="C484" s="22" t="s">
        <v>2375</v>
      </c>
      <c r="D484" t="str">
        <f>VLOOKUP(Table3[[#This Row],[Employee No.]],Table1_1[[Employee No.]:[Employee Name]],2,FALSE)</f>
        <v>CLARA DEBORA SIHITE</v>
      </c>
      <c r="E484" t="str">
        <f>VLOOKUP(Table3[[#This Row],[Employee No.]],Table1_1[[Employee No.]:[Department]],6,FALSE)</f>
        <v>CHAMFER</v>
      </c>
      <c r="F484" t="str">
        <f>VLOOKUP(Table3[[#This Row],[Employee No.]],Table1_1[[Employee No.]:[Gender]],7,FALSE)</f>
        <v>F</v>
      </c>
      <c r="G484" t="str">
        <f>VLOOKUP(Table3[[#This Row],[Employee No.]],Table1_1[[Employee No.]:[Shift]],9,FALSE)</f>
        <v>SHIFT A</v>
      </c>
      <c r="H484" s="25">
        <v>1</v>
      </c>
      <c r="I484" s="25">
        <v>1</v>
      </c>
      <c r="J484" s="25">
        <v>1</v>
      </c>
      <c r="K484" s="25">
        <v>1</v>
      </c>
      <c r="L484" s="25">
        <v>1</v>
      </c>
      <c r="M484" s="25">
        <v>1</v>
      </c>
    </row>
    <row r="485" spans="3:16">
      <c r="C485" s="22" t="s">
        <v>2377</v>
      </c>
      <c r="D485" t="str">
        <f>VLOOKUP(Table3[[#This Row],[Employee No.]],Table1_1[[Employee No.]:[Employee Name]],2,FALSE)</f>
        <v>DELLA ARISTIYA TITRA TARIGAN</v>
      </c>
      <c r="E485" t="str">
        <f>VLOOKUP(Table3[[#This Row],[Employee No.]],Table1_1[[Employee No.]:[Department]],6,FALSE)</f>
        <v>DRILL</v>
      </c>
      <c r="F485" t="str">
        <f>VLOOKUP(Table3[[#This Row],[Employee No.]],Table1_1[[Employee No.]:[Gender]],7,FALSE)</f>
        <v>F</v>
      </c>
      <c r="G485" t="str">
        <f>VLOOKUP(Table3[[#This Row],[Employee No.]],Table1_1[[Employee No.]:[Shift]],9,FALSE)</f>
        <v>SHIFT C</v>
      </c>
      <c r="H485" s="25">
        <v>1</v>
      </c>
      <c r="I485" s="25">
        <v>1</v>
      </c>
      <c r="J485" s="25">
        <v>1</v>
      </c>
      <c r="K485" s="25">
        <v>1</v>
      </c>
      <c r="L485" s="25">
        <v>1</v>
      </c>
      <c r="M485" s="25">
        <v>1</v>
      </c>
      <c r="P485" s="25"/>
    </row>
    <row r="486" spans="3:16">
      <c r="C486" s="22" t="s">
        <v>2379</v>
      </c>
      <c r="D486" t="str">
        <f>VLOOKUP(Table3[[#This Row],[Employee No.]],Table1_1[[Employee No.]:[Employee Name]],2,FALSE)</f>
        <v>DESSY CHRISTINA PURBA</v>
      </c>
      <c r="E486" t="str">
        <f>VLOOKUP(Table3[[#This Row],[Employee No.]],Table1_1[[Employee No.]:[Department]],6,FALSE)</f>
        <v>FVI</v>
      </c>
      <c r="F486" t="str">
        <f>VLOOKUP(Table3[[#This Row],[Employee No.]],Table1_1[[Employee No.]:[Gender]],7,FALSE)</f>
        <v>F</v>
      </c>
      <c r="G486" t="str">
        <f>VLOOKUP(Table3[[#This Row],[Employee No.]],Table1_1[[Employee No.]:[Shift]],9,FALSE)</f>
        <v>SHIFT A</v>
      </c>
      <c r="H486" s="25">
        <v>1</v>
      </c>
      <c r="I486" s="25">
        <v>1</v>
      </c>
      <c r="J486" s="25">
        <v>1</v>
      </c>
      <c r="K486" s="25">
        <v>1</v>
      </c>
      <c r="L486" s="25">
        <v>1</v>
      </c>
      <c r="M486" s="25">
        <v>1</v>
      </c>
    </row>
    <row r="487" spans="3:16">
      <c r="C487" s="22" t="s">
        <v>2381</v>
      </c>
      <c r="D487" t="str">
        <f>VLOOKUP(Table3[[#This Row],[Employee No.]],Table1_1[[Employee No.]:[Employee Name]],2,FALSE)</f>
        <v>DEVIANA VERONIKA RAJAGUKGUK</v>
      </c>
      <c r="E487" t="str">
        <f>VLOOKUP(Table3[[#This Row],[Employee No.]],Table1_1[[Employee No.]:[Department]],6,FALSE)</f>
        <v>FVI</v>
      </c>
      <c r="F487" t="str">
        <f>VLOOKUP(Table3[[#This Row],[Employee No.]],Table1_1[[Employee No.]:[Gender]],7,FALSE)</f>
        <v>F</v>
      </c>
      <c r="G487" t="str">
        <f>VLOOKUP(Table3[[#This Row],[Employee No.]],Table1_1[[Employee No.]:[Shift]],9,FALSE)</f>
        <v>SHIFT B</v>
      </c>
      <c r="H487" s="25">
        <v>1</v>
      </c>
      <c r="I487" s="25">
        <v>1</v>
      </c>
      <c r="J487" s="25">
        <v>1</v>
      </c>
      <c r="K487" s="25">
        <v>1</v>
      </c>
      <c r="L487" s="25">
        <v>1</v>
      </c>
      <c r="M487" s="25">
        <v>1</v>
      </c>
    </row>
    <row r="488" spans="3:16">
      <c r="C488" s="22" t="s">
        <v>2383</v>
      </c>
      <c r="D488" t="str">
        <f>VLOOKUP(Table3[[#This Row],[Employee No.]],Table1_1[[Employee No.]:[Employee Name]],2,FALSE)</f>
        <v>ELMA SIMANJUNTAK</v>
      </c>
      <c r="E488" t="str">
        <f>VLOOKUP(Table3[[#This Row],[Employee No.]],Table1_1[[Employee No.]:[Department]],6,FALSE)</f>
        <v>DRILL</v>
      </c>
      <c r="F488" t="str">
        <f>VLOOKUP(Table3[[#This Row],[Employee No.]],Table1_1[[Employee No.]:[Gender]],7,FALSE)</f>
        <v>F</v>
      </c>
      <c r="G488" t="str">
        <f>VLOOKUP(Table3[[#This Row],[Employee No.]],Table1_1[[Employee No.]:[Shift]],9,FALSE)</f>
        <v>SHIFT A</v>
      </c>
      <c r="H488" s="25">
        <v>1</v>
      </c>
      <c r="I488" s="25">
        <v>1</v>
      </c>
      <c r="J488" s="25">
        <v>1</v>
      </c>
      <c r="K488" s="25">
        <v>1</v>
      </c>
      <c r="L488" s="25">
        <v>1</v>
      </c>
      <c r="M488" s="25">
        <v>1</v>
      </c>
    </row>
    <row r="489" spans="3:16">
      <c r="C489" s="22" t="s">
        <v>2385</v>
      </c>
      <c r="D489" t="str">
        <f>VLOOKUP(Table3[[#This Row],[Employee No.]],Table1_1[[Employee No.]:[Employee Name]],2,FALSE)</f>
        <v>FEBY AGRIANA MEILISA YESICA</v>
      </c>
      <c r="E489" t="str">
        <f>VLOOKUP(Table3[[#This Row],[Employee No.]],Table1_1[[Employee No.]:[Department]],6,FALSE)</f>
        <v>FVI</v>
      </c>
      <c r="F489" t="str">
        <f>VLOOKUP(Table3[[#This Row],[Employee No.]],Table1_1[[Employee No.]:[Gender]],7,FALSE)</f>
        <v>F</v>
      </c>
      <c r="G489" t="str">
        <f>VLOOKUP(Table3[[#This Row],[Employee No.]],Table1_1[[Employee No.]:[Shift]],9,FALSE)</f>
        <v>SHIFT A</v>
      </c>
      <c r="H489" s="25">
        <v>1</v>
      </c>
      <c r="I489" s="25">
        <v>1</v>
      </c>
      <c r="J489" s="25">
        <v>1</v>
      </c>
      <c r="K489" s="25">
        <v>1</v>
      </c>
      <c r="L489" s="25">
        <v>1</v>
      </c>
      <c r="M489" s="25">
        <v>1</v>
      </c>
    </row>
    <row r="490" spans="3:16">
      <c r="C490" s="22" t="s">
        <v>2387</v>
      </c>
      <c r="D490" t="str">
        <f>VLOOKUP(Table3[[#This Row],[Employee No.]],Table1_1[[Employee No.]:[Employee Name]],2,FALSE)</f>
        <v>INDAH SARI</v>
      </c>
      <c r="E490" t="str">
        <f>VLOOKUP(Table3[[#This Row],[Employee No.]],Table1_1[[Employee No.]:[Department]],6,FALSE)</f>
        <v>CHAMFER</v>
      </c>
      <c r="F490" t="str">
        <f>VLOOKUP(Table3[[#This Row],[Employee No.]],Table1_1[[Employee No.]:[Gender]],7,FALSE)</f>
        <v>F</v>
      </c>
      <c r="G490" t="str">
        <f>VLOOKUP(Table3[[#This Row],[Employee No.]],Table1_1[[Employee No.]:[Shift]],9,FALSE)</f>
        <v>SHIFT C</v>
      </c>
      <c r="H490" s="25">
        <v>1</v>
      </c>
      <c r="I490" s="25">
        <v>1</v>
      </c>
      <c r="J490" s="25">
        <v>1</v>
      </c>
      <c r="K490" s="25">
        <v>1</v>
      </c>
      <c r="L490" s="25">
        <v>1</v>
      </c>
      <c r="M490" s="25">
        <v>1</v>
      </c>
      <c r="P490" s="25"/>
    </row>
    <row r="491" spans="3:16">
      <c r="C491" s="22" t="s">
        <v>2389</v>
      </c>
      <c r="D491" t="str">
        <f>VLOOKUP(Table3[[#This Row],[Employee No.]],Table1_1[[Employee No.]:[Employee Name]],2,FALSE)</f>
        <v>ISCHA WENNY SITUMEANG</v>
      </c>
      <c r="E491" t="str">
        <f>VLOOKUP(Table3[[#This Row],[Employee No.]],Table1_1[[Employee No.]:[Department]],6,FALSE)</f>
        <v>AOI</v>
      </c>
      <c r="F491" t="str">
        <f>VLOOKUP(Table3[[#This Row],[Employee No.]],Table1_1[[Employee No.]:[Gender]],7,FALSE)</f>
        <v>F</v>
      </c>
      <c r="G491" t="str">
        <f>VLOOKUP(Table3[[#This Row],[Employee No.]],Table1_1[[Employee No.]:[Shift]],9,FALSE)</f>
        <v>SHIFT A</v>
      </c>
      <c r="H491" s="25">
        <v>0</v>
      </c>
      <c r="I491" s="25">
        <v>1</v>
      </c>
      <c r="J491" s="25">
        <v>1</v>
      </c>
      <c r="K491" s="25">
        <v>1</v>
      </c>
      <c r="L491" s="25">
        <v>1</v>
      </c>
      <c r="M491" s="25">
        <v>1</v>
      </c>
    </row>
    <row r="492" spans="3:16">
      <c r="C492" s="22" t="s">
        <v>2391</v>
      </c>
      <c r="D492" t="str">
        <f>VLOOKUP(Table3[[#This Row],[Employee No.]],Table1_1[[Employee No.]:[Employee Name]],2,FALSE)</f>
        <v>JULYANI ALFINA NAINGGOLAN</v>
      </c>
      <c r="E492" t="str">
        <f>VLOOKUP(Table3[[#This Row],[Employee No.]],Table1_1[[Employee No.]:[Department]],6,FALSE)</f>
        <v>CHAMFER</v>
      </c>
      <c r="F492" t="str">
        <f>VLOOKUP(Table3[[#This Row],[Employee No.]],Table1_1[[Employee No.]:[Gender]],7,FALSE)</f>
        <v>F</v>
      </c>
      <c r="G492" t="str">
        <f>VLOOKUP(Table3[[#This Row],[Employee No.]],Table1_1[[Employee No.]:[Shift]],9,FALSE)</f>
        <v>SHIFT B</v>
      </c>
      <c r="H492" s="25">
        <v>1</v>
      </c>
      <c r="I492" s="25">
        <v>1</v>
      </c>
      <c r="J492" s="25">
        <v>1</v>
      </c>
      <c r="K492" s="25">
        <v>1</v>
      </c>
      <c r="L492" s="25">
        <v>1</v>
      </c>
      <c r="M492" s="25">
        <v>1</v>
      </c>
    </row>
    <row r="493" spans="3:16">
      <c r="C493" s="22" t="s">
        <v>2393</v>
      </c>
      <c r="D493" t="str">
        <f>VLOOKUP(Table3[[#This Row],[Employee No.]],Table1_1[[Employee No.]:[Employee Name]],2,FALSE)</f>
        <v>KARMILASARI SIHOTANG</v>
      </c>
      <c r="E493" t="str">
        <f>VLOOKUP(Table3[[#This Row],[Employee No.]],Table1_1[[Employee No.]:[Department]],6,FALSE)</f>
        <v>AOI</v>
      </c>
      <c r="F493" t="str">
        <f>VLOOKUP(Table3[[#This Row],[Employee No.]],Table1_1[[Employee No.]:[Gender]],7,FALSE)</f>
        <v>F</v>
      </c>
      <c r="G493" t="str">
        <f>VLOOKUP(Table3[[#This Row],[Employee No.]],Table1_1[[Employee No.]:[Shift]],9,FALSE)</f>
        <v>SHIFT E</v>
      </c>
      <c r="H493" s="25">
        <v>0</v>
      </c>
      <c r="I493" s="25">
        <v>0</v>
      </c>
      <c r="J493" s="25">
        <v>1</v>
      </c>
      <c r="K493" s="25">
        <v>1</v>
      </c>
      <c r="L493" s="25">
        <v>1</v>
      </c>
      <c r="M493" s="25">
        <v>1</v>
      </c>
    </row>
    <row r="494" spans="3:16">
      <c r="C494" s="22" t="s">
        <v>2395</v>
      </c>
      <c r="D494" t="str">
        <f>VLOOKUP(Table3[[#This Row],[Employee No.]],Table1_1[[Employee No.]:[Employee Name]],2,FALSE)</f>
        <v>LESTARI JULIANA MUNTE</v>
      </c>
      <c r="E494" t="str">
        <f>VLOOKUP(Table3[[#This Row],[Employee No.]],Table1_1[[Employee No.]:[Department]],6,FALSE)</f>
        <v>AOI</v>
      </c>
      <c r="F494" t="str">
        <f>VLOOKUP(Table3[[#This Row],[Employee No.]],Table1_1[[Employee No.]:[Gender]],7,FALSE)</f>
        <v>F</v>
      </c>
      <c r="G494" t="str">
        <f>VLOOKUP(Table3[[#This Row],[Employee No.]],Table1_1[[Employee No.]:[Shift]],9,FALSE)</f>
        <v>SHIFT C</v>
      </c>
      <c r="H494" s="25">
        <v>1</v>
      </c>
      <c r="I494" s="25">
        <v>1</v>
      </c>
      <c r="J494" s="25">
        <v>1</v>
      </c>
      <c r="K494" s="25">
        <v>1</v>
      </c>
      <c r="L494" s="25">
        <v>1</v>
      </c>
      <c r="M494" s="25">
        <v>1</v>
      </c>
      <c r="P494" s="25"/>
    </row>
    <row r="495" spans="3:16">
      <c r="C495" s="22" t="s">
        <v>2397</v>
      </c>
      <c r="D495" t="str">
        <f>VLOOKUP(Table3[[#This Row],[Employee No.]],Table1_1[[Employee No.]:[Employee Name]],2,FALSE)</f>
        <v>MASTIUR PANGGABEAN</v>
      </c>
      <c r="E495" t="str">
        <f>VLOOKUP(Table3[[#This Row],[Employee No.]],Table1_1[[Employee No.]:[Department]],6,FALSE)</f>
        <v>DRILL</v>
      </c>
      <c r="F495" t="str">
        <f>VLOOKUP(Table3[[#This Row],[Employee No.]],Table1_1[[Employee No.]:[Gender]],7,FALSE)</f>
        <v>F</v>
      </c>
      <c r="G495" t="str">
        <f>VLOOKUP(Table3[[#This Row],[Employee No.]],Table1_1[[Employee No.]:[Shift]],9,FALSE)</f>
        <v>SHIFT B</v>
      </c>
      <c r="H495" s="25">
        <v>1</v>
      </c>
      <c r="I495" s="25">
        <v>1</v>
      </c>
      <c r="J495" s="25">
        <v>1</v>
      </c>
      <c r="K495" s="25">
        <v>1</v>
      </c>
      <c r="L495" s="25">
        <v>1</v>
      </c>
      <c r="M495" s="25">
        <v>1</v>
      </c>
    </row>
    <row r="496" spans="3:16">
      <c r="C496" s="22" t="s">
        <v>2399</v>
      </c>
      <c r="D496" t="str">
        <f>VLOOKUP(Table3[[#This Row],[Employee No.]],Table1_1[[Employee No.]:[Employee Name]],2,FALSE)</f>
        <v>NIKE ASTRIA SIMARMATA</v>
      </c>
      <c r="E496" t="str">
        <f>VLOOKUP(Table3[[#This Row],[Employee No.]],Table1_1[[Employee No.]:[Department]],6,FALSE)</f>
        <v>AOI</v>
      </c>
      <c r="F496" t="str">
        <f>VLOOKUP(Table3[[#This Row],[Employee No.]],Table1_1[[Employee No.]:[Gender]],7,FALSE)</f>
        <v>F</v>
      </c>
      <c r="G496" t="str">
        <f>VLOOKUP(Table3[[#This Row],[Employee No.]],Table1_1[[Employee No.]:[Shift]],9,FALSE)</f>
        <v>SHIFT C</v>
      </c>
      <c r="H496" s="25">
        <v>1</v>
      </c>
      <c r="I496" s="25">
        <v>1</v>
      </c>
      <c r="J496" s="25">
        <v>1</v>
      </c>
      <c r="K496" s="25">
        <v>1</v>
      </c>
      <c r="L496" s="25">
        <v>1</v>
      </c>
      <c r="M496" s="25">
        <v>0</v>
      </c>
      <c r="P496" s="25"/>
    </row>
    <row r="497" spans="3:16">
      <c r="C497" s="22" t="s">
        <v>2401</v>
      </c>
      <c r="D497" t="str">
        <f>VLOOKUP(Table3[[#This Row],[Employee No.]],Table1_1[[Employee No.]:[Employee Name]],2,FALSE)</f>
        <v>ODOR SIMAREMARE</v>
      </c>
      <c r="E497" t="str">
        <f>VLOOKUP(Table3[[#This Row],[Employee No.]],Table1_1[[Employee No.]:[Department]],6,FALSE)</f>
        <v>FVI</v>
      </c>
      <c r="F497" t="str">
        <f>VLOOKUP(Table3[[#This Row],[Employee No.]],Table1_1[[Employee No.]:[Gender]],7,FALSE)</f>
        <v>F</v>
      </c>
      <c r="G497" t="str">
        <f>VLOOKUP(Table3[[#This Row],[Employee No.]],Table1_1[[Employee No.]:[Shift]],9,FALSE)</f>
        <v>SHIFT B</v>
      </c>
      <c r="H497" s="25">
        <v>1</v>
      </c>
      <c r="I497" s="25">
        <v>1</v>
      </c>
      <c r="J497" s="25">
        <v>1</v>
      </c>
      <c r="K497" s="25">
        <v>1</v>
      </c>
      <c r="L497" s="25">
        <v>1</v>
      </c>
      <c r="M497" s="25">
        <v>1</v>
      </c>
    </row>
    <row r="498" spans="3:16">
      <c r="C498" s="22" t="s">
        <v>2403</v>
      </c>
      <c r="D498" t="str">
        <f>VLOOKUP(Table3[[#This Row],[Employee No.]],Table1_1[[Employee No.]:[Employee Name]],2,FALSE)</f>
        <v>PINNI JOJOR DELIMA SIREGAR</v>
      </c>
      <c r="E498" t="str">
        <f>VLOOKUP(Table3[[#This Row],[Employee No.]],Table1_1[[Employee No.]:[Department]],6,FALSE)</f>
        <v>FVI</v>
      </c>
      <c r="F498" t="str">
        <f>VLOOKUP(Table3[[#This Row],[Employee No.]],Table1_1[[Employee No.]:[Gender]],7,FALSE)</f>
        <v>F</v>
      </c>
      <c r="G498" t="str">
        <f>VLOOKUP(Table3[[#This Row],[Employee No.]],Table1_1[[Employee No.]:[Shift]],9,FALSE)</f>
        <v>SHIFT B</v>
      </c>
      <c r="H498" s="25">
        <v>1</v>
      </c>
      <c r="I498" s="25">
        <v>1</v>
      </c>
      <c r="J498" s="25">
        <v>1</v>
      </c>
      <c r="K498" s="25">
        <v>1</v>
      </c>
      <c r="L498" s="25">
        <v>1</v>
      </c>
      <c r="M498" s="25">
        <v>1</v>
      </c>
    </row>
    <row r="499" spans="3:16">
      <c r="C499" s="22" t="s">
        <v>2405</v>
      </c>
      <c r="D499" t="str">
        <f>VLOOKUP(Table3[[#This Row],[Employee No.]],Table1_1[[Employee No.]:[Employee Name]],2,FALSE)</f>
        <v>RESMINDO HUTAGALUNG</v>
      </c>
      <c r="E499" t="str">
        <f>VLOOKUP(Table3[[#This Row],[Employee No.]],Table1_1[[Employee No.]:[Department]],6,FALSE)</f>
        <v>SM</v>
      </c>
      <c r="F499" t="str">
        <f>VLOOKUP(Table3[[#This Row],[Employee No.]],Table1_1[[Employee No.]:[Gender]],7,FALSE)</f>
        <v>F</v>
      </c>
      <c r="G499" t="str">
        <f>VLOOKUP(Table3[[#This Row],[Employee No.]],Table1_1[[Employee No.]:[Shift]],9,FALSE)</f>
        <v>SHIFT B</v>
      </c>
      <c r="H499" s="25">
        <v>1</v>
      </c>
      <c r="I499" s="25">
        <v>1</v>
      </c>
      <c r="J499" s="25">
        <v>1</v>
      </c>
      <c r="K499" s="25">
        <v>1</v>
      </c>
      <c r="L499" s="25">
        <v>1</v>
      </c>
      <c r="M499" s="25">
        <v>1</v>
      </c>
    </row>
    <row r="500" spans="3:16">
      <c r="C500" s="22" t="s">
        <v>2407</v>
      </c>
      <c r="D500" t="str">
        <f>VLOOKUP(Table3[[#This Row],[Employee No.]],Table1_1[[Employee No.]:[Employee Name]],2,FALSE)</f>
        <v>RIZKY SYAHFITRI MARPAUNG</v>
      </c>
      <c r="E500" t="str">
        <f>VLOOKUP(Table3[[#This Row],[Employee No.]],Table1_1[[Employee No.]:[Department]],6,FALSE)</f>
        <v>FVI</v>
      </c>
      <c r="F500" t="str">
        <f>VLOOKUP(Table3[[#This Row],[Employee No.]],Table1_1[[Employee No.]:[Gender]],7,FALSE)</f>
        <v>F</v>
      </c>
      <c r="G500" t="str">
        <f>VLOOKUP(Table3[[#This Row],[Employee No.]],Table1_1[[Employee No.]:[Shift]],9,FALSE)</f>
        <v>SHIFT B</v>
      </c>
      <c r="H500" s="25">
        <v>1</v>
      </c>
      <c r="I500" s="25">
        <v>1</v>
      </c>
      <c r="J500" s="25">
        <v>1</v>
      </c>
      <c r="K500" s="25">
        <v>1</v>
      </c>
      <c r="L500" s="25">
        <v>1</v>
      </c>
      <c r="M500" s="25">
        <v>1</v>
      </c>
    </row>
    <row r="501" spans="3:16">
      <c r="C501" s="22" t="s">
        <v>2409</v>
      </c>
      <c r="D501" t="str">
        <f>VLOOKUP(Table3[[#This Row],[Employee No.]],Table1_1[[Employee No.]:[Employee Name]],2,FALSE)</f>
        <v>ROSITA SARI HALOHO</v>
      </c>
      <c r="E501" t="str">
        <f>VLOOKUP(Table3[[#This Row],[Employee No.]],Table1_1[[Employee No.]:[Department]],6,FALSE)</f>
        <v>FVI</v>
      </c>
      <c r="F501" t="str">
        <f>VLOOKUP(Table3[[#This Row],[Employee No.]],Table1_1[[Employee No.]:[Gender]],7,FALSE)</f>
        <v>F</v>
      </c>
      <c r="G501" t="str">
        <f>VLOOKUP(Table3[[#This Row],[Employee No.]],Table1_1[[Employee No.]:[Shift]],9,FALSE)</f>
        <v>SHIFT B</v>
      </c>
      <c r="H501" s="25">
        <v>1</v>
      </c>
      <c r="I501" s="25">
        <v>1</v>
      </c>
      <c r="J501" s="25">
        <v>1</v>
      </c>
      <c r="K501" s="25">
        <v>1</v>
      </c>
      <c r="L501" s="25">
        <v>1</v>
      </c>
      <c r="M501" s="25">
        <v>1</v>
      </c>
    </row>
    <row r="502" spans="3:16">
      <c r="C502" s="22" t="s">
        <v>2411</v>
      </c>
      <c r="D502" t="str">
        <f>VLOOKUP(Table3[[#This Row],[Employee No.]],Table1_1[[Employee No.]:[Employee Name]],2,FALSE)</f>
        <v>SABARIA PASARIBU</v>
      </c>
      <c r="E502" t="str">
        <f>VLOOKUP(Table3[[#This Row],[Employee No.]],Table1_1[[Employee No.]:[Department]],6,FALSE)</f>
        <v>FVI</v>
      </c>
      <c r="F502" t="str">
        <f>VLOOKUP(Table3[[#This Row],[Employee No.]],Table1_1[[Employee No.]:[Gender]],7,FALSE)</f>
        <v>F</v>
      </c>
      <c r="G502" t="str">
        <f>VLOOKUP(Table3[[#This Row],[Employee No.]],Table1_1[[Employee No.]:[Shift]],9,FALSE)</f>
        <v>SHIFT B</v>
      </c>
      <c r="H502" s="25">
        <v>1</v>
      </c>
      <c r="I502" s="25">
        <v>1</v>
      </c>
      <c r="J502" s="25">
        <v>1</v>
      </c>
      <c r="K502" s="25">
        <v>1</v>
      </c>
      <c r="L502" s="25">
        <v>1</v>
      </c>
      <c r="M502" s="25">
        <v>1</v>
      </c>
    </row>
    <row r="503" spans="3:16">
      <c r="C503" s="22" t="s">
        <v>2413</v>
      </c>
      <c r="D503" t="str">
        <f>VLOOKUP(Table3[[#This Row],[Employee No.]],Table1_1[[Employee No.]:[Employee Name]],2,FALSE)</f>
        <v>SITI KHODIJAH</v>
      </c>
      <c r="E503" t="str">
        <f>VLOOKUP(Table3[[#This Row],[Employee No.]],Table1_1[[Employee No.]:[Department]],6,FALSE)</f>
        <v>FVI</v>
      </c>
      <c r="F503" t="str">
        <f>VLOOKUP(Table3[[#This Row],[Employee No.]],Table1_1[[Employee No.]:[Gender]],7,FALSE)</f>
        <v>F</v>
      </c>
      <c r="G503" t="str">
        <f>VLOOKUP(Table3[[#This Row],[Employee No.]],Table1_1[[Employee No.]:[Shift]],9,FALSE)</f>
        <v>SHIFT C</v>
      </c>
      <c r="H503" s="25">
        <v>1</v>
      </c>
      <c r="I503" s="25">
        <v>1</v>
      </c>
      <c r="J503" s="25">
        <v>1</v>
      </c>
      <c r="K503" s="25">
        <v>1</v>
      </c>
      <c r="L503" s="25">
        <v>1</v>
      </c>
      <c r="M503" s="25">
        <v>1</v>
      </c>
      <c r="P503" s="25"/>
    </row>
    <row r="504" spans="3:16">
      <c r="C504" s="22" t="s">
        <v>2415</v>
      </c>
      <c r="D504" t="str">
        <f>VLOOKUP(Table3[[#This Row],[Employee No.]],Table1_1[[Employee No.]:[Employee Name]],2,FALSE)</f>
        <v>SOFIA MELANI SITOMPUL</v>
      </c>
      <c r="E504" t="str">
        <f>VLOOKUP(Table3[[#This Row],[Employee No.]],Table1_1[[Employee No.]:[Department]],6,FALSE)</f>
        <v>CHAMFER</v>
      </c>
      <c r="F504" t="str">
        <f>VLOOKUP(Table3[[#This Row],[Employee No.]],Table1_1[[Employee No.]:[Gender]],7,FALSE)</f>
        <v>F</v>
      </c>
      <c r="G504" t="str">
        <f>VLOOKUP(Table3[[#This Row],[Employee No.]],Table1_1[[Employee No.]:[Shift]],9,FALSE)</f>
        <v>SHIFT B</v>
      </c>
      <c r="H504" s="25">
        <v>1</v>
      </c>
      <c r="I504" s="25">
        <v>1</v>
      </c>
      <c r="J504" s="25">
        <v>1</v>
      </c>
      <c r="K504" s="25">
        <v>1</v>
      </c>
      <c r="L504" s="25">
        <v>1</v>
      </c>
      <c r="M504" s="25">
        <v>1</v>
      </c>
    </row>
    <row r="505" spans="3:16">
      <c r="C505" s="22" t="s">
        <v>2417</v>
      </c>
      <c r="D505" t="str">
        <f>VLOOKUP(Table3[[#This Row],[Employee No.]],Table1_1[[Employee No.]:[Employee Name]],2,FALSE)</f>
        <v>SRI MULYANI</v>
      </c>
      <c r="E505" t="str">
        <f>VLOOKUP(Table3[[#This Row],[Employee No.]],Table1_1[[Employee No.]:[Department]],6,FALSE)</f>
        <v>FVI</v>
      </c>
      <c r="F505" t="str">
        <f>VLOOKUP(Table3[[#This Row],[Employee No.]],Table1_1[[Employee No.]:[Gender]],7,FALSE)</f>
        <v>F</v>
      </c>
      <c r="G505" t="str">
        <f>VLOOKUP(Table3[[#This Row],[Employee No.]],Table1_1[[Employee No.]:[Shift]],9,FALSE)</f>
        <v>SHIFT C</v>
      </c>
      <c r="H505" s="25">
        <v>1</v>
      </c>
      <c r="I505" s="25">
        <v>1</v>
      </c>
      <c r="J505" s="25">
        <v>1</v>
      </c>
      <c r="K505" s="25">
        <v>1</v>
      </c>
      <c r="L505" s="25">
        <v>1</v>
      </c>
      <c r="M505" s="25">
        <v>1</v>
      </c>
      <c r="P505" s="25"/>
    </row>
    <row r="506" spans="3:16">
      <c r="C506" s="22" t="s">
        <v>2419</v>
      </c>
      <c r="D506" t="str">
        <f>VLOOKUP(Table3[[#This Row],[Employee No.]],Table1_1[[Employee No.]:[Employee Name]],2,FALSE)</f>
        <v>TETTI SURIATI PANGGABEAN</v>
      </c>
      <c r="E506" t="str">
        <f>VLOOKUP(Table3[[#This Row],[Employee No.]],Table1_1[[Employee No.]:[Department]],6,FALSE)</f>
        <v>SM</v>
      </c>
      <c r="F506" t="str">
        <f>VLOOKUP(Table3[[#This Row],[Employee No.]],Table1_1[[Employee No.]:[Gender]],7,FALSE)</f>
        <v>F</v>
      </c>
      <c r="G506" t="str">
        <f>VLOOKUP(Table3[[#This Row],[Employee No.]],Table1_1[[Employee No.]:[Shift]],9,FALSE)</f>
        <v>SHIFT C</v>
      </c>
      <c r="H506" s="25">
        <v>1</v>
      </c>
      <c r="I506" s="25">
        <v>1</v>
      </c>
      <c r="J506" s="25">
        <v>1</v>
      </c>
      <c r="K506" s="25">
        <v>1</v>
      </c>
      <c r="L506" s="25">
        <v>1</v>
      </c>
      <c r="M506" s="25">
        <v>1</v>
      </c>
      <c r="P506" s="25"/>
    </row>
    <row r="507" spans="3:16">
      <c r="C507" s="22" t="s">
        <v>2421</v>
      </c>
      <c r="D507" t="str">
        <f>VLOOKUP(Table3[[#This Row],[Employee No.]],Table1_1[[Employee No.]:[Employee Name]],2,FALSE)</f>
        <v>TUPA P MANALU</v>
      </c>
      <c r="E507" t="str">
        <f>VLOOKUP(Table3[[#This Row],[Employee No.]],Table1_1[[Employee No.]:[Department]],6,FALSE)</f>
        <v>CHAMFER</v>
      </c>
      <c r="F507" t="str">
        <f>VLOOKUP(Table3[[#This Row],[Employee No.]],Table1_1[[Employee No.]:[Gender]],7,FALSE)</f>
        <v>F</v>
      </c>
      <c r="G507" t="str">
        <f>VLOOKUP(Table3[[#This Row],[Employee No.]],Table1_1[[Employee No.]:[Shift]],9,FALSE)</f>
        <v>SHIFT A</v>
      </c>
      <c r="H507" s="25">
        <v>1</v>
      </c>
      <c r="I507" s="25">
        <v>1</v>
      </c>
      <c r="J507" s="25">
        <v>1</v>
      </c>
      <c r="K507" s="25">
        <v>1</v>
      </c>
      <c r="L507" s="25">
        <v>1</v>
      </c>
      <c r="M507" s="25">
        <v>1</v>
      </c>
    </row>
    <row r="508" spans="3:16">
      <c r="C508" s="22" t="s">
        <v>2423</v>
      </c>
      <c r="D508" t="str">
        <f>VLOOKUP(Table3[[#This Row],[Employee No.]],Table1_1[[Employee No.]:[Employee Name]],2,FALSE)</f>
        <v>URSULA ELISABET</v>
      </c>
      <c r="E508" t="str">
        <f>VLOOKUP(Table3[[#This Row],[Employee No.]],Table1_1[[Employee No.]:[Department]],6,FALSE)</f>
        <v>FVI</v>
      </c>
      <c r="F508" t="str">
        <f>VLOOKUP(Table3[[#This Row],[Employee No.]],Table1_1[[Employee No.]:[Gender]],7,FALSE)</f>
        <v>F</v>
      </c>
      <c r="G508" t="str">
        <f>VLOOKUP(Table3[[#This Row],[Employee No.]],Table1_1[[Employee No.]:[Shift]],9,FALSE)</f>
        <v>SHIFT C</v>
      </c>
      <c r="H508" s="25">
        <v>1</v>
      </c>
      <c r="I508" s="25">
        <v>1</v>
      </c>
      <c r="J508" s="25">
        <v>1</v>
      </c>
      <c r="K508" s="25">
        <v>1</v>
      </c>
      <c r="L508" s="25">
        <v>1</v>
      </c>
      <c r="M508" s="25">
        <v>1</v>
      </c>
      <c r="P508" s="25"/>
    </row>
    <row r="509" spans="3:16">
      <c r="C509" s="22" t="s">
        <v>2425</v>
      </c>
      <c r="D509" t="str">
        <f>VLOOKUP(Table3[[#This Row],[Employee No.]],Table1_1[[Employee No.]:[Employee Name]],2,FALSE)</f>
        <v>WULAN ROHAYATI</v>
      </c>
      <c r="E509" t="str">
        <f>VLOOKUP(Table3[[#This Row],[Employee No.]],Table1_1[[Employee No.]:[Department]],6,FALSE)</f>
        <v>SM</v>
      </c>
      <c r="F509" t="str">
        <f>VLOOKUP(Table3[[#This Row],[Employee No.]],Table1_1[[Employee No.]:[Gender]],7,FALSE)</f>
        <v>F</v>
      </c>
      <c r="G509" t="str">
        <f>VLOOKUP(Table3[[#This Row],[Employee No.]],Table1_1[[Employee No.]:[Shift]],9,FALSE)</f>
        <v>SHIFT A</v>
      </c>
      <c r="H509" s="25">
        <v>0</v>
      </c>
      <c r="I509" s="25">
        <v>0</v>
      </c>
      <c r="J509" s="25">
        <v>1</v>
      </c>
      <c r="K509" s="25">
        <v>1</v>
      </c>
      <c r="L509" s="25">
        <v>1</v>
      </c>
      <c r="M509" s="25">
        <v>1</v>
      </c>
    </row>
    <row r="510" spans="3:16">
      <c r="C510" s="22" t="s">
        <v>2427</v>
      </c>
      <c r="D510" t="str">
        <f>VLOOKUP(Table3[[#This Row],[Employee No.]],Table1_1[[Employee No.]:[Employee Name]],2,FALSE)</f>
        <v>ZAITUN</v>
      </c>
      <c r="E510" t="str">
        <f>VLOOKUP(Table3[[#This Row],[Employee No.]],Table1_1[[Employee No.]:[Department]],6,FALSE)</f>
        <v>FVI</v>
      </c>
      <c r="F510" t="str">
        <f>VLOOKUP(Table3[[#This Row],[Employee No.]],Table1_1[[Employee No.]:[Gender]],7,FALSE)</f>
        <v>F</v>
      </c>
      <c r="G510" t="str">
        <f>VLOOKUP(Table3[[#This Row],[Employee No.]],Table1_1[[Employee No.]:[Shift]],9,FALSE)</f>
        <v>SHIFT A</v>
      </c>
      <c r="H510" s="25">
        <v>1</v>
      </c>
      <c r="I510" s="25">
        <v>0</v>
      </c>
      <c r="J510" s="25">
        <v>1</v>
      </c>
      <c r="K510" s="25">
        <v>1</v>
      </c>
      <c r="L510" s="25">
        <v>1</v>
      </c>
      <c r="M510" s="25">
        <v>1</v>
      </c>
    </row>
    <row r="511" spans="3:16">
      <c r="C511" s="22" t="s">
        <v>2429</v>
      </c>
      <c r="D511" t="str">
        <f>VLOOKUP(Table3[[#This Row],[Employee No.]],Table1_1[[Employee No.]:[Employee Name]],2,FALSE)</f>
        <v>MOHAMMAD FEISOL BIN FADZIL</v>
      </c>
      <c r="E511" t="str">
        <f>VLOOKUP(Table3[[#This Row],[Employee No.]],Table1_1[[Employee No.]:[Department]],6,FALSE)</f>
        <v>ENVIRONMENT</v>
      </c>
      <c r="F511" t="str">
        <f>VLOOKUP(Table3[[#This Row],[Employee No.]],Table1_1[[Employee No.]:[Gender]],7,FALSE)</f>
        <v>M</v>
      </c>
      <c r="G511" t="str">
        <f>VLOOKUP(Table3[[#This Row],[Employee No.]],Table1_1[[Employee No.]:[Shift]],9,FALSE)</f>
        <v>SHIFT C</v>
      </c>
      <c r="H511" s="25">
        <v>1</v>
      </c>
      <c r="I511" s="25">
        <v>1</v>
      </c>
      <c r="J511" s="25">
        <v>0</v>
      </c>
      <c r="K511" s="25">
        <v>1</v>
      </c>
      <c r="L511" s="25">
        <v>0</v>
      </c>
      <c r="M511" s="25">
        <v>1</v>
      </c>
      <c r="P511" s="25"/>
    </row>
    <row r="512" spans="3:16">
      <c r="C512" s="22" t="s">
        <v>2436</v>
      </c>
      <c r="D512" t="str">
        <f>VLOOKUP(Table3[[#This Row],[Employee No.]],Table1_1[[Employee No.]:[Employee Name]],2,FALSE)</f>
        <v>MOHD ASRULFITRI BIN ABDULLAH</v>
      </c>
      <c r="E512" t="str">
        <f>VLOOKUP(Table3[[#This Row],[Employee No.]],Table1_1[[Employee No.]:[Department]],6,FALSE)</f>
        <v>ENVIRONMENT</v>
      </c>
      <c r="F512" t="str">
        <f>VLOOKUP(Table3[[#This Row],[Employee No.]],Table1_1[[Employee No.]:[Gender]],7,FALSE)</f>
        <v>M</v>
      </c>
      <c r="G512" t="str">
        <f>VLOOKUP(Table3[[#This Row],[Employee No.]],Table1_1[[Employee No.]:[Shift]],9,FALSE)</f>
        <v>SHIFT C</v>
      </c>
      <c r="H512" s="25">
        <v>1</v>
      </c>
      <c r="I512" s="25">
        <v>1</v>
      </c>
      <c r="J512" s="25">
        <v>1</v>
      </c>
      <c r="K512" s="25">
        <v>0</v>
      </c>
      <c r="L512" s="25">
        <v>1</v>
      </c>
      <c r="M512" s="25">
        <v>1</v>
      </c>
      <c r="P512" s="25"/>
    </row>
    <row r="513" spans="3:16">
      <c r="C513" s="22" t="s">
        <v>2440</v>
      </c>
      <c r="D513" t="str">
        <f>VLOOKUP(Table3[[#This Row],[Employee No.]],Table1_1[[Employee No.]:[Employee Name]],2,FALSE)</f>
        <v>KHAIRUL AZMAN BIN MOHD BASLAH</v>
      </c>
      <c r="E513" t="str">
        <f>VLOOKUP(Table3[[#This Row],[Employee No.]],Table1_1[[Employee No.]:[Department]],6,FALSE)</f>
        <v>WAREHOUSE</v>
      </c>
      <c r="F513" t="str">
        <f>VLOOKUP(Table3[[#This Row],[Employee No.]],Table1_1[[Employee No.]:[Gender]],7,FALSE)</f>
        <v>M</v>
      </c>
      <c r="G513" t="str">
        <f>VLOOKUP(Table3[[#This Row],[Employee No.]],Table1_1[[Employee No.]:[Shift]],9,FALSE)</f>
        <v>SHIFT O</v>
      </c>
      <c r="H513" s="25">
        <v>0</v>
      </c>
      <c r="I513" s="25">
        <v>1</v>
      </c>
      <c r="J513" s="25">
        <v>0</v>
      </c>
      <c r="K513" s="25">
        <v>1</v>
      </c>
      <c r="L513" s="25">
        <v>1</v>
      </c>
      <c r="M513" s="25">
        <v>0</v>
      </c>
    </row>
    <row r="514" spans="3:16">
      <c r="C514" s="22" t="s">
        <v>2444</v>
      </c>
      <c r="D514" t="str">
        <f>VLOOKUP(Table3[[#This Row],[Employee No.]],Table1_1[[Employee No.]:[Employee Name]],2,FALSE)</f>
        <v>MUHAMMAD DAMIREL BIN ABDUL HAMID</v>
      </c>
      <c r="E514" t="str">
        <f>VLOOKUP(Table3[[#This Row],[Employee No.]],Table1_1[[Employee No.]:[Department]],6,FALSE)</f>
        <v>PACKING</v>
      </c>
      <c r="F514" t="str">
        <f>VLOOKUP(Table3[[#This Row],[Employee No.]],Table1_1[[Employee No.]:[Gender]],7,FALSE)</f>
        <v>M</v>
      </c>
      <c r="G514" t="str">
        <f>VLOOKUP(Table3[[#This Row],[Employee No.]],Table1_1[[Employee No.]:[Shift]],9,FALSE)</f>
        <v>SHIFT B</v>
      </c>
      <c r="H514" s="25">
        <v>1</v>
      </c>
      <c r="I514" s="25">
        <v>1</v>
      </c>
      <c r="J514" s="25">
        <v>1</v>
      </c>
      <c r="K514" s="25">
        <v>1</v>
      </c>
      <c r="L514" s="25">
        <v>1</v>
      </c>
      <c r="M514" s="25">
        <v>1</v>
      </c>
    </row>
    <row r="515" spans="3:16">
      <c r="C515" s="22" t="s">
        <v>2450</v>
      </c>
      <c r="D515" t="str">
        <f>VLOOKUP(Table3[[#This Row],[Employee No.]],Table1_1[[Employee No.]:[Employee Name]],2,FALSE)</f>
        <v>NUR SHAHIRA BINTI HASHIM</v>
      </c>
      <c r="E515" t="str">
        <f>VLOOKUP(Table3[[#This Row],[Employee No.]],Table1_1[[Employee No.]:[Department]],6,FALSE)</f>
        <v>BBT</v>
      </c>
      <c r="F515" t="str">
        <f>VLOOKUP(Table3[[#This Row],[Employee No.]],Table1_1[[Employee No.]:[Gender]],7,FALSE)</f>
        <v>F</v>
      </c>
      <c r="G515" t="str">
        <f>VLOOKUP(Table3[[#This Row],[Employee No.]],Table1_1[[Employee No.]:[Shift]],9,FALSE)</f>
        <v>SHIFT C</v>
      </c>
      <c r="H515" s="25">
        <v>1</v>
      </c>
      <c r="I515" s="25">
        <v>1</v>
      </c>
      <c r="J515" s="25">
        <v>1</v>
      </c>
      <c r="K515" s="25">
        <v>1</v>
      </c>
      <c r="L515" s="25">
        <v>1</v>
      </c>
      <c r="M515" s="25">
        <v>1</v>
      </c>
    </row>
    <row r="516" spans="3:16">
      <c r="C516" s="22" t="s">
        <v>2453</v>
      </c>
      <c r="D516" t="str">
        <f>VLOOKUP(Table3[[#This Row],[Employee No.]],Table1_1[[Employee No.]:[Employee Name]],2,FALSE)</f>
        <v>PUTERA BISZMIE BIN ANUAR</v>
      </c>
      <c r="E516" t="str">
        <f>VLOOKUP(Table3[[#This Row],[Employee No.]],Table1_1[[Employee No.]:[Department]],6,FALSE)</f>
        <v>RODI</v>
      </c>
      <c r="F516" t="str">
        <f>VLOOKUP(Table3[[#This Row],[Employee No.]],Table1_1[[Employee No.]:[Gender]],7,FALSE)</f>
        <v>M</v>
      </c>
      <c r="G516" t="str">
        <f>VLOOKUP(Table3[[#This Row],[Employee No.]],Table1_1[[Employee No.]:[Shift]],9,FALSE)</f>
        <v>SHIFT A</v>
      </c>
      <c r="H516" s="25">
        <v>1</v>
      </c>
      <c r="I516" s="25">
        <v>1</v>
      </c>
      <c r="J516" s="25">
        <v>1</v>
      </c>
      <c r="K516" s="25">
        <v>1</v>
      </c>
      <c r="L516" s="25">
        <v>1</v>
      </c>
      <c r="M516" s="25">
        <v>1</v>
      </c>
    </row>
    <row r="517" spans="3:16">
      <c r="C517" s="22" t="s">
        <v>2457</v>
      </c>
      <c r="D517" t="str">
        <f>VLOOKUP(Table3[[#This Row],[Employee No.]],Table1_1[[Employee No.]:[Employee Name]],2,FALSE)</f>
        <v>MUHAMMAD NURHAQIM BIN JOHARI</v>
      </c>
      <c r="E517" t="str">
        <f>VLOOKUP(Table3[[#This Row],[Employee No.]],Table1_1[[Employee No.]:[Department]],6,FALSE)</f>
        <v>HS</v>
      </c>
      <c r="F517" t="str">
        <f>VLOOKUP(Table3[[#This Row],[Employee No.]],Table1_1[[Employee No.]:[Gender]],7,FALSE)</f>
        <v>M</v>
      </c>
      <c r="G517" t="str">
        <f>VLOOKUP(Table3[[#This Row],[Employee No.]],Table1_1[[Employee No.]:[Shift]],9,FALSE)</f>
        <v>SHIFT C</v>
      </c>
      <c r="H517" s="25">
        <v>1</v>
      </c>
      <c r="I517" s="25">
        <v>1</v>
      </c>
      <c r="J517" s="25">
        <v>1</v>
      </c>
      <c r="K517" s="25">
        <v>1</v>
      </c>
      <c r="L517" s="25">
        <v>1</v>
      </c>
      <c r="M517" s="25">
        <v>1</v>
      </c>
      <c r="P517" s="25"/>
    </row>
    <row r="518" spans="3:16">
      <c r="C518" s="22" t="s">
        <v>2461</v>
      </c>
      <c r="D518" t="str">
        <f>VLOOKUP(Table3[[#This Row],[Employee No.]],Table1_1[[Employee No.]:[Employee Name]],2,FALSE)</f>
        <v>AZMAN BIN ASIM</v>
      </c>
      <c r="E518" t="str">
        <f>VLOOKUP(Table3[[#This Row],[Employee No.]],Table1_1[[Employee No.]:[Department]],6,FALSE)</f>
        <v>HS</v>
      </c>
      <c r="F518" t="str">
        <f>VLOOKUP(Table3[[#This Row],[Employee No.]],Table1_1[[Employee No.]:[Gender]],7,FALSE)</f>
        <v>M</v>
      </c>
      <c r="G518" t="str">
        <f>VLOOKUP(Table3[[#This Row],[Employee No.]],Table1_1[[Employee No.]:[Shift]],9,FALSE)</f>
        <v>SHIFT C</v>
      </c>
      <c r="H518" s="25">
        <v>1</v>
      </c>
      <c r="I518" s="25">
        <v>1</v>
      </c>
      <c r="J518" s="25">
        <v>1</v>
      </c>
      <c r="K518" s="25">
        <v>1</v>
      </c>
      <c r="L518" s="25">
        <v>1</v>
      </c>
      <c r="M518" s="25">
        <v>1</v>
      </c>
      <c r="P518" s="25"/>
    </row>
    <row r="519" spans="3:16">
      <c r="C519" s="22" t="s">
        <v>2465</v>
      </c>
      <c r="D519" t="str">
        <f>VLOOKUP(Table3[[#This Row],[Employee No.]],Table1_1[[Employee No.]:[Employee Name]],2,FALSE)</f>
        <v>ABINASH KUMAR SAHANI</v>
      </c>
      <c r="E519" t="str">
        <f>VLOOKUP(Table3[[#This Row],[Employee No.]],Table1_1[[Employee No.]:[Department]],6,FALSE)</f>
        <v>AOI</v>
      </c>
      <c r="F519" t="str">
        <f>VLOOKUP(Table3[[#This Row],[Employee No.]],Table1_1[[Employee No.]:[Gender]],7,FALSE)</f>
        <v>M</v>
      </c>
      <c r="G519" t="str">
        <f>VLOOKUP(Table3[[#This Row],[Employee No.]],Table1_1[[Employee No.]:[Shift]],9,FALSE)</f>
        <v>SHIFT A</v>
      </c>
      <c r="H519" s="25">
        <v>1</v>
      </c>
      <c r="I519" s="25">
        <v>1</v>
      </c>
      <c r="J519" s="25">
        <v>1</v>
      </c>
      <c r="K519" s="25">
        <v>1</v>
      </c>
      <c r="L519" s="25">
        <v>1</v>
      </c>
      <c r="M519" s="25">
        <v>1</v>
      </c>
    </row>
    <row r="520" spans="3:16">
      <c r="C520" s="22" t="s">
        <v>2467</v>
      </c>
      <c r="D520" t="str">
        <f>VLOOKUP(Table3[[#This Row],[Employee No.]],Table1_1[[Employee No.]:[Employee Name]],2,FALSE)</f>
        <v>AMIT KUMAR THAKUR</v>
      </c>
      <c r="E520" t="str">
        <f>VLOOKUP(Table3[[#This Row],[Employee No.]],Table1_1[[Employee No.]:[Department]],6,FALSE)</f>
        <v>AOI</v>
      </c>
      <c r="F520" t="str">
        <f>VLOOKUP(Table3[[#This Row],[Employee No.]],Table1_1[[Employee No.]:[Gender]],7,FALSE)</f>
        <v>M</v>
      </c>
      <c r="G520" t="str">
        <f>VLOOKUP(Table3[[#This Row],[Employee No.]],Table1_1[[Employee No.]:[Shift]],9,FALSE)</f>
        <v>SHIFT A</v>
      </c>
      <c r="H520" s="25">
        <v>1</v>
      </c>
      <c r="I520" s="25">
        <v>1</v>
      </c>
      <c r="J520" s="25">
        <v>1</v>
      </c>
      <c r="K520" s="25">
        <v>1</v>
      </c>
      <c r="L520" s="25">
        <v>1</v>
      </c>
      <c r="M520" s="25">
        <v>1</v>
      </c>
    </row>
    <row r="521" spans="3:16">
      <c r="C521" s="22" t="s">
        <v>2469</v>
      </c>
      <c r="D521" t="str">
        <f>VLOOKUP(Table3[[#This Row],[Employee No.]],Table1_1[[Employee No.]:[Employee Name]],2,FALSE)</f>
        <v>ANIL KUMAR YADAV</v>
      </c>
      <c r="E521" t="str">
        <f>VLOOKUP(Table3[[#This Row],[Employee No.]],Table1_1[[Employee No.]:[Department]],6,FALSE)</f>
        <v>AOI</v>
      </c>
      <c r="F521" t="str">
        <f>VLOOKUP(Table3[[#This Row],[Employee No.]],Table1_1[[Employee No.]:[Gender]],7,FALSE)</f>
        <v>M</v>
      </c>
      <c r="G521" t="str">
        <f>VLOOKUP(Table3[[#This Row],[Employee No.]],Table1_1[[Employee No.]:[Shift]],9,FALSE)</f>
        <v>SHIFT C</v>
      </c>
      <c r="H521" s="25">
        <v>1</v>
      </c>
      <c r="I521" s="25">
        <v>1</v>
      </c>
      <c r="J521" s="25">
        <v>1</v>
      </c>
      <c r="K521" s="25">
        <v>1</v>
      </c>
      <c r="L521" s="25">
        <v>1</v>
      </c>
      <c r="M521" s="25">
        <v>0</v>
      </c>
      <c r="P521" s="25"/>
    </row>
    <row r="522" spans="3:16">
      <c r="C522" s="22" t="s">
        <v>2471</v>
      </c>
      <c r="D522" t="str">
        <f>VLOOKUP(Table3[[#This Row],[Employee No.]],Table1_1[[Employee No.]:[Employee Name]],2,FALSE)</f>
        <v>ANIL KUNWAR</v>
      </c>
      <c r="E522" t="str">
        <f>VLOOKUP(Table3[[#This Row],[Employee No.]],Table1_1[[Employee No.]:[Department]],6,FALSE)</f>
        <v>ROUTER</v>
      </c>
      <c r="F522" t="str">
        <f>VLOOKUP(Table3[[#This Row],[Employee No.]],Table1_1[[Employee No.]:[Gender]],7,FALSE)</f>
        <v>M</v>
      </c>
      <c r="G522" t="str">
        <f>VLOOKUP(Table3[[#This Row],[Employee No.]],Table1_1[[Employee No.]:[Shift]],9,FALSE)</f>
        <v>SHIFT A</v>
      </c>
      <c r="H522" s="25">
        <v>1</v>
      </c>
      <c r="I522" s="25">
        <v>1</v>
      </c>
      <c r="J522" s="25">
        <v>1</v>
      </c>
      <c r="K522" s="25">
        <v>1</v>
      </c>
      <c r="L522" s="25">
        <v>1</v>
      </c>
      <c r="M522" s="25">
        <v>1</v>
      </c>
    </row>
    <row r="523" spans="3:16">
      <c r="C523" s="22" t="s">
        <v>2473</v>
      </c>
      <c r="D523" t="str">
        <f>VLOOKUP(Table3[[#This Row],[Employee No.]],Table1_1[[Employee No.]:[Employee Name]],2,FALSE)</f>
        <v>ANURAG KUMAL</v>
      </c>
      <c r="E523" t="str">
        <f>VLOOKUP(Table3[[#This Row],[Employee No.]],Table1_1[[Employee No.]:[Department]],6,FALSE)</f>
        <v>ROUTER</v>
      </c>
      <c r="F523" t="str">
        <f>VLOOKUP(Table3[[#This Row],[Employee No.]],Table1_1[[Employee No.]:[Gender]],7,FALSE)</f>
        <v>M</v>
      </c>
      <c r="G523" t="str">
        <f>VLOOKUP(Table3[[#This Row],[Employee No.]],Table1_1[[Employee No.]:[Shift]],9,FALSE)</f>
        <v>SHIFT B</v>
      </c>
      <c r="H523" s="25">
        <v>1</v>
      </c>
      <c r="I523" s="25">
        <v>1</v>
      </c>
      <c r="J523" s="25">
        <v>1</v>
      </c>
      <c r="K523" s="25">
        <v>1</v>
      </c>
      <c r="L523" s="25">
        <v>1</v>
      </c>
      <c r="M523" s="25">
        <v>1</v>
      </c>
    </row>
    <row r="524" spans="3:16">
      <c r="C524" s="22" t="s">
        <v>2475</v>
      </c>
      <c r="D524" t="str">
        <f>VLOOKUP(Table3[[#This Row],[Employee No.]],Table1_1[[Employee No.]:[Employee Name]],2,FALSE)</f>
        <v>ASHOK KUMAR SAH</v>
      </c>
      <c r="E524" t="str">
        <f>VLOOKUP(Table3[[#This Row],[Employee No.]],Table1_1[[Employee No.]:[Department]],6,FALSE)</f>
        <v>ROUTER</v>
      </c>
      <c r="F524" t="str">
        <f>VLOOKUP(Table3[[#This Row],[Employee No.]],Table1_1[[Employee No.]:[Gender]],7,FALSE)</f>
        <v>M</v>
      </c>
      <c r="G524" t="str">
        <f>VLOOKUP(Table3[[#This Row],[Employee No.]],Table1_1[[Employee No.]:[Shift]],9,FALSE)</f>
        <v>SHIFT C</v>
      </c>
      <c r="H524" s="25">
        <v>1</v>
      </c>
      <c r="I524" s="25">
        <v>1</v>
      </c>
      <c r="J524" s="25">
        <v>1</v>
      </c>
      <c r="K524" s="25">
        <v>1</v>
      </c>
      <c r="L524" s="25">
        <v>1</v>
      </c>
      <c r="M524" s="25">
        <v>1</v>
      </c>
      <c r="P524" s="25"/>
    </row>
    <row r="525" spans="3:16">
      <c r="C525" s="22" t="s">
        <v>2477</v>
      </c>
      <c r="D525" t="str">
        <f>VLOOKUP(Table3[[#This Row],[Employee No.]],Table1_1[[Employee No.]:[Employee Name]],2,FALSE)</f>
        <v>BHOLA PRASAD SAH</v>
      </c>
      <c r="E525" t="str">
        <f>VLOOKUP(Table3[[#This Row],[Employee No.]],Table1_1[[Employee No.]:[Department]],6,FALSE)</f>
        <v>DF</v>
      </c>
      <c r="F525" t="str">
        <f>VLOOKUP(Table3[[#This Row],[Employee No.]],Table1_1[[Employee No.]:[Gender]],7,FALSE)</f>
        <v>M</v>
      </c>
      <c r="G525" t="str">
        <f>VLOOKUP(Table3[[#This Row],[Employee No.]],Table1_1[[Employee No.]:[Shift]],9,FALSE)</f>
        <v>SHIFT A</v>
      </c>
      <c r="H525" s="25">
        <v>1</v>
      </c>
      <c r="I525" s="25">
        <v>1</v>
      </c>
      <c r="J525" s="25">
        <v>1</v>
      </c>
      <c r="K525" s="25">
        <v>1</v>
      </c>
      <c r="L525" s="25">
        <v>1</v>
      </c>
      <c r="M525" s="25">
        <v>1</v>
      </c>
    </row>
    <row r="526" spans="3:16">
      <c r="C526" s="22" t="s">
        <v>2479</v>
      </c>
      <c r="D526" t="str">
        <f>VLOOKUP(Table3[[#This Row],[Employee No.]],Table1_1[[Employee No.]:[Employee Name]],2,FALSE)</f>
        <v>BIJAY KAFLE</v>
      </c>
      <c r="E526" t="str">
        <f>VLOOKUP(Table3[[#This Row],[Employee No.]],Table1_1[[Employee No.]:[Department]],6,FALSE)</f>
        <v>MLB</v>
      </c>
      <c r="F526" t="str">
        <f>VLOOKUP(Table3[[#This Row],[Employee No.]],Table1_1[[Employee No.]:[Gender]],7,FALSE)</f>
        <v>M</v>
      </c>
      <c r="G526" t="str">
        <f>VLOOKUP(Table3[[#This Row],[Employee No.]],Table1_1[[Employee No.]:[Shift]],9,FALSE)</f>
        <v>SHIFT C</v>
      </c>
      <c r="H526" s="25">
        <v>1</v>
      </c>
      <c r="I526" s="25">
        <v>1</v>
      </c>
      <c r="J526" s="25">
        <v>1</v>
      </c>
      <c r="K526" s="25">
        <v>1</v>
      </c>
      <c r="L526" s="25">
        <v>1</v>
      </c>
      <c r="M526" s="25">
        <v>1</v>
      </c>
    </row>
    <row r="527" spans="3:16">
      <c r="C527" s="22" t="s">
        <v>2481</v>
      </c>
      <c r="D527" t="str">
        <f>VLOOKUP(Table3[[#This Row],[Employee No.]],Table1_1[[Employee No.]:[Employee Name]],2,FALSE)</f>
        <v>BIMAL KHADKA</v>
      </c>
      <c r="E527" t="str">
        <f>VLOOKUP(Table3[[#This Row],[Employee No.]],Table1_1[[Employee No.]:[Department]],6,FALSE)</f>
        <v>ROUTER</v>
      </c>
      <c r="F527" t="str">
        <f>VLOOKUP(Table3[[#This Row],[Employee No.]],Table1_1[[Employee No.]:[Gender]],7,FALSE)</f>
        <v>M</v>
      </c>
      <c r="G527" t="str">
        <f>VLOOKUP(Table3[[#This Row],[Employee No.]],Table1_1[[Employee No.]:[Shift]],9,FALSE)</f>
        <v>SHIFT C</v>
      </c>
      <c r="H527" s="25">
        <v>1</v>
      </c>
      <c r="I527" s="25">
        <v>1</v>
      </c>
      <c r="J527" s="25">
        <v>1</v>
      </c>
      <c r="K527" s="25">
        <v>1</v>
      </c>
      <c r="L527" s="25">
        <v>1</v>
      </c>
      <c r="M527" s="25">
        <v>1</v>
      </c>
      <c r="P527" s="25"/>
    </row>
    <row r="528" spans="3:16">
      <c r="C528" s="22" t="s">
        <v>2483</v>
      </c>
      <c r="D528" t="str">
        <f>VLOOKUP(Table3[[#This Row],[Employee No.]],Table1_1[[Employee No.]:[Employee Name]],2,FALSE)</f>
        <v>BISHAL KUMAR SAH</v>
      </c>
      <c r="E528" t="str">
        <f>VLOOKUP(Table3[[#This Row],[Employee No.]],Table1_1[[Employee No.]:[Department]],6,FALSE)</f>
        <v>ROUTER</v>
      </c>
      <c r="F528" t="str">
        <f>VLOOKUP(Table3[[#This Row],[Employee No.]],Table1_1[[Employee No.]:[Gender]],7,FALSE)</f>
        <v>M</v>
      </c>
      <c r="G528" t="str">
        <f>VLOOKUP(Table3[[#This Row],[Employee No.]],Table1_1[[Employee No.]:[Shift]],9,FALSE)</f>
        <v>SHIFT B</v>
      </c>
      <c r="H528" s="25">
        <v>1</v>
      </c>
      <c r="I528" s="25">
        <v>1</v>
      </c>
      <c r="J528" s="25">
        <v>1</v>
      </c>
      <c r="K528" s="25">
        <v>1</v>
      </c>
      <c r="L528" s="25">
        <v>1</v>
      </c>
      <c r="M528" s="25">
        <v>1</v>
      </c>
    </row>
    <row r="529" spans="3:16">
      <c r="C529" s="22" t="s">
        <v>2485</v>
      </c>
      <c r="D529" t="str">
        <f>VLOOKUP(Table3[[#This Row],[Employee No.]],Table1_1[[Employee No.]:[Employee Name]],2,FALSE)</f>
        <v>CHANDRA LAL CHAUDHARY</v>
      </c>
      <c r="E529" t="str">
        <f>VLOOKUP(Table3[[#This Row],[Employee No.]],Table1_1[[Employee No.]:[Department]],6,FALSE)</f>
        <v>SM</v>
      </c>
      <c r="F529" t="str">
        <f>VLOOKUP(Table3[[#This Row],[Employee No.]],Table1_1[[Employee No.]:[Gender]],7,FALSE)</f>
        <v>M</v>
      </c>
      <c r="G529" t="str">
        <f>VLOOKUP(Table3[[#This Row],[Employee No.]],Table1_1[[Employee No.]:[Shift]],9,FALSE)</f>
        <v>SHIFT A</v>
      </c>
      <c r="H529" s="25">
        <v>1</v>
      </c>
      <c r="I529" s="25">
        <v>1</v>
      </c>
      <c r="J529" s="25">
        <v>1</v>
      </c>
      <c r="K529" s="25">
        <v>1</v>
      </c>
      <c r="L529" s="25">
        <v>1</v>
      </c>
      <c r="M529" s="25">
        <v>1</v>
      </c>
    </row>
    <row r="530" spans="3:16">
      <c r="C530" s="22" t="s">
        <v>2487</v>
      </c>
      <c r="D530" t="str">
        <f>VLOOKUP(Table3[[#This Row],[Employee No.]],Table1_1[[Employee No.]:[Employee Name]],2,FALSE)</f>
        <v>DIPAK KUMAR SAH</v>
      </c>
      <c r="E530" t="str">
        <f>VLOOKUP(Table3[[#This Row],[Employee No.]],Table1_1[[Employee No.]:[Department]],6,FALSE)</f>
        <v>DRILL</v>
      </c>
      <c r="F530" t="str">
        <f>VLOOKUP(Table3[[#This Row],[Employee No.]],Table1_1[[Employee No.]:[Gender]],7,FALSE)</f>
        <v>M</v>
      </c>
      <c r="G530" t="str">
        <f>VLOOKUP(Table3[[#This Row],[Employee No.]],Table1_1[[Employee No.]:[Shift]],9,FALSE)</f>
        <v>SHIFT B</v>
      </c>
      <c r="H530" s="25">
        <v>1</v>
      </c>
      <c r="I530" s="25">
        <v>1</v>
      </c>
      <c r="J530" s="25">
        <v>1</v>
      </c>
      <c r="K530" s="25">
        <v>1</v>
      </c>
      <c r="L530" s="25">
        <v>1</v>
      </c>
      <c r="M530" s="25">
        <v>1</v>
      </c>
    </row>
    <row r="531" spans="3:16">
      <c r="C531" s="22" t="s">
        <v>2489</v>
      </c>
      <c r="D531" t="str">
        <f>VLOOKUP(Table3[[#This Row],[Employee No.]],Table1_1[[Employee No.]:[Employee Name]],2,FALSE)</f>
        <v>DIPAK OJHA</v>
      </c>
      <c r="E531" t="str">
        <f>VLOOKUP(Table3[[#This Row],[Employee No.]],Table1_1[[Employee No.]:[Department]],6,FALSE)</f>
        <v>DF</v>
      </c>
      <c r="F531" t="str">
        <f>VLOOKUP(Table3[[#This Row],[Employee No.]],Table1_1[[Employee No.]:[Gender]],7,FALSE)</f>
        <v>M</v>
      </c>
      <c r="G531" t="str">
        <f>VLOOKUP(Table3[[#This Row],[Employee No.]],Table1_1[[Employee No.]:[Shift]],9,FALSE)</f>
        <v>SHIFT A</v>
      </c>
      <c r="H531" s="25">
        <v>1</v>
      </c>
      <c r="I531" s="25">
        <v>1</v>
      </c>
      <c r="J531" s="25">
        <v>1</v>
      </c>
      <c r="K531" s="25">
        <v>1</v>
      </c>
      <c r="L531" s="25">
        <v>1</v>
      </c>
      <c r="M531" s="25">
        <v>1</v>
      </c>
    </row>
    <row r="532" spans="3:16">
      <c r="C532" s="22" t="s">
        <v>2491</v>
      </c>
      <c r="D532" t="str">
        <f>VLOOKUP(Table3[[#This Row],[Employee No.]],Table1_1[[Employee No.]:[Employee Name]],2,FALSE)</f>
        <v>DIPENDRA MAHATO</v>
      </c>
      <c r="E532" t="str">
        <f>VLOOKUP(Table3[[#This Row],[Employee No.]],Table1_1[[Employee No.]:[Department]],6,FALSE)</f>
        <v>DF</v>
      </c>
      <c r="F532" t="str">
        <f>VLOOKUP(Table3[[#This Row],[Employee No.]],Table1_1[[Employee No.]:[Gender]],7,FALSE)</f>
        <v>M</v>
      </c>
      <c r="G532" t="str">
        <f>VLOOKUP(Table3[[#This Row],[Employee No.]],Table1_1[[Employee No.]:[Shift]],9,FALSE)</f>
        <v>SHIFT B</v>
      </c>
      <c r="H532" s="25">
        <v>1</v>
      </c>
      <c r="I532" s="25">
        <v>1</v>
      </c>
      <c r="J532" s="25">
        <v>1</v>
      </c>
      <c r="K532" s="25">
        <v>1</v>
      </c>
      <c r="L532" s="25">
        <v>1</v>
      </c>
      <c r="M532" s="25">
        <v>1</v>
      </c>
    </row>
    <row r="533" spans="3:16">
      <c r="C533" s="22" t="s">
        <v>2494</v>
      </c>
      <c r="D533" t="str">
        <f>VLOOKUP(Table3[[#This Row],[Employee No.]],Table1_1[[Employee No.]:[Employee Name]],2,FALSE)</f>
        <v>DIPENDRA PARAJULI</v>
      </c>
      <c r="E533" t="str">
        <f>VLOOKUP(Table3[[#This Row],[Employee No.]],Table1_1[[Employee No.]:[Department]],6,FALSE)</f>
        <v>CU</v>
      </c>
      <c r="F533" t="str">
        <f>VLOOKUP(Table3[[#This Row],[Employee No.]],Table1_1[[Employee No.]:[Gender]],7,FALSE)</f>
        <v>M</v>
      </c>
      <c r="G533" t="str">
        <f>VLOOKUP(Table3[[#This Row],[Employee No.]],Table1_1[[Employee No.]:[Shift]],9,FALSE)</f>
        <v>SHIFT B</v>
      </c>
      <c r="H533" s="25">
        <v>1</v>
      </c>
      <c r="I533" s="25">
        <v>1</v>
      </c>
      <c r="J533" s="25">
        <v>1</v>
      </c>
      <c r="K533" s="25">
        <v>1</v>
      </c>
      <c r="L533" s="25">
        <v>1</v>
      </c>
      <c r="M533" s="25">
        <v>1</v>
      </c>
    </row>
    <row r="534" spans="3:16">
      <c r="C534" s="22" t="s">
        <v>2496</v>
      </c>
      <c r="D534" t="str">
        <f>VLOOKUP(Table3[[#This Row],[Employee No.]],Table1_1[[Employee No.]:[Employee Name]],2,FALSE)</f>
        <v>DIPENDRA SUNAR</v>
      </c>
      <c r="E534" t="str">
        <f>VLOOKUP(Table3[[#This Row],[Employee No.]],Table1_1[[Employee No.]:[Department]],6,FALSE)</f>
        <v>DF</v>
      </c>
      <c r="F534" t="str">
        <f>VLOOKUP(Table3[[#This Row],[Employee No.]],Table1_1[[Employee No.]:[Gender]],7,FALSE)</f>
        <v>M</v>
      </c>
      <c r="G534" t="str">
        <f>VLOOKUP(Table3[[#This Row],[Employee No.]],Table1_1[[Employee No.]:[Shift]],9,FALSE)</f>
        <v>SHIFT A</v>
      </c>
      <c r="H534" s="25">
        <v>1</v>
      </c>
      <c r="I534" s="25">
        <v>1</v>
      </c>
      <c r="J534" s="25">
        <v>1</v>
      </c>
      <c r="K534" s="25">
        <v>1</v>
      </c>
      <c r="L534" s="25">
        <v>1</v>
      </c>
      <c r="M534" s="25">
        <v>1</v>
      </c>
    </row>
    <row r="535" spans="3:16">
      <c r="C535" s="22" t="s">
        <v>2498</v>
      </c>
      <c r="D535" t="str">
        <f>VLOOKUP(Table3[[#This Row],[Employee No.]],Table1_1[[Employee No.]:[Employee Name]],2,FALSE)</f>
        <v>GUNJAN POUDEL</v>
      </c>
      <c r="E535" t="str">
        <f>VLOOKUP(Table3[[#This Row],[Employee No.]],Table1_1[[Employee No.]:[Department]],6,FALSE)</f>
        <v>DF</v>
      </c>
      <c r="F535" t="str">
        <f>VLOOKUP(Table3[[#This Row],[Employee No.]],Table1_1[[Employee No.]:[Gender]],7,FALSE)</f>
        <v>M</v>
      </c>
      <c r="G535" t="str">
        <f>VLOOKUP(Table3[[#This Row],[Employee No.]],Table1_1[[Employee No.]:[Shift]],9,FALSE)</f>
        <v>SHIFT C</v>
      </c>
      <c r="H535" s="25">
        <v>1</v>
      </c>
      <c r="I535" s="25">
        <v>1</v>
      </c>
      <c r="J535" s="25">
        <v>1</v>
      </c>
      <c r="K535" s="25">
        <v>1</v>
      </c>
      <c r="L535" s="25">
        <v>1</v>
      </c>
      <c r="M535" s="25">
        <v>1</v>
      </c>
      <c r="P535" s="25"/>
    </row>
    <row r="536" spans="3:16">
      <c r="C536" s="22" t="s">
        <v>2500</v>
      </c>
      <c r="D536" t="str">
        <f>VLOOKUP(Table3[[#This Row],[Employee No.]],Table1_1[[Employee No.]:[Employee Name]],2,FALSE)</f>
        <v>JAYA BAHADUR KUNWAR</v>
      </c>
      <c r="E536" t="str">
        <f>VLOOKUP(Table3[[#This Row],[Employee No.]],Table1_1[[Employee No.]:[Department]],6,FALSE)</f>
        <v>FVI</v>
      </c>
      <c r="F536" t="str">
        <f>VLOOKUP(Table3[[#This Row],[Employee No.]],Table1_1[[Employee No.]:[Gender]],7,FALSE)</f>
        <v>M</v>
      </c>
      <c r="G536" t="str">
        <f>VLOOKUP(Table3[[#This Row],[Employee No.]],Table1_1[[Employee No.]:[Shift]],9,FALSE)</f>
        <v>SHIFT A</v>
      </c>
      <c r="H536" s="25">
        <v>1</v>
      </c>
      <c r="I536" s="25">
        <v>1</v>
      </c>
      <c r="J536" s="25">
        <v>1</v>
      </c>
      <c r="K536" s="25">
        <v>1</v>
      </c>
      <c r="L536" s="25">
        <v>1</v>
      </c>
      <c r="M536" s="25">
        <v>1</v>
      </c>
    </row>
    <row r="537" spans="3:16">
      <c r="C537" s="22" t="s">
        <v>2502</v>
      </c>
      <c r="D537" t="str">
        <f>VLOOKUP(Table3[[#This Row],[Employee No.]],Table1_1[[Employee No.]:[Employee Name]],2,FALSE)</f>
        <v>JITENDRA CHAUDHARY</v>
      </c>
      <c r="E537" t="str">
        <f>VLOOKUP(Table3[[#This Row],[Employee No.]],Table1_1[[Employee No.]:[Department]],6,FALSE)</f>
        <v>CU</v>
      </c>
      <c r="F537" t="str">
        <f>VLOOKUP(Table3[[#This Row],[Employee No.]],Table1_1[[Employee No.]:[Gender]],7,FALSE)</f>
        <v>M</v>
      </c>
      <c r="G537" t="str">
        <f>VLOOKUP(Table3[[#This Row],[Employee No.]],Table1_1[[Employee No.]:[Shift]],9,FALSE)</f>
        <v>SHIFT B</v>
      </c>
      <c r="H537" s="25">
        <v>1</v>
      </c>
      <c r="I537" s="25">
        <v>1</v>
      </c>
      <c r="J537" s="25">
        <v>1</v>
      </c>
      <c r="K537" s="25">
        <v>1</v>
      </c>
      <c r="L537" s="25">
        <v>1</v>
      </c>
      <c r="M537" s="25">
        <v>1</v>
      </c>
    </row>
    <row r="538" spans="3:16">
      <c r="C538" s="22" t="s">
        <v>2504</v>
      </c>
      <c r="D538" t="str">
        <f>VLOOKUP(Table3[[#This Row],[Employee No.]],Table1_1[[Employee No.]:[Employee Name]],2,FALSE)</f>
        <v>KHADAK BAHADUR SHRESTHA</v>
      </c>
      <c r="E538" t="str">
        <f>VLOOKUP(Table3[[#This Row],[Employee No.]],Table1_1[[Employee No.]:[Department]],6,FALSE)</f>
        <v>BBT</v>
      </c>
      <c r="F538" t="str">
        <f>VLOOKUP(Table3[[#This Row],[Employee No.]],Table1_1[[Employee No.]:[Gender]],7,FALSE)</f>
        <v>M</v>
      </c>
      <c r="G538" t="str">
        <f>VLOOKUP(Table3[[#This Row],[Employee No.]],Table1_1[[Employee No.]:[Shift]],9,FALSE)</f>
        <v>SHIFT B</v>
      </c>
      <c r="H538" s="25">
        <v>1</v>
      </c>
      <c r="I538" s="25">
        <v>1</v>
      </c>
      <c r="J538" s="25">
        <v>1</v>
      </c>
      <c r="K538" s="25">
        <v>1</v>
      </c>
      <c r="L538" s="25">
        <v>1</v>
      </c>
      <c r="M538" s="25">
        <v>1</v>
      </c>
    </row>
    <row r="539" spans="3:16">
      <c r="C539" s="22" t="s">
        <v>2506</v>
      </c>
      <c r="D539" t="str">
        <f>VLOOKUP(Table3[[#This Row],[Employee No.]],Table1_1[[Employee No.]:[Employee Name]],2,FALSE)</f>
        <v>LAXMAN KUMAR RAUT</v>
      </c>
      <c r="E539" t="str">
        <f>VLOOKUP(Table3[[#This Row],[Employee No.]],Table1_1[[Employee No.]:[Department]],6,FALSE)</f>
        <v>SM</v>
      </c>
      <c r="F539" t="str">
        <f>VLOOKUP(Table3[[#This Row],[Employee No.]],Table1_1[[Employee No.]:[Gender]],7,FALSE)</f>
        <v>M</v>
      </c>
      <c r="G539" t="str">
        <f>VLOOKUP(Table3[[#This Row],[Employee No.]],Table1_1[[Employee No.]:[Shift]],9,FALSE)</f>
        <v>SHIFT A</v>
      </c>
      <c r="H539" s="25">
        <v>1</v>
      </c>
      <c r="I539" s="25">
        <v>1</v>
      </c>
      <c r="J539" s="25">
        <v>1</v>
      </c>
      <c r="K539" s="25">
        <v>1</v>
      </c>
      <c r="L539" s="25">
        <v>1</v>
      </c>
      <c r="M539" s="25">
        <v>1</v>
      </c>
    </row>
    <row r="540" spans="3:16">
      <c r="C540" s="22" t="s">
        <v>2508</v>
      </c>
      <c r="D540" t="str">
        <f>VLOOKUP(Table3[[#This Row],[Employee No.]],Table1_1[[Employee No.]:[Employee Name]],2,FALSE)</f>
        <v>MAN BAHADUR B C</v>
      </c>
      <c r="E540" t="str">
        <f>VLOOKUP(Table3[[#This Row],[Employee No.]],Table1_1[[Employee No.]:[Department]],6,FALSE)</f>
        <v>DF</v>
      </c>
      <c r="F540" t="str">
        <f>VLOOKUP(Table3[[#This Row],[Employee No.]],Table1_1[[Employee No.]:[Gender]],7,FALSE)</f>
        <v>M</v>
      </c>
      <c r="G540" t="str">
        <f>VLOOKUP(Table3[[#This Row],[Employee No.]],Table1_1[[Employee No.]:[Shift]],9,FALSE)</f>
        <v>SHIFT B</v>
      </c>
      <c r="H540" s="25">
        <v>1</v>
      </c>
      <c r="I540" s="25">
        <v>1</v>
      </c>
      <c r="J540" s="25">
        <v>1</v>
      </c>
      <c r="K540" s="25">
        <v>1</v>
      </c>
      <c r="L540" s="25">
        <v>1</v>
      </c>
      <c r="M540" s="25">
        <v>1</v>
      </c>
    </row>
    <row r="541" spans="3:16">
      <c r="C541" s="22" t="s">
        <v>2510</v>
      </c>
      <c r="D541" t="str">
        <f>VLOOKUP(Table3[[#This Row],[Employee No.]],Table1_1[[Employee No.]:[Employee Name]],2,FALSE)</f>
        <v>MAN BAHADUR KHADKA</v>
      </c>
      <c r="E541" t="str">
        <f>VLOOKUP(Table3[[#This Row],[Employee No.]],Table1_1[[Employee No.]:[Department]],6,FALSE)</f>
        <v>DF</v>
      </c>
      <c r="F541" t="str">
        <f>VLOOKUP(Table3[[#This Row],[Employee No.]],Table1_1[[Employee No.]:[Gender]],7,FALSE)</f>
        <v>M</v>
      </c>
      <c r="G541" t="str">
        <f>VLOOKUP(Table3[[#This Row],[Employee No.]],Table1_1[[Employee No.]:[Shift]],9,FALSE)</f>
        <v>SHIFT C</v>
      </c>
      <c r="H541" s="25">
        <v>1</v>
      </c>
      <c r="I541" s="25">
        <v>1</v>
      </c>
      <c r="J541" s="25">
        <v>1</v>
      </c>
      <c r="K541" s="25">
        <v>1</v>
      </c>
      <c r="L541" s="25">
        <v>1</v>
      </c>
      <c r="M541" s="25">
        <v>1</v>
      </c>
      <c r="P541" s="25"/>
    </row>
    <row r="542" spans="3:16">
      <c r="C542" s="22" t="s">
        <v>2512</v>
      </c>
      <c r="D542" t="str">
        <f>VLOOKUP(Table3[[#This Row],[Employee No.]],Table1_1[[Employee No.]:[Employee Name]],2,FALSE)</f>
        <v>MANSINGH WOD</v>
      </c>
      <c r="E542" t="str">
        <f>VLOOKUP(Table3[[#This Row],[Employee No.]],Table1_1[[Employee No.]:[Department]],6,FALSE)</f>
        <v>DRILL</v>
      </c>
      <c r="F542" t="str">
        <f>VLOOKUP(Table3[[#This Row],[Employee No.]],Table1_1[[Employee No.]:[Gender]],7,FALSE)</f>
        <v>M</v>
      </c>
      <c r="G542" t="str">
        <f>VLOOKUP(Table3[[#This Row],[Employee No.]],Table1_1[[Employee No.]:[Shift]],9,FALSE)</f>
        <v>SHIFT C</v>
      </c>
      <c r="H542" s="25">
        <v>1</v>
      </c>
      <c r="I542" s="25">
        <v>1</v>
      </c>
      <c r="J542" s="25">
        <v>1</v>
      </c>
      <c r="K542" s="25">
        <v>1</v>
      </c>
      <c r="L542" s="25">
        <v>1</v>
      </c>
      <c r="M542" s="25">
        <v>1</v>
      </c>
      <c r="P542" s="25"/>
    </row>
    <row r="543" spans="3:16">
      <c r="C543" s="22" t="s">
        <v>2514</v>
      </c>
      <c r="D543" t="str">
        <f>VLOOKUP(Table3[[#This Row],[Employee No.]],Table1_1[[Employee No.]:[Employee Name]],2,FALSE)</f>
        <v>MILAN SHRESTHA</v>
      </c>
      <c r="E543" t="str">
        <f>VLOOKUP(Table3[[#This Row],[Employee No.]],Table1_1[[Employee No.]:[Department]],6,FALSE)</f>
        <v>DF</v>
      </c>
      <c r="F543" t="str">
        <f>VLOOKUP(Table3[[#This Row],[Employee No.]],Table1_1[[Employee No.]:[Gender]],7,FALSE)</f>
        <v>M</v>
      </c>
      <c r="G543" t="str">
        <f>VLOOKUP(Table3[[#This Row],[Employee No.]],Table1_1[[Employee No.]:[Shift]],9,FALSE)</f>
        <v>SHIFT C</v>
      </c>
      <c r="H543" s="25">
        <v>1</v>
      </c>
      <c r="I543" s="25">
        <v>1</v>
      </c>
      <c r="J543" s="25">
        <v>1</v>
      </c>
      <c r="K543" s="25">
        <v>1</v>
      </c>
      <c r="L543" s="25">
        <v>1</v>
      </c>
      <c r="M543" s="25">
        <v>1</v>
      </c>
      <c r="P543" s="25"/>
    </row>
    <row r="544" spans="3:16">
      <c r="C544" s="22" t="s">
        <v>2516</v>
      </c>
      <c r="D544" t="str">
        <f>VLOOKUP(Table3[[#This Row],[Employee No.]],Table1_1[[Employee No.]:[Employee Name]],2,FALSE)</f>
        <v>NABARAJ SHRESTHA</v>
      </c>
      <c r="E544" t="str">
        <f>VLOOKUP(Table3[[#This Row],[Employee No.]],Table1_1[[Employee No.]:[Department]],6,FALSE)</f>
        <v>DRILL</v>
      </c>
      <c r="F544" t="str">
        <f>VLOOKUP(Table3[[#This Row],[Employee No.]],Table1_1[[Employee No.]:[Gender]],7,FALSE)</f>
        <v>M</v>
      </c>
      <c r="G544" t="str">
        <f>VLOOKUP(Table3[[#This Row],[Employee No.]],Table1_1[[Employee No.]:[Shift]],9,FALSE)</f>
        <v>SHIFT C</v>
      </c>
      <c r="H544" s="25">
        <v>1</v>
      </c>
      <c r="I544" s="25">
        <v>1</v>
      </c>
      <c r="J544" s="25">
        <v>1</v>
      </c>
      <c r="K544" s="25">
        <v>1</v>
      </c>
      <c r="L544" s="25">
        <v>1</v>
      </c>
      <c r="M544" s="25">
        <v>0</v>
      </c>
      <c r="P544" s="25"/>
    </row>
    <row r="545" spans="3:16">
      <c r="C545" s="22" t="s">
        <v>2518</v>
      </c>
      <c r="D545" t="str">
        <f>VLOOKUP(Table3[[#This Row],[Employee No.]],Table1_1[[Employee No.]:[Employee Name]],2,FALSE)</f>
        <v>NABIN KATUWAL</v>
      </c>
      <c r="E545" t="str">
        <f>VLOOKUP(Table3[[#This Row],[Employee No.]],Table1_1[[Employee No.]:[Department]],6,FALSE)</f>
        <v>BBT</v>
      </c>
      <c r="F545" t="str">
        <f>VLOOKUP(Table3[[#This Row],[Employee No.]],Table1_1[[Employee No.]:[Gender]],7,FALSE)</f>
        <v>M</v>
      </c>
      <c r="G545" t="str">
        <f>VLOOKUP(Table3[[#This Row],[Employee No.]],Table1_1[[Employee No.]:[Shift]],9,FALSE)</f>
        <v>SHIFT C</v>
      </c>
      <c r="H545" s="25">
        <v>1</v>
      </c>
      <c r="I545" s="25">
        <v>1</v>
      </c>
      <c r="J545" s="25">
        <v>1</v>
      </c>
      <c r="K545" s="25">
        <v>1</v>
      </c>
      <c r="L545" s="25">
        <v>1</v>
      </c>
      <c r="M545" s="25">
        <v>1</v>
      </c>
      <c r="P545" s="25"/>
    </row>
    <row r="546" spans="3:16">
      <c r="C546" s="22" t="s">
        <v>2520</v>
      </c>
      <c r="D546" t="str">
        <f>VLOOKUP(Table3[[#This Row],[Employee No.]],Table1_1[[Employee No.]:[Employee Name]],2,FALSE)</f>
        <v>NABIN KUMAR LAMA</v>
      </c>
      <c r="E546" t="str">
        <f>VLOOKUP(Table3[[#This Row],[Employee No.]],Table1_1[[Employee No.]:[Department]],6,FALSE)</f>
        <v>FVI</v>
      </c>
      <c r="F546" t="str">
        <f>VLOOKUP(Table3[[#This Row],[Employee No.]],Table1_1[[Employee No.]:[Gender]],7,FALSE)</f>
        <v>M</v>
      </c>
      <c r="G546" t="str">
        <f>VLOOKUP(Table3[[#This Row],[Employee No.]],Table1_1[[Employee No.]:[Shift]],9,FALSE)</f>
        <v>SHIFT B</v>
      </c>
      <c r="H546" s="25">
        <v>1</v>
      </c>
      <c r="I546" s="25">
        <v>1</v>
      </c>
      <c r="J546" s="25">
        <v>1</v>
      </c>
      <c r="K546" s="25">
        <v>1</v>
      </c>
      <c r="L546" s="25">
        <v>1</v>
      </c>
      <c r="M546" s="25">
        <v>1</v>
      </c>
    </row>
    <row r="547" spans="3:16">
      <c r="C547" s="22" t="s">
        <v>2522</v>
      </c>
      <c r="D547" t="str">
        <f>VLOOKUP(Table3[[#This Row],[Employee No.]],Table1_1[[Employee No.]:[Employee Name]],2,FALSE)</f>
        <v>NUR MAHAMAD ANSARI</v>
      </c>
      <c r="E547" t="str">
        <f>VLOOKUP(Table3[[#This Row],[Employee No.]],Table1_1[[Employee No.]:[Department]],6,FALSE)</f>
        <v>BBT</v>
      </c>
      <c r="F547" t="str">
        <f>VLOOKUP(Table3[[#This Row],[Employee No.]],Table1_1[[Employee No.]:[Gender]],7,FALSE)</f>
        <v>M</v>
      </c>
      <c r="G547" t="str">
        <f>VLOOKUP(Table3[[#This Row],[Employee No.]],Table1_1[[Employee No.]:[Shift]],9,FALSE)</f>
        <v>SHIFT B</v>
      </c>
      <c r="H547" s="25">
        <v>1</v>
      </c>
      <c r="I547" s="25">
        <v>1</v>
      </c>
      <c r="J547" s="25">
        <v>1</v>
      </c>
      <c r="K547" s="25">
        <v>1</v>
      </c>
      <c r="L547" s="25">
        <v>1</v>
      </c>
      <c r="M547" s="25">
        <v>1</v>
      </c>
    </row>
    <row r="548" spans="3:16">
      <c r="C548" s="22" t="s">
        <v>2524</v>
      </c>
      <c r="D548" t="str">
        <f>VLOOKUP(Table3[[#This Row],[Employee No.]],Table1_1[[Employee No.]:[Employee Name]],2,FALSE)</f>
        <v>RAJESH MAHATO</v>
      </c>
      <c r="E548" t="str">
        <f>VLOOKUP(Table3[[#This Row],[Employee No.]],Table1_1[[Employee No.]:[Department]],6,FALSE)</f>
        <v>DRILL</v>
      </c>
      <c r="F548" t="str">
        <f>VLOOKUP(Table3[[#This Row],[Employee No.]],Table1_1[[Employee No.]:[Gender]],7,FALSE)</f>
        <v>M</v>
      </c>
      <c r="G548" t="str">
        <f>VLOOKUP(Table3[[#This Row],[Employee No.]],Table1_1[[Employee No.]:[Shift]],9,FALSE)</f>
        <v>SHIFT C</v>
      </c>
      <c r="H548" s="25">
        <v>1</v>
      </c>
      <c r="I548" s="25">
        <v>1</v>
      </c>
      <c r="J548" s="25">
        <v>1</v>
      </c>
      <c r="K548" s="25">
        <v>1</v>
      </c>
      <c r="L548" s="25">
        <v>1</v>
      </c>
      <c r="M548" s="25">
        <v>1</v>
      </c>
    </row>
    <row r="549" spans="3:16">
      <c r="C549" s="22" t="s">
        <v>2526</v>
      </c>
      <c r="D549" t="str">
        <f>VLOOKUP(Table3[[#This Row],[Employee No.]],Table1_1[[Employee No.]:[Employee Name]],2,FALSE)</f>
        <v>RAM KISHAN MAURY</v>
      </c>
      <c r="E549" t="str">
        <f>VLOOKUP(Table3[[#This Row],[Employee No.]],Table1_1[[Employee No.]:[Department]],6,FALSE)</f>
        <v>BBT</v>
      </c>
      <c r="F549" t="str">
        <f>VLOOKUP(Table3[[#This Row],[Employee No.]],Table1_1[[Employee No.]:[Gender]],7,FALSE)</f>
        <v>M</v>
      </c>
      <c r="G549" t="str">
        <f>VLOOKUP(Table3[[#This Row],[Employee No.]],Table1_1[[Employee No.]:[Shift]],9,FALSE)</f>
        <v>SHIFT C</v>
      </c>
      <c r="H549" s="25">
        <v>1</v>
      </c>
      <c r="I549" s="25">
        <v>1</v>
      </c>
      <c r="J549" s="25">
        <v>1</v>
      </c>
      <c r="K549" s="25">
        <v>1</v>
      </c>
      <c r="L549" s="25">
        <v>1</v>
      </c>
      <c r="M549" s="25">
        <v>1</v>
      </c>
      <c r="P549" s="25"/>
    </row>
    <row r="550" spans="3:16">
      <c r="C550" s="22" t="s">
        <v>2528</v>
      </c>
      <c r="D550" t="str">
        <f>VLOOKUP(Table3[[#This Row],[Employee No.]],Table1_1[[Employee No.]:[Employee Name]],2,FALSE)</f>
        <v>RAM SHANKAR CHAUDHARY</v>
      </c>
      <c r="E550" t="str">
        <f>VLOOKUP(Table3[[#This Row],[Employee No.]],Table1_1[[Employee No.]:[Department]],6,FALSE)</f>
        <v>BBT</v>
      </c>
      <c r="F550" t="str">
        <f>VLOOKUP(Table3[[#This Row],[Employee No.]],Table1_1[[Employee No.]:[Gender]],7,FALSE)</f>
        <v>M</v>
      </c>
      <c r="G550" t="str">
        <f>VLOOKUP(Table3[[#This Row],[Employee No.]],Table1_1[[Employee No.]:[Shift]],9,FALSE)</f>
        <v>SHIFT A</v>
      </c>
      <c r="H550" s="25">
        <v>1</v>
      </c>
      <c r="I550" s="25">
        <v>1</v>
      </c>
      <c r="J550" s="25">
        <v>1</v>
      </c>
      <c r="K550" s="25">
        <v>1</v>
      </c>
      <c r="L550" s="25">
        <v>1</v>
      </c>
      <c r="M550" s="25">
        <v>1</v>
      </c>
    </row>
    <row r="551" spans="3:16">
      <c r="C551" s="22" t="s">
        <v>2530</v>
      </c>
      <c r="D551" t="str">
        <f>VLOOKUP(Table3[[#This Row],[Employee No.]],Table1_1[[Employee No.]:[Employee Name]],2,FALSE)</f>
        <v>RAMBABU GUPTA</v>
      </c>
      <c r="E551" t="str">
        <f>VLOOKUP(Table3[[#This Row],[Employee No.]],Table1_1[[Employee No.]:[Department]],6,FALSE)</f>
        <v>DRILL</v>
      </c>
      <c r="F551" t="str">
        <f>VLOOKUP(Table3[[#This Row],[Employee No.]],Table1_1[[Employee No.]:[Gender]],7,FALSE)</f>
        <v>M</v>
      </c>
      <c r="G551" t="str">
        <f>VLOOKUP(Table3[[#This Row],[Employee No.]],Table1_1[[Employee No.]:[Shift]],9,FALSE)</f>
        <v>SHIFT B</v>
      </c>
      <c r="H551" s="25">
        <v>1</v>
      </c>
      <c r="I551" s="25">
        <v>1</v>
      </c>
      <c r="J551" s="25">
        <v>1</v>
      </c>
      <c r="K551" s="25">
        <v>1</v>
      </c>
      <c r="L551" s="25">
        <v>1</v>
      </c>
      <c r="M551" s="25">
        <v>1</v>
      </c>
    </row>
    <row r="552" spans="3:16">
      <c r="C552" s="22" t="s">
        <v>2532</v>
      </c>
      <c r="D552" t="str">
        <f>VLOOKUP(Table3[[#This Row],[Employee No.]],Table1_1[[Employee No.]:[Employee Name]],2,FALSE)</f>
        <v>RAMBINAYA MAHARA</v>
      </c>
      <c r="E552" t="str">
        <f>VLOOKUP(Table3[[#This Row],[Employee No.]],Table1_1[[Employee No.]:[Department]],6,FALSE)</f>
        <v>BBT</v>
      </c>
      <c r="F552" t="str">
        <f>VLOOKUP(Table3[[#This Row],[Employee No.]],Table1_1[[Employee No.]:[Gender]],7,FALSE)</f>
        <v>M</v>
      </c>
      <c r="G552" t="str">
        <f>VLOOKUP(Table3[[#This Row],[Employee No.]],Table1_1[[Employee No.]:[Shift]],9,FALSE)</f>
        <v>SHIFT A</v>
      </c>
      <c r="H552" s="25">
        <v>1</v>
      </c>
      <c r="I552" s="25">
        <v>1</v>
      </c>
      <c r="J552" s="25">
        <v>1</v>
      </c>
      <c r="K552" s="25">
        <v>1</v>
      </c>
      <c r="L552" s="25">
        <v>1</v>
      </c>
      <c r="M552" s="25">
        <v>1</v>
      </c>
    </row>
    <row r="553" spans="3:16">
      <c r="C553" s="22" t="s">
        <v>2534</v>
      </c>
      <c r="D553" t="str">
        <f>VLOOKUP(Table3[[#This Row],[Employee No.]],Table1_1[[Employee No.]:[Employee Name]],2,FALSE)</f>
        <v>ROSHAN KUMAR MISHRA</v>
      </c>
      <c r="E553" t="str">
        <f>VLOOKUP(Table3[[#This Row],[Employee No.]],Table1_1[[Employee No.]:[Department]],6,FALSE)</f>
        <v>DRILL</v>
      </c>
      <c r="F553" t="str">
        <f>VLOOKUP(Table3[[#This Row],[Employee No.]],Table1_1[[Employee No.]:[Gender]],7,FALSE)</f>
        <v>M</v>
      </c>
      <c r="G553" t="str">
        <f>VLOOKUP(Table3[[#This Row],[Employee No.]],Table1_1[[Employee No.]:[Shift]],9,FALSE)</f>
        <v>SHIFT C</v>
      </c>
      <c r="H553" s="25">
        <v>1</v>
      </c>
      <c r="I553" s="25">
        <v>1</v>
      </c>
      <c r="J553" s="25">
        <v>1</v>
      </c>
      <c r="K553" s="25">
        <v>1</v>
      </c>
      <c r="L553" s="25">
        <v>1</v>
      </c>
      <c r="M553" s="25">
        <v>1</v>
      </c>
      <c r="P553" s="25"/>
    </row>
    <row r="554" spans="3:16">
      <c r="C554" s="22" t="s">
        <v>2536</v>
      </c>
      <c r="D554" t="str">
        <f>VLOOKUP(Table3[[#This Row],[Employee No.]],Table1_1[[Employee No.]:[Employee Name]],2,FALSE)</f>
        <v>RUBINDRA SHARMA</v>
      </c>
      <c r="E554" t="str">
        <f>VLOOKUP(Table3[[#This Row],[Employee No.]],Table1_1[[Employee No.]:[Department]],6,FALSE)</f>
        <v>SM</v>
      </c>
      <c r="F554" t="str">
        <f>VLOOKUP(Table3[[#This Row],[Employee No.]],Table1_1[[Employee No.]:[Gender]],7,FALSE)</f>
        <v>M</v>
      </c>
      <c r="G554" t="str">
        <f>VLOOKUP(Table3[[#This Row],[Employee No.]],Table1_1[[Employee No.]:[Shift]],9,FALSE)</f>
        <v>SHIFT A</v>
      </c>
      <c r="H554" s="25">
        <v>1</v>
      </c>
      <c r="I554" s="25">
        <v>1</v>
      </c>
      <c r="J554" s="25">
        <v>1</v>
      </c>
      <c r="K554" s="25">
        <v>1</v>
      </c>
      <c r="L554" s="25">
        <v>1</v>
      </c>
      <c r="M554" s="25">
        <v>1</v>
      </c>
    </row>
    <row r="555" spans="3:16">
      <c r="C555" s="22" t="s">
        <v>2538</v>
      </c>
      <c r="D555" t="str">
        <f>VLOOKUP(Table3[[#This Row],[Employee No.]],Table1_1[[Employee No.]:[Employee Name]],2,FALSE)</f>
        <v>SAILENDRA KUMAR ROY AMAT</v>
      </c>
      <c r="E555" t="str">
        <f>VLOOKUP(Table3[[#This Row],[Employee No.]],Table1_1[[Employee No.]:[Department]],6,FALSE)</f>
        <v>SM</v>
      </c>
      <c r="F555" t="str">
        <f>VLOOKUP(Table3[[#This Row],[Employee No.]],Table1_1[[Employee No.]:[Gender]],7,FALSE)</f>
        <v>M</v>
      </c>
      <c r="G555" t="str">
        <f>VLOOKUP(Table3[[#This Row],[Employee No.]],Table1_1[[Employee No.]:[Shift]],9,FALSE)</f>
        <v>SHIFT C</v>
      </c>
      <c r="H555" s="25">
        <v>1</v>
      </c>
      <c r="I555" s="25">
        <v>1</v>
      </c>
      <c r="J555" s="25">
        <v>1</v>
      </c>
      <c r="K555" s="25">
        <v>1</v>
      </c>
      <c r="L555" s="25">
        <v>1</v>
      </c>
      <c r="M555" s="25">
        <v>1</v>
      </c>
      <c r="P555" s="25"/>
    </row>
    <row r="556" spans="3:16">
      <c r="C556" s="22" t="s">
        <v>2540</v>
      </c>
      <c r="D556" t="str">
        <f>VLOOKUP(Table3[[#This Row],[Employee No.]],Table1_1[[Employee No.]:[Employee Name]],2,FALSE)</f>
        <v>SANDIP MAINALI</v>
      </c>
      <c r="E556" t="str">
        <f>VLOOKUP(Table3[[#This Row],[Employee No.]],Table1_1[[Employee No.]:[Department]],6,FALSE)</f>
        <v>FVI</v>
      </c>
      <c r="F556" t="str">
        <f>VLOOKUP(Table3[[#This Row],[Employee No.]],Table1_1[[Employee No.]:[Gender]],7,FALSE)</f>
        <v>M</v>
      </c>
      <c r="G556" t="str">
        <f>VLOOKUP(Table3[[#This Row],[Employee No.]],Table1_1[[Employee No.]:[Shift]],9,FALSE)</f>
        <v>SHIFT A</v>
      </c>
      <c r="H556" s="25">
        <v>1</v>
      </c>
      <c r="I556" s="25">
        <v>1</v>
      </c>
      <c r="J556" s="25">
        <v>1</v>
      </c>
      <c r="K556" s="25">
        <v>1</v>
      </c>
      <c r="L556" s="25">
        <v>1</v>
      </c>
      <c r="M556" s="25">
        <v>1</v>
      </c>
    </row>
    <row r="557" spans="3:16">
      <c r="C557" s="22" t="s">
        <v>2542</v>
      </c>
      <c r="D557" t="str">
        <f>VLOOKUP(Table3[[#This Row],[Employee No.]],Table1_1[[Employee No.]:[Employee Name]],2,FALSE)</f>
        <v>SANJAY KUMAR YADAV</v>
      </c>
      <c r="E557" t="str">
        <f>VLOOKUP(Table3[[#This Row],[Employee No.]],Table1_1[[Employee No.]:[Department]],6,FALSE)</f>
        <v>SM</v>
      </c>
      <c r="F557" t="str">
        <f>VLOOKUP(Table3[[#This Row],[Employee No.]],Table1_1[[Employee No.]:[Gender]],7,FALSE)</f>
        <v>M</v>
      </c>
      <c r="G557" t="str">
        <f>VLOOKUP(Table3[[#This Row],[Employee No.]],Table1_1[[Employee No.]:[Shift]],9,FALSE)</f>
        <v>SHIFT A</v>
      </c>
      <c r="H557" s="25">
        <v>1</v>
      </c>
      <c r="I557" s="25">
        <v>1</v>
      </c>
      <c r="J557" s="25">
        <v>0</v>
      </c>
      <c r="K557" s="25">
        <v>1</v>
      </c>
      <c r="L557" s="25">
        <v>1</v>
      </c>
      <c r="M557" s="25">
        <v>1</v>
      </c>
    </row>
    <row r="558" spans="3:16">
      <c r="C558" s="22" t="s">
        <v>2543</v>
      </c>
      <c r="D558" t="str">
        <f>VLOOKUP(Table3[[#This Row],[Employee No.]],Table1_1[[Employee No.]:[Employee Name]],2,FALSE)</f>
        <v>SARJAN RAI</v>
      </c>
      <c r="E558" t="str">
        <f>VLOOKUP(Table3[[#This Row],[Employee No.]],Table1_1[[Employee No.]:[Department]],6,FALSE)</f>
        <v>FVI</v>
      </c>
      <c r="F558" t="str">
        <f>VLOOKUP(Table3[[#This Row],[Employee No.]],Table1_1[[Employee No.]:[Gender]],7,FALSE)</f>
        <v>M</v>
      </c>
      <c r="G558" t="str">
        <f>VLOOKUP(Table3[[#This Row],[Employee No.]],Table1_1[[Employee No.]:[Shift]],9,FALSE)</f>
        <v>SHIFT C</v>
      </c>
      <c r="H558" s="25">
        <v>1</v>
      </c>
      <c r="I558" s="25">
        <v>1</v>
      </c>
      <c r="J558" s="25">
        <v>1</v>
      </c>
      <c r="K558" s="25">
        <v>1</v>
      </c>
      <c r="L558" s="25">
        <v>1</v>
      </c>
      <c r="M558" s="25">
        <v>1</v>
      </c>
      <c r="P558" s="25"/>
    </row>
    <row r="559" spans="3:16">
      <c r="C559" s="22" t="s">
        <v>2545</v>
      </c>
      <c r="D559" t="str">
        <f>VLOOKUP(Table3[[#This Row],[Employee No.]],Table1_1[[Employee No.]:[Employee Name]],2,FALSE)</f>
        <v>SAURAV BASNET</v>
      </c>
      <c r="E559" t="str">
        <f>VLOOKUP(Table3[[#This Row],[Employee No.]],Table1_1[[Employee No.]:[Department]],6,FALSE)</f>
        <v>ROUTER</v>
      </c>
      <c r="F559" t="str">
        <f>VLOOKUP(Table3[[#This Row],[Employee No.]],Table1_1[[Employee No.]:[Gender]],7,FALSE)</f>
        <v>M</v>
      </c>
      <c r="G559" t="str">
        <f>VLOOKUP(Table3[[#This Row],[Employee No.]],Table1_1[[Employee No.]:[Shift]],9,FALSE)</f>
        <v>SHIFT C</v>
      </c>
      <c r="H559" s="25">
        <v>1</v>
      </c>
      <c r="I559" s="25">
        <v>1</v>
      </c>
      <c r="J559" s="25">
        <v>1</v>
      </c>
      <c r="K559" s="25">
        <v>1</v>
      </c>
      <c r="L559" s="25">
        <v>1</v>
      </c>
      <c r="M559" s="25">
        <v>1</v>
      </c>
      <c r="P559" s="25"/>
    </row>
    <row r="560" spans="3:16">
      <c r="C560" s="22" t="s">
        <v>2547</v>
      </c>
      <c r="D560" t="str">
        <f>VLOOKUP(Table3[[#This Row],[Employee No.]],Table1_1[[Employee No.]:[Employee Name]],2,FALSE)</f>
        <v>SHER BAHADUR DHUNGAL</v>
      </c>
      <c r="E560" t="str">
        <f>VLOOKUP(Table3[[#This Row],[Employee No.]],Table1_1[[Employee No.]:[Department]],6,FALSE)</f>
        <v>SM</v>
      </c>
      <c r="F560" t="str">
        <f>VLOOKUP(Table3[[#This Row],[Employee No.]],Table1_1[[Employee No.]:[Gender]],7,FALSE)</f>
        <v>M</v>
      </c>
      <c r="G560" t="str">
        <f>VLOOKUP(Table3[[#This Row],[Employee No.]],Table1_1[[Employee No.]:[Shift]],9,FALSE)</f>
        <v>SHIFT B</v>
      </c>
      <c r="H560" s="25">
        <v>1</v>
      </c>
      <c r="I560" s="25">
        <v>1</v>
      </c>
      <c r="J560" s="25">
        <v>1</v>
      </c>
      <c r="K560" s="25">
        <v>1</v>
      </c>
      <c r="L560" s="25">
        <v>1</v>
      </c>
      <c r="M560" s="25">
        <v>1</v>
      </c>
    </row>
    <row r="561" spans="3:16">
      <c r="C561" s="22" t="s">
        <v>2549</v>
      </c>
      <c r="D561" t="str">
        <f>VLOOKUP(Table3[[#This Row],[Employee No.]],Table1_1[[Employee No.]:[Employee Name]],2,FALSE)</f>
        <v>SHIV NARAYAN SAH</v>
      </c>
      <c r="E561" t="str">
        <f>VLOOKUP(Table3[[#This Row],[Employee No.]],Table1_1[[Employee No.]:[Department]],6,FALSE)</f>
        <v>SM</v>
      </c>
      <c r="F561" t="str">
        <f>VLOOKUP(Table3[[#This Row],[Employee No.]],Table1_1[[Employee No.]:[Gender]],7,FALSE)</f>
        <v>M</v>
      </c>
      <c r="G561" t="str">
        <f>VLOOKUP(Table3[[#This Row],[Employee No.]],Table1_1[[Employee No.]:[Shift]],9,FALSE)</f>
        <v>SHIFT A</v>
      </c>
      <c r="H561" s="25">
        <v>1</v>
      </c>
      <c r="I561" s="25">
        <v>1</v>
      </c>
      <c r="J561" s="25">
        <v>1</v>
      </c>
      <c r="K561" s="25">
        <v>1</v>
      </c>
      <c r="L561" s="25">
        <v>1</v>
      </c>
      <c r="M561" s="25">
        <v>1</v>
      </c>
    </row>
    <row r="562" spans="3:16">
      <c r="C562" s="22" t="s">
        <v>2551</v>
      </c>
      <c r="D562" t="str">
        <f>VLOOKUP(Table3[[#This Row],[Employee No.]],Table1_1[[Employee No.]:[Employee Name]],2,FALSE)</f>
        <v>SUDIP MAGAR</v>
      </c>
      <c r="E562" t="str">
        <f>VLOOKUP(Table3[[#This Row],[Employee No.]],Table1_1[[Employee No.]:[Department]],6,FALSE)</f>
        <v>SM</v>
      </c>
      <c r="F562" t="str">
        <f>VLOOKUP(Table3[[#This Row],[Employee No.]],Table1_1[[Employee No.]:[Gender]],7,FALSE)</f>
        <v>M</v>
      </c>
      <c r="G562" t="str">
        <f>VLOOKUP(Table3[[#This Row],[Employee No.]],Table1_1[[Employee No.]:[Shift]],9,FALSE)</f>
        <v>SHIFT B</v>
      </c>
      <c r="H562" s="25">
        <v>1</v>
      </c>
      <c r="I562" s="25">
        <v>1</v>
      </c>
      <c r="J562" s="25">
        <v>1</v>
      </c>
      <c r="K562" s="25">
        <v>1</v>
      </c>
      <c r="L562" s="25">
        <v>1</v>
      </c>
      <c r="M562" s="25">
        <v>1</v>
      </c>
    </row>
    <row r="563" spans="3:16">
      <c r="C563" s="22" t="s">
        <v>2553</v>
      </c>
      <c r="D563" t="str">
        <f>VLOOKUP(Table3[[#This Row],[Employee No.]],Table1_1[[Employee No.]:[Employee Name]],2,FALSE)</f>
        <v>SURENDRA SINGH NAYAK</v>
      </c>
      <c r="E563" t="str">
        <f>VLOOKUP(Table3[[#This Row],[Employee No.]],Table1_1[[Employee No.]:[Department]],6,FALSE)</f>
        <v>FVI</v>
      </c>
      <c r="F563" t="str">
        <f>VLOOKUP(Table3[[#This Row],[Employee No.]],Table1_1[[Employee No.]:[Gender]],7,FALSE)</f>
        <v>M</v>
      </c>
      <c r="G563" t="str">
        <f>VLOOKUP(Table3[[#This Row],[Employee No.]],Table1_1[[Employee No.]:[Shift]],9,FALSE)</f>
        <v>SHIFT C</v>
      </c>
      <c r="H563" s="25">
        <v>1</v>
      </c>
      <c r="I563" s="25">
        <v>1</v>
      </c>
      <c r="J563" s="25">
        <v>1</v>
      </c>
      <c r="K563" s="25">
        <v>1</v>
      </c>
      <c r="L563" s="25">
        <v>1</v>
      </c>
      <c r="M563" s="25">
        <v>1</v>
      </c>
      <c r="P563" s="25"/>
    </row>
    <row r="564" spans="3:16">
      <c r="C564" s="22" t="s">
        <v>2555</v>
      </c>
      <c r="D564" t="str">
        <f>VLOOKUP(Table3[[#This Row],[Employee No.]],Table1_1[[Employee No.]:[Employee Name]],2,FALSE)</f>
        <v>TAISH MUHAMMAD PATHAN</v>
      </c>
      <c r="E564" t="str">
        <f>VLOOKUP(Table3[[#This Row],[Employee No.]],Table1_1[[Employee No.]:[Department]],6,FALSE)</f>
        <v>LASER</v>
      </c>
      <c r="F564" t="str">
        <f>VLOOKUP(Table3[[#This Row],[Employee No.]],Table1_1[[Employee No.]:[Gender]],7,FALSE)</f>
        <v>M</v>
      </c>
      <c r="G564" t="str">
        <f>VLOOKUP(Table3[[#This Row],[Employee No.]],Table1_1[[Employee No.]:[Shift]],9,FALSE)</f>
        <v>SHIFT A</v>
      </c>
      <c r="H564" s="25">
        <v>1</v>
      </c>
      <c r="I564" s="25">
        <v>1</v>
      </c>
      <c r="J564" s="25">
        <v>1</v>
      </c>
      <c r="K564" s="25">
        <v>1</v>
      </c>
      <c r="L564" s="25">
        <v>1</v>
      </c>
      <c r="M564" s="25">
        <v>1</v>
      </c>
    </row>
    <row r="565" spans="3:16">
      <c r="C565" s="22" t="s">
        <v>2557</v>
      </c>
      <c r="D565" t="str">
        <f>VLOOKUP(Table3[[#This Row],[Employee No.]],Table1_1[[Employee No.]:[Employee Name]],2,FALSE)</f>
        <v>UPENDRA SAH BANIYA</v>
      </c>
      <c r="E565" t="str">
        <f>VLOOKUP(Table3[[#This Row],[Employee No.]],Table1_1[[Employee No.]:[Department]],6,FALSE)</f>
        <v>DRILL</v>
      </c>
      <c r="F565" t="str">
        <f>VLOOKUP(Table3[[#This Row],[Employee No.]],Table1_1[[Employee No.]:[Gender]],7,FALSE)</f>
        <v>M</v>
      </c>
      <c r="G565" t="str">
        <f>VLOOKUP(Table3[[#This Row],[Employee No.]],Table1_1[[Employee No.]:[Shift]],9,FALSE)</f>
        <v>SHIFT B</v>
      </c>
      <c r="H565" s="25">
        <v>1</v>
      </c>
      <c r="I565" s="25">
        <v>1</v>
      </c>
      <c r="J565" s="25">
        <v>1</v>
      </c>
      <c r="K565" s="25">
        <v>1</v>
      </c>
      <c r="L565" s="25">
        <v>1</v>
      </c>
      <c r="M565" s="25">
        <v>1</v>
      </c>
    </row>
    <row r="566" spans="3:16">
      <c r="C566" s="22" t="s">
        <v>2559</v>
      </c>
      <c r="D566" t="str">
        <f>VLOOKUP(Table3[[#This Row],[Employee No.]],Table1_1[[Employee No.]:[Employee Name]],2,FALSE)</f>
        <v>MUHAMMAD AMIR BIN ZAINUDDIN</v>
      </c>
      <c r="E566" t="str">
        <f>VLOOKUP(Table3[[#This Row],[Employee No.]],Table1_1[[Employee No.]:[Department]],6,FALSE)</f>
        <v>EQUIPMENT</v>
      </c>
      <c r="F566" t="str">
        <f>VLOOKUP(Table3[[#This Row],[Employee No.]],Table1_1[[Employee No.]:[Gender]],7,FALSE)</f>
        <v>M</v>
      </c>
      <c r="G566" t="str">
        <f>VLOOKUP(Table3[[#This Row],[Employee No.]],Table1_1[[Employee No.]:[Shift]],9,FALSE)</f>
        <v>SHIFT C</v>
      </c>
      <c r="H566" s="25">
        <v>1</v>
      </c>
      <c r="I566" s="25">
        <v>1</v>
      </c>
      <c r="J566" s="25">
        <v>1</v>
      </c>
      <c r="K566" s="25">
        <v>1</v>
      </c>
      <c r="L566" s="25">
        <v>1</v>
      </c>
      <c r="M566" s="25">
        <v>1</v>
      </c>
      <c r="P566" s="25"/>
    </row>
    <row r="567" spans="3:16">
      <c r="C567" s="22" t="s">
        <v>2563</v>
      </c>
      <c r="D567" t="str">
        <f>VLOOKUP(Table3[[#This Row],[Employee No.]],Table1_1[[Employee No.]:[Employee Name]],2,FALSE)</f>
        <v>NUR SYAFIQAH BINTI MAT RAPIE</v>
      </c>
      <c r="E567" t="str">
        <f>VLOOKUP(Table3[[#This Row],[Employee No.]],Table1_1[[Employee No.]:[Department]],6,FALSE)</f>
        <v>HS</v>
      </c>
      <c r="F567" t="str">
        <f>VLOOKUP(Table3[[#This Row],[Employee No.]],Table1_1[[Employee No.]:[Gender]],7,FALSE)</f>
        <v>F</v>
      </c>
      <c r="G567" t="str">
        <f>VLOOKUP(Table3[[#This Row],[Employee No.]],Table1_1[[Employee No.]:[Shift]],9,FALSE)</f>
        <v>SHIFT A</v>
      </c>
      <c r="H567" s="25">
        <v>1</v>
      </c>
      <c r="I567" s="25">
        <v>1</v>
      </c>
      <c r="J567" s="25">
        <v>1</v>
      </c>
      <c r="K567" s="25">
        <v>1</v>
      </c>
      <c r="L567" s="25">
        <v>1</v>
      </c>
      <c r="M567" s="25">
        <v>0</v>
      </c>
    </row>
    <row r="568" spans="3:16">
      <c r="C568" s="22" t="s">
        <v>2567</v>
      </c>
      <c r="D568" t="str">
        <f>VLOOKUP(Table3[[#This Row],[Employee No.]],Table1_1[[Employee No.]:[Employee Name]],2,FALSE)</f>
        <v>NURUL NADHIRA BINTI ZAHALAN</v>
      </c>
      <c r="E568" t="str">
        <f>VLOOKUP(Table3[[#This Row],[Employee No.]],Table1_1[[Employee No.]:[Department]],6,FALSE)</f>
        <v>QUALITY</v>
      </c>
      <c r="F568" t="str">
        <f>VLOOKUP(Table3[[#This Row],[Employee No.]],Table1_1[[Employee No.]:[Gender]],7,FALSE)</f>
        <v>F</v>
      </c>
      <c r="G568" t="str">
        <f>VLOOKUP(Table3[[#This Row],[Employee No.]],Table1_1[[Employee No.]:[Shift]],9,FALSE)</f>
        <v>SHIFT C</v>
      </c>
      <c r="H568" s="25">
        <v>1</v>
      </c>
      <c r="I568" s="25">
        <v>1</v>
      </c>
      <c r="J568" s="25">
        <v>1</v>
      </c>
      <c r="K568" s="25">
        <v>1</v>
      </c>
      <c r="L568" s="25">
        <v>1</v>
      </c>
      <c r="M568" s="25">
        <v>1</v>
      </c>
    </row>
    <row r="569" spans="3:16">
      <c r="C569" s="22" t="s">
        <v>2575</v>
      </c>
      <c r="D569" t="str">
        <f>VLOOKUP(Table3[[#This Row],[Employee No.]],Table1_1[[Employee No.]:[Employee Name]],2,FALSE)</f>
        <v>MUHAMAD ZAHID BIN ISMAIL</v>
      </c>
      <c r="E569" t="str">
        <f>VLOOKUP(Table3[[#This Row],[Employee No.]],Table1_1[[Employee No.]:[Department]],6,FALSE)</f>
        <v>DF</v>
      </c>
      <c r="F569" t="str">
        <f>VLOOKUP(Table3[[#This Row],[Employee No.]],Table1_1[[Employee No.]:[Gender]],7,FALSE)</f>
        <v>M</v>
      </c>
      <c r="G569" t="str">
        <f>VLOOKUP(Table3[[#This Row],[Employee No.]],Table1_1[[Employee No.]:[Shift]],9,FALSE)</f>
        <v>SHIFT A</v>
      </c>
      <c r="H569" s="25">
        <v>1</v>
      </c>
      <c r="I569" s="25">
        <v>1</v>
      </c>
      <c r="J569" s="25">
        <v>1</v>
      </c>
      <c r="K569" s="25">
        <v>1</v>
      </c>
      <c r="L569" s="25">
        <v>1</v>
      </c>
      <c r="M569" s="25">
        <v>1</v>
      </c>
    </row>
    <row r="570" spans="3:16">
      <c r="C570" s="22" t="s">
        <v>2579</v>
      </c>
      <c r="D570" t="str">
        <f>VLOOKUP(Table3[[#This Row],[Employee No.]],Table1_1[[Employee No.]:[Employee Name]],2,FALSE)</f>
        <v>INTAN DEWI MELINA BINTI SARMAN SIREGAR</v>
      </c>
      <c r="E570" t="str">
        <f>VLOOKUP(Table3[[#This Row],[Employee No.]],Table1_1[[Employee No.]:[Department]],6,FALSE)</f>
        <v>QUALITY</v>
      </c>
      <c r="F570" t="str">
        <f>VLOOKUP(Table3[[#This Row],[Employee No.]],Table1_1[[Employee No.]:[Gender]],7,FALSE)</f>
        <v>F</v>
      </c>
      <c r="G570" t="str">
        <f>VLOOKUP(Table3[[#This Row],[Employee No.]],Table1_1[[Employee No.]:[Shift]],9,FALSE)</f>
        <v>SHIFT B</v>
      </c>
      <c r="H570" s="25">
        <v>1</v>
      </c>
      <c r="I570" s="25">
        <v>1</v>
      </c>
      <c r="J570" s="25">
        <v>1</v>
      </c>
      <c r="K570" s="25">
        <v>1</v>
      </c>
      <c r="L570" s="25">
        <v>1</v>
      </c>
      <c r="M570" s="25">
        <v>1</v>
      </c>
    </row>
    <row r="571" spans="3:16">
      <c r="C571" s="22" t="s">
        <v>2583</v>
      </c>
      <c r="D571" t="str">
        <f>VLOOKUP(Table3[[#This Row],[Employee No.]],Table1_1[[Employee No.]:[Employee Name]],2,FALSE)</f>
        <v>NAJATUL NAJWA BINTI HASHIM</v>
      </c>
      <c r="E571" t="str">
        <f>VLOOKUP(Table3[[#This Row],[Employee No.]],Table1_1[[Employee No.]:[Department]],6,FALSE)</f>
        <v>FVI</v>
      </c>
      <c r="F571" t="str">
        <f>VLOOKUP(Table3[[#This Row],[Employee No.]],Table1_1[[Employee No.]:[Gender]],7,FALSE)</f>
        <v>F</v>
      </c>
      <c r="G571" t="str">
        <f>VLOOKUP(Table3[[#This Row],[Employee No.]],Table1_1[[Employee No.]:[Shift]],9,FALSE)</f>
        <v>SHIFT B</v>
      </c>
      <c r="H571" s="25">
        <v>1</v>
      </c>
      <c r="I571" s="25">
        <v>1</v>
      </c>
      <c r="J571" s="25">
        <v>1</v>
      </c>
      <c r="K571" s="25">
        <v>1</v>
      </c>
      <c r="L571" s="25">
        <v>1</v>
      </c>
      <c r="M571" s="25">
        <v>1</v>
      </c>
    </row>
    <row r="572" spans="3:16">
      <c r="C572" s="22" t="s">
        <v>2587</v>
      </c>
      <c r="D572" t="str">
        <f>VLOOKUP(Table3[[#This Row],[Employee No.]],Table1_1[[Employee No.]:[Employee Name]],2,FALSE)</f>
        <v>MUHAMAD SHAIFUL AZRUL BIN SAMSURI</v>
      </c>
      <c r="E572" t="str">
        <f>VLOOKUP(Table3[[#This Row],[Employee No.]],Table1_1[[Employee No.]:[Department]],6,FALSE)</f>
        <v>DF</v>
      </c>
      <c r="F572" t="str">
        <f>VLOOKUP(Table3[[#This Row],[Employee No.]],Table1_1[[Employee No.]:[Gender]],7,FALSE)</f>
        <v>M</v>
      </c>
      <c r="G572" t="str">
        <f>VLOOKUP(Table3[[#This Row],[Employee No.]],Table1_1[[Employee No.]:[Shift]],9,FALSE)</f>
        <v>SHIFT C</v>
      </c>
      <c r="H572" s="25">
        <v>1</v>
      </c>
      <c r="I572" s="25">
        <v>1</v>
      </c>
      <c r="J572" s="25">
        <v>1</v>
      </c>
      <c r="K572" s="25">
        <v>0</v>
      </c>
      <c r="L572" s="25">
        <v>1</v>
      </c>
      <c r="M572" s="25">
        <v>1</v>
      </c>
    </row>
    <row r="573" spans="3:16">
      <c r="C573" s="22" t="s">
        <v>2591</v>
      </c>
      <c r="D573" t="str">
        <f>VLOOKUP(Table3[[#This Row],[Employee No.]],Table1_1[[Employee No.]:[Employee Name]],2,FALSE)</f>
        <v>NUR HAFIZAH FARHANA BINTI BAHMAN</v>
      </c>
      <c r="E573" t="str">
        <f>VLOOKUP(Table3[[#This Row],[Employee No.]],Table1_1[[Employee No.]:[Department]],6,FALSE)</f>
        <v>QUALITY</v>
      </c>
      <c r="F573" t="str">
        <f>VLOOKUP(Table3[[#This Row],[Employee No.]],Table1_1[[Employee No.]:[Gender]],7,FALSE)</f>
        <v>F</v>
      </c>
      <c r="G573" t="str">
        <f>VLOOKUP(Table3[[#This Row],[Employee No.]],Table1_1[[Employee No.]:[Shift]],9,FALSE)</f>
        <v>SHIFT A</v>
      </c>
      <c r="H573" s="25">
        <v>1</v>
      </c>
      <c r="I573" s="25">
        <v>1</v>
      </c>
      <c r="J573" s="25">
        <v>1</v>
      </c>
      <c r="K573" s="25">
        <v>1</v>
      </c>
      <c r="L573" s="25">
        <v>1</v>
      </c>
      <c r="M573" s="25">
        <v>1</v>
      </c>
    </row>
    <row r="574" spans="3:16">
      <c r="C574" s="22" t="s">
        <v>2595</v>
      </c>
      <c r="D574" t="str">
        <f>VLOOKUP(Table3[[#This Row],[Employee No.]],Table1_1[[Employee No.]:[Employee Name]],2,FALSE)</f>
        <v>AZZATUL ALIANA BINTI AHMAD SHUKRI</v>
      </c>
      <c r="E574" t="str">
        <f>VLOOKUP(Table3[[#This Row],[Employee No.]],Table1_1[[Employee No.]:[Department]],6,FALSE)</f>
        <v>FVI</v>
      </c>
      <c r="F574" t="str">
        <f>VLOOKUP(Table3[[#This Row],[Employee No.]],Table1_1[[Employee No.]:[Gender]],7,FALSE)</f>
        <v>F</v>
      </c>
      <c r="G574" t="str">
        <f>VLOOKUP(Table3[[#This Row],[Employee No.]],Table1_1[[Employee No.]:[Shift]],9,FALSE)</f>
        <v>SHIFT A</v>
      </c>
      <c r="H574" s="25">
        <v>1</v>
      </c>
      <c r="I574" s="25">
        <v>1</v>
      </c>
      <c r="J574" s="25">
        <v>1</v>
      </c>
      <c r="K574" s="25">
        <v>1</v>
      </c>
      <c r="L574" s="25">
        <v>1</v>
      </c>
      <c r="M574" s="25">
        <v>1</v>
      </c>
    </row>
    <row r="575" spans="3:16">
      <c r="C575" s="22" t="s">
        <v>2599</v>
      </c>
      <c r="D575" t="str">
        <f>VLOOKUP(Table3[[#This Row],[Employee No.]],Table1_1[[Employee No.]:[Employee Name]],2,FALSE)</f>
        <v>MUHAMMAD RAQIB BIN OTHMAN</v>
      </c>
      <c r="E575" t="str">
        <f>VLOOKUP(Table3[[#This Row],[Employee No.]],Table1_1[[Employee No.]:[Department]],6,FALSE)</f>
        <v>QUALITY</v>
      </c>
      <c r="F575" t="str">
        <f>VLOOKUP(Table3[[#This Row],[Employee No.]],Table1_1[[Employee No.]:[Gender]],7,FALSE)</f>
        <v>M</v>
      </c>
      <c r="G575" t="str">
        <f>VLOOKUP(Table3[[#This Row],[Employee No.]],Table1_1[[Employee No.]:[Shift]],9,FALSE)</f>
        <v>SHIFT A</v>
      </c>
      <c r="H575" s="25">
        <v>0</v>
      </c>
      <c r="I575" s="25">
        <v>0</v>
      </c>
      <c r="J575" s="25">
        <v>1</v>
      </c>
      <c r="K575" s="25">
        <v>1</v>
      </c>
      <c r="L575" s="25">
        <v>1</v>
      </c>
      <c r="M575" s="25">
        <v>1</v>
      </c>
    </row>
    <row r="576" spans="3:16">
      <c r="C576" s="22" t="s">
        <v>2603</v>
      </c>
      <c r="D576" t="str">
        <f>VLOOKUP(Table3[[#This Row],[Employee No.]],Table1_1[[Employee No.]:[Employee Name]],2,FALSE)</f>
        <v>MUHAMMAD NUR AFIF HAZIM BIN NOOR APANDI</v>
      </c>
      <c r="E576" t="str">
        <f>VLOOKUP(Table3[[#This Row],[Employee No.]],Table1_1[[Employee No.]:[Department]],6,FALSE)</f>
        <v>DESIGN</v>
      </c>
      <c r="F576" t="str">
        <f>VLOOKUP(Table3[[#This Row],[Employee No.]],Table1_1[[Employee No.]:[Gender]],7,FALSE)</f>
        <v>M</v>
      </c>
      <c r="G576" t="str">
        <f>VLOOKUP(Table3[[#This Row],[Employee No.]],Table1_1[[Employee No.]:[Shift]],9,FALSE)</f>
        <v>SHIFT B</v>
      </c>
      <c r="H576" s="25">
        <v>1</v>
      </c>
      <c r="I576" s="25">
        <v>1</v>
      </c>
      <c r="J576" s="25">
        <v>1</v>
      </c>
      <c r="K576" s="25">
        <v>1</v>
      </c>
      <c r="L576" s="25">
        <v>1</v>
      </c>
      <c r="M576" s="25">
        <v>1</v>
      </c>
    </row>
    <row r="577" spans="3:16">
      <c r="C577" s="22" t="s">
        <v>2607</v>
      </c>
      <c r="D577" t="str">
        <f>VLOOKUP(Table3[[#This Row],[Employee No.]],Table1_1[[Employee No.]:[Employee Name]],2,FALSE)</f>
        <v>NURUL ANIS BINTI MOHD ROZI</v>
      </c>
      <c r="E577" t="str">
        <f>VLOOKUP(Table3[[#This Row],[Employee No.]],Table1_1[[Employee No.]:[Department]],6,FALSE)</f>
        <v>DRILL</v>
      </c>
      <c r="F577" t="str">
        <f>VLOOKUP(Table3[[#This Row],[Employee No.]],Table1_1[[Employee No.]:[Gender]],7,FALSE)</f>
        <v>F</v>
      </c>
      <c r="G577" t="str">
        <f>VLOOKUP(Table3[[#This Row],[Employee No.]],Table1_1[[Employee No.]:[Shift]],9,FALSE)</f>
        <v>SHIFT C</v>
      </c>
      <c r="H577" s="25">
        <v>1</v>
      </c>
      <c r="I577" s="25">
        <v>1</v>
      </c>
      <c r="J577" s="25">
        <v>1</v>
      </c>
      <c r="K577" s="25">
        <v>1</v>
      </c>
      <c r="L577" s="25">
        <v>1</v>
      </c>
      <c r="M577" s="25">
        <v>1</v>
      </c>
      <c r="P577" s="25"/>
    </row>
    <row r="578" spans="3:16">
      <c r="C578" s="22" t="s">
        <v>2611</v>
      </c>
      <c r="D578" t="str">
        <f>VLOOKUP(Table3[[#This Row],[Employee No.]],Table1_1[[Employee No.]:[Employee Name]],2,FALSE)</f>
        <v>ZARUL ASWAD BIN JAMALUDDIN</v>
      </c>
      <c r="E578" t="str">
        <f>VLOOKUP(Table3[[#This Row],[Employee No.]],Table1_1[[Employee No.]:[Department]],6,FALSE)</f>
        <v>LASER</v>
      </c>
      <c r="F578" t="str">
        <f>VLOOKUP(Table3[[#This Row],[Employee No.]],Table1_1[[Employee No.]:[Gender]],7,FALSE)</f>
        <v>M</v>
      </c>
      <c r="G578" t="str">
        <f>VLOOKUP(Table3[[#This Row],[Employee No.]],Table1_1[[Employee No.]:[Shift]],9,FALSE)</f>
        <v>SHIFT A</v>
      </c>
      <c r="H578" s="25">
        <v>1</v>
      </c>
      <c r="I578" s="25">
        <v>1</v>
      </c>
      <c r="J578" s="25">
        <v>1</v>
      </c>
      <c r="K578" s="25">
        <v>1</v>
      </c>
      <c r="L578" s="25">
        <v>1</v>
      </c>
      <c r="M578" s="25">
        <v>1</v>
      </c>
    </row>
    <row r="579" spans="3:16">
      <c r="C579" s="22" t="s">
        <v>2615</v>
      </c>
      <c r="D579" t="str">
        <f>VLOOKUP(Table3[[#This Row],[Employee No.]],Table1_1[[Employee No.]:[Employee Name]],2,FALSE)</f>
        <v>MUHAMAD SHAHRUL IMAN BIN MAT ISA</v>
      </c>
      <c r="E579" t="str">
        <f>VLOOKUP(Table3[[#This Row],[Employee No.]],Table1_1[[Employee No.]:[Department]],6,FALSE)</f>
        <v>FVI</v>
      </c>
      <c r="F579" t="str">
        <f>VLOOKUP(Table3[[#This Row],[Employee No.]],Table1_1[[Employee No.]:[Gender]],7,FALSE)</f>
        <v>M</v>
      </c>
      <c r="G579" t="str">
        <f>VLOOKUP(Table3[[#This Row],[Employee No.]],Table1_1[[Employee No.]:[Shift]],9,FALSE)</f>
        <v>SHIFT B</v>
      </c>
      <c r="H579" s="25">
        <v>1</v>
      </c>
      <c r="I579" s="25">
        <v>1</v>
      </c>
      <c r="J579" s="25">
        <v>1</v>
      </c>
      <c r="K579" s="25">
        <v>1</v>
      </c>
      <c r="L579" s="25">
        <v>1</v>
      </c>
      <c r="M579" s="25">
        <v>1</v>
      </c>
    </row>
    <row r="580" spans="3:16">
      <c r="C580" s="22" t="s">
        <v>2619</v>
      </c>
      <c r="D580" t="str">
        <f>VLOOKUP(Table3[[#This Row],[Employee No.]],Table1_1[[Employee No.]:[Employee Name]],2,FALSE)</f>
        <v>MUHAMMAD NUR IKHMAN BIN AZMAN</v>
      </c>
      <c r="E580" t="str">
        <f>VLOOKUP(Table3[[#This Row],[Employee No.]],Table1_1[[Employee No.]:[Department]],6,FALSE)</f>
        <v>MLB</v>
      </c>
      <c r="F580" t="str">
        <f>VLOOKUP(Table3[[#This Row],[Employee No.]],Table1_1[[Employee No.]:[Gender]],7,FALSE)</f>
        <v>M</v>
      </c>
      <c r="G580" t="str">
        <f>VLOOKUP(Table3[[#This Row],[Employee No.]],Table1_1[[Employee No.]:[Shift]],9,FALSE)</f>
        <v>SHIFT A</v>
      </c>
      <c r="H580" s="25">
        <v>1</v>
      </c>
      <c r="I580" s="25">
        <v>1</v>
      </c>
      <c r="J580" s="25">
        <v>1</v>
      </c>
      <c r="K580" s="25">
        <v>1</v>
      </c>
      <c r="L580" s="25">
        <v>1</v>
      </c>
      <c r="M580" s="25">
        <v>1</v>
      </c>
    </row>
    <row r="581" spans="3:16">
      <c r="C581" s="22" t="s">
        <v>2623</v>
      </c>
      <c r="D581" t="str">
        <f>VLOOKUP(Table3[[#This Row],[Employee No.]],Table1_1[[Employee No.]:[Employee Name]],2,FALSE)</f>
        <v>AFIQ ADLI BIN ZAMZURI</v>
      </c>
      <c r="E581" t="str">
        <f>VLOOKUP(Table3[[#This Row],[Employee No.]],Table1_1[[Employee No.]:[Department]],6,FALSE)</f>
        <v>DESIGN</v>
      </c>
      <c r="F581" t="str">
        <f>VLOOKUP(Table3[[#This Row],[Employee No.]],Table1_1[[Employee No.]:[Gender]],7,FALSE)</f>
        <v>M</v>
      </c>
      <c r="G581" t="str">
        <f>VLOOKUP(Table3[[#This Row],[Employee No.]],Table1_1[[Employee No.]:[Shift]],9,FALSE)</f>
        <v>SHIFT B</v>
      </c>
      <c r="H581" s="25">
        <v>1</v>
      </c>
      <c r="I581" s="25">
        <v>1</v>
      </c>
      <c r="J581" s="25">
        <v>1</v>
      </c>
      <c r="K581" s="25">
        <v>1</v>
      </c>
      <c r="L581" s="25">
        <v>1</v>
      </c>
      <c r="M581" s="25">
        <v>1</v>
      </c>
    </row>
    <row r="582" spans="3:16">
      <c r="C582" s="22" t="s">
        <v>2627</v>
      </c>
      <c r="D582" t="str">
        <f>VLOOKUP(Table3[[#This Row],[Employee No.]],Table1_1[[Employee No.]:[Employee Name]],2,FALSE)</f>
        <v>MOHAMAD ZULKHAIRI BIN SULAIMAN</v>
      </c>
      <c r="E582" t="str">
        <f>VLOOKUP(Table3[[#This Row],[Employee No.]],Table1_1[[Employee No.]:[Department]],6,FALSE)</f>
        <v>QUALITY</v>
      </c>
      <c r="F582" t="str">
        <f>VLOOKUP(Table3[[#This Row],[Employee No.]],Table1_1[[Employee No.]:[Gender]],7,FALSE)</f>
        <v>M</v>
      </c>
      <c r="G582" t="str">
        <f>VLOOKUP(Table3[[#This Row],[Employee No.]],Table1_1[[Employee No.]:[Shift]],9,FALSE)</f>
        <v>SHIFT C</v>
      </c>
      <c r="H582" s="25">
        <v>1</v>
      </c>
      <c r="I582" s="25">
        <v>1</v>
      </c>
      <c r="J582" s="25">
        <v>1</v>
      </c>
      <c r="K582" s="25">
        <v>1</v>
      </c>
      <c r="L582" s="25">
        <v>1</v>
      </c>
      <c r="M582" s="25">
        <v>1</v>
      </c>
      <c r="P582" s="25"/>
    </row>
    <row r="583" spans="3:16">
      <c r="C583" s="22" t="s">
        <v>2631</v>
      </c>
      <c r="D583" t="str">
        <f>VLOOKUP(Table3[[#This Row],[Employee No.]],Table1_1[[Employee No.]:[Employee Name]],2,FALSE)</f>
        <v>MOHAMED RIDZUAN BIN HUSSAIN</v>
      </c>
      <c r="E583" t="str">
        <f>VLOOKUP(Table3[[#This Row],[Employee No.]],Table1_1[[Employee No.]:[Department]],6,FALSE)</f>
        <v>FVI</v>
      </c>
      <c r="F583" t="str">
        <f>VLOOKUP(Table3[[#This Row],[Employee No.]],Table1_1[[Employee No.]:[Gender]],7,FALSE)</f>
        <v>M</v>
      </c>
      <c r="G583" t="str">
        <f>VLOOKUP(Table3[[#This Row],[Employee No.]],Table1_1[[Employee No.]:[Shift]],9,FALSE)</f>
        <v>SHIFT C</v>
      </c>
      <c r="H583" s="25">
        <v>1</v>
      </c>
      <c r="I583" s="25">
        <v>1</v>
      </c>
      <c r="J583" s="25">
        <v>1</v>
      </c>
      <c r="K583" s="25">
        <v>1</v>
      </c>
      <c r="L583" s="25">
        <v>1</v>
      </c>
      <c r="M583" s="25">
        <v>1</v>
      </c>
      <c r="P583" s="25"/>
    </row>
    <row r="584" spans="3:16">
      <c r="C584" s="22" t="s">
        <v>2635</v>
      </c>
      <c r="D584" t="str">
        <f>VLOOKUP(Table3[[#This Row],[Employee No.]],Table1_1[[Employee No.]:[Employee Name]],2,FALSE)</f>
        <v>MUHAMMAD ZAINUL ASYRAF BIN AZLAN</v>
      </c>
      <c r="E584" t="str">
        <f>VLOOKUP(Table3[[#This Row],[Employee No.]],Table1_1[[Employee No.]:[Department]],6,FALSE)</f>
        <v>LASER</v>
      </c>
      <c r="F584" t="str">
        <f>VLOOKUP(Table3[[#This Row],[Employee No.]],Table1_1[[Employee No.]:[Gender]],7,FALSE)</f>
        <v>M</v>
      </c>
      <c r="G584" t="str">
        <f>VLOOKUP(Table3[[#This Row],[Employee No.]],Table1_1[[Employee No.]:[Shift]],9,FALSE)</f>
        <v>SHIFT B</v>
      </c>
      <c r="H584" s="25">
        <v>1</v>
      </c>
      <c r="I584" s="25">
        <v>1</v>
      </c>
      <c r="J584" s="25">
        <v>1</v>
      </c>
      <c r="K584" s="25">
        <v>1</v>
      </c>
      <c r="L584" s="25">
        <v>1</v>
      </c>
      <c r="M584" s="25">
        <v>1</v>
      </c>
    </row>
    <row r="585" spans="3:16">
      <c r="C585" s="22" t="s">
        <v>2639</v>
      </c>
      <c r="D585" t="str">
        <f>VLOOKUP(Table3[[#This Row],[Employee No.]],Table1_1[[Employee No.]:[Employee Name]],2,FALSE)</f>
        <v>MUHAMMAD SAFIQ BIN RAMLI</v>
      </c>
      <c r="E585" t="str">
        <f>VLOOKUP(Table3[[#This Row],[Employee No.]],Table1_1[[Employee No.]:[Department]],6,FALSE)</f>
        <v>SM</v>
      </c>
      <c r="F585" t="str">
        <f>VLOOKUP(Table3[[#This Row],[Employee No.]],Table1_1[[Employee No.]:[Gender]],7,FALSE)</f>
        <v>M</v>
      </c>
      <c r="G585" t="str">
        <f>VLOOKUP(Table3[[#This Row],[Employee No.]],Table1_1[[Employee No.]:[Shift]],9,FALSE)</f>
        <v>SHIFT B</v>
      </c>
      <c r="H585" s="25">
        <v>1</v>
      </c>
      <c r="I585" s="25">
        <v>1</v>
      </c>
      <c r="J585" s="25">
        <v>1</v>
      </c>
      <c r="K585" s="25">
        <v>1</v>
      </c>
      <c r="L585" s="25">
        <v>1</v>
      </c>
      <c r="M585" s="25">
        <v>1</v>
      </c>
    </row>
    <row r="586" spans="3:16">
      <c r="C586" s="22" t="s">
        <v>2643</v>
      </c>
      <c r="D586" t="str">
        <f>VLOOKUP(Table3[[#This Row],[Employee No.]],Table1_1[[Employee No.]:[Employee Name]],2,FALSE)</f>
        <v>MOHAMAD ASRAF BIN ABU HASAN</v>
      </c>
      <c r="E586" t="str">
        <f>VLOOKUP(Table3[[#This Row],[Employee No.]],Table1_1[[Employee No.]:[Department]],6,FALSE)</f>
        <v>SM</v>
      </c>
      <c r="F586" t="str">
        <f>VLOOKUP(Table3[[#This Row],[Employee No.]],Table1_1[[Employee No.]:[Gender]],7,FALSE)</f>
        <v>M</v>
      </c>
      <c r="G586" t="str">
        <f>VLOOKUP(Table3[[#This Row],[Employee No.]],Table1_1[[Employee No.]:[Shift]],9,FALSE)</f>
        <v>SHIFT B</v>
      </c>
      <c r="H586" s="25">
        <v>1</v>
      </c>
      <c r="I586" s="25">
        <v>1</v>
      </c>
      <c r="J586" s="25">
        <v>1</v>
      </c>
      <c r="K586" s="25">
        <v>1</v>
      </c>
      <c r="L586" s="25">
        <v>1</v>
      </c>
      <c r="M586" s="25">
        <v>1</v>
      </c>
    </row>
    <row r="587" spans="3:16">
      <c r="C587" s="22" t="s">
        <v>2646</v>
      </c>
      <c r="D587" t="str">
        <f>VLOOKUP(Table3[[#This Row],[Employee No.]],Table1_1[[Employee No.]:[Employee Name]],2,FALSE)</f>
        <v>MUHAMMAD MUSYAHIID MUSIKH BIN AMRAN</v>
      </c>
      <c r="E587" t="str">
        <f>VLOOKUP(Table3[[#This Row],[Employee No.]],Table1_1[[Employee No.]:[Department]],6,FALSE)</f>
        <v>SM</v>
      </c>
      <c r="F587" t="str">
        <f>VLOOKUP(Table3[[#This Row],[Employee No.]],Table1_1[[Employee No.]:[Gender]],7,FALSE)</f>
        <v>M</v>
      </c>
      <c r="G587" t="str">
        <f>VLOOKUP(Table3[[#This Row],[Employee No.]],Table1_1[[Employee No.]:[Shift]],9,FALSE)</f>
        <v>SHIFT B</v>
      </c>
      <c r="H587" s="25">
        <v>1</v>
      </c>
      <c r="I587" s="25">
        <v>1</v>
      </c>
      <c r="J587" s="25">
        <v>1</v>
      </c>
      <c r="K587" s="25">
        <v>1</v>
      </c>
      <c r="L587" s="25">
        <v>1</v>
      </c>
      <c r="M587" s="25">
        <v>1</v>
      </c>
    </row>
    <row r="588" spans="3:16">
      <c r="C588" s="22" t="s">
        <v>2650</v>
      </c>
      <c r="D588" t="str">
        <f>VLOOKUP(Table3[[#This Row],[Employee No.]],Table1_1[[Employee No.]:[Employee Name]],2,FALSE)</f>
        <v>MUHAMMAD AIDIL BIN ZAKARIA</v>
      </c>
      <c r="E588" t="str">
        <f>VLOOKUP(Table3[[#This Row],[Employee No.]],Table1_1[[Employee No.]:[Department]],6,FALSE)</f>
        <v>ROUTER</v>
      </c>
      <c r="F588" t="str">
        <f>VLOOKUP(Table3[[#This Row],[Employee No.]],Table1_1[[Employee No.]:[Gender]],7,FALSE)</f>
        <v>M</v>
      </c>
      <c r="G588" t="str">
        <f>VLOOKUP(Table3[[#This Row],[Employee No.]],Table1_1[[Employee No.]:[Shift]],9,FALSE)</f>
        <v>SHIFT A</v>
      </c>
      <c r="H588" s="25">
        <v>1</v>
      </c>
      <c r="I588" s="25">
        <v>1</v>
      </c>
      <c r="J588" s="25">
        <v>1</v>
      </c>
      <c r="K588" s="25">
        <v>1</v>
      </c>
      <c r="L588" s="25">
        <v>1</v>
      </c>
      <c r="M588" s="25">
        <v>1</v>
      </c>
    </row>
    <row r="589" spans="3:16">
      <c r="C589" s="22" t="s">
        <v>2653</v>
      </c>
      <c r="D589" t="str">
        <f>VLOOKUP(Table3[[#This Row],[Employee No.]],Table1_1[[Employee No.]:[Employee Name]],2,FALSE)</f>
        <v>MUHAMMAD ZAKI BIN MAT SALLEH</v>
      </c>
      <c r="E589" t="str">
        <f>VLOOKUP(Table3[[#This Row],[Employee No.]],Table1_1[[Employee No.]:[Department]],6,FALSE)</f>
        <v>ROUTER</v>
      </c>
      <c r="F589" t="str">
        <f>VLOOKUP(Table3[[#This Row],[Employee No.]],Table1_1[[Employee No.]:[Gender]],7,FALSE)</f>
        <v>M</v>
      </c>
      <c r="G589" t="str">
        <f>VLOOKUP(Table3[[#This Row],[Employee No.]],Table1_1[[Employee No.]:[Shift]],9,FALSE)</f>
        <v>SHIFT B</v>
      </c>
      <c r="H589" s="25">
        <v>1</v>
      </c>
      <c r="I589" s="25">
        <v>1</v>
      </c>
      <c r="J589" s="25">
        <v>1</v>
      </c>
      <c r="K589" s="25">
        <v>1</v>
      </c>
      <c r="L589" s="25">
        <v>1</v>
      </c>
      <c r="M589" s="25">
        <v>1</v>
      </c>
    </row>
    <row r="590" spans="3:16">
      <c r="C590" s="22" t="s">
        <v>2657</v>
      </c>
      <c r="D590" t="str">
        <f>VLOOKUP(Table3[[#This Row],[Employee No.]],Table1_1[[Employee No.]:[Employee Name]],2,FALSE)</f>
        <v>AHMAD RAFIE BIN HUSEN</v>
      </c>
      <c r="E590" t="str">
        <f>VLOOKUP(Table3[[#This Row],[Employee No.]],Table1_1[[Employee No.]:[Department]],6,FALSE)</f>
        <v>QUALITY</v>
      </c>
      <c r="F590" t="str">
        <f>VLOOKUP(Table3[[#This Row],[Employee No.]],Table1_1[[Employee No.]:[Gender]],7,FALSE)</f>
        <v>M</v>
      </c>
      <c r="G590" t="str">
        <f>VLOOKUP(Table3[[#This Row],[Employee No.]],Table1_1[[Employee No.]:[Shift]],9,FALSE)</f>
        <v>SHIFT B</v>
      </c>
      <c r="H590" s="25">
        <v>1</v>
      </c>
      <c r="I590" s="25">
        <v>1</v>
      </c>
      <c r="J590" s="25">
        <v>1</v>
      </c>
      <c r="K590" s="25">
        <v>1</v>
      </c>
      <c r="L590" s="25">
        <v>1</v>
      </c>
      <c r="M590" s="25">
        <v>1</v>
      </c>
    </row>
    <row r="591" spans="3:16">
      <c r="C591" s="22" t="s">
        <v>2661</v>
      </c>
      <c r="D591" t="str">
        <f>VLOOKUP(Table3[[#This Row],[Employee No.]],Table1_1[[Employee No.]:[Employee Name]],2,FALSE)</f>
        <v>SALEH BIN AHMAD FADZIL</v>
      </c>
      <c r="E591" t="str">
        <f>VLOOKUP(Table3[[#This Row],[Employee No.]],Table1_1[[Employee No.]:[Department]],6,FALSE)</f>
        <v>SM</v>
      </c>
      <c r="F591" t="str">
        <f>VLOOKUP(Table3[[#This Row],[Employee No.]],Table1_1[[Employee No.]:[Gender]],7,FALSE)</f>
        <v>M</v>
      </c>
      <c r="G591" t="str">
        <f>VLOOKUP(Table3[[#This Row],[Employee No.]],Table1_1[[Employee No.]:[Shift]],9,FALSE)</f>
        <v>SHIFT C</v>
      </c>
      <c r="H591" s="25">
        <v>1</v>
      </c>
      <c r="I591" s="25">
        <v>1</v>
      </c>
      <c r="J591" s="25">
        <v>1</v>
      </c>
      <c r="K591" s="25">
        <v>1</v>
      </c>
      <c r="L591" s="25">
        <v>1</v>
      </c>
      <c r="M591" s="25">
        <v>1</v>
      </c>
      <c r="P591" s="25"/>
    </row>
    <row r="592" spans="3:16">
      <c r="C592" s="22" t="s">
        <v>2665</v>
      </c>
      <c r="D592" t="str">
        <f>VLOOKUP(Table3[[#This Row],[Employee No.]],Table1_1[[Employee No.]:[Employee Name]],2,FALSE)</f>
        <v>NUR NABILAH HUSNA BINTI NOOR APANDI</v>
      </c>
      <c r="E592" t="str">
        <f>VLOOKUP(Table3[[#This Row],[Employee No.]],Table1_1[[Employee No.]:[Department]],6,FALSE)</f>
        <v>BBT</v>
      </c>
      <c r="F592" t="str">
        <f>VLOOKUP(Table3[[#This Row],[Employee No.]],Table1_1[[Employee No.]:[Gender]],7,FALSE)</f>
        <v>F</v>
      </c>
      <c r="G592" t="str">
        <f>VLOOKUP(Table3[[#This Row],[Employee No.]],Table1_1[[Employee No.]:[Shift]],9,FALSE)</f>
        <v>SHIFT E</v>
      </c>
      <c r="H592" s="25">
        <v>0</v>
      </c>
      <c r="I592" s="25">
        <v>1</v>
      </c>
      <c r="J592" s="25">
        <v>1</v>
      </c>
      <c r="K592" s="25">
        <v>1</v>
      </c>
      <c r="L592" s="25">
        <v>1</v>
      </c>
      <c r="M592" s="25">
        <v>1</v>
      </c>
    </row>
    <row r="593" spans="3:16">
      <c r="C593" s="22" t="s">
        <v>2669</v>
      </c>
      <c r="D593" t="str">
        <f>VLOOKUP(Table3[[#This Row],[Employee No.]],Table1_1[[Employee No.]:[Employee Name]],2,FALSE)</f>
        <v>FARHANA BINTI SANUDDIN</v>
      </c>
      <c r="E593" t="str">
        <f>VLOOKUP(Table3[[#This Row],[Employee No.]],Table1_1[[Employee No.]:[Department]],6,FALSE)</f>
        <v>QUALITY</v>
      </c>
      <c r="F593" t="str">
        <f>VLOOKUP(Table3[[#This Row],[Employee No.]],Table1_1[[Employee No.]:[Gender]],7,FALSE)</f>
        <v>F</v>
      </c>
      <c r="G593" t="str">
        <f>VLOOKUP(Table3[[#This Row],[Employee No.]],Table1_1[[Employee No.]:[Shift]],9,FALSE)</f>
        <v>SHIFT A</v>
      </c>
      <c r="H593" s="25">
        <v>1</v>
      </c>
      <c r="I593" s="25">
        <v>1</v>
      </c>
      <c r="J593" s="25">
        <v>1</v>
      </c>
      <c r="K593" s="25">
        <v>1</v>
      </c>
      <c r="L593" s="25">
        <v>1</v>
      </c>
      <c r="M593" s="25">
        <v>1</v>
      </c>
    </row>
    <row r="594" spans="3:16">
      <c r="C594" s="22" t="s">
        <v>2673</v>
      </c>
      <c r="D594" t="str">
        <f>VLOOKUP(Table3[[#This Row],[Employee No.]],Table1_1[[Employee No.]:[Employee Name]],2,FALSE)</f>
        <v>SITI NUR NAJIHAH BINTI MAHANI</v>
      </c>
      <c r="E594" t="str">
        <f>VLOOKUP(Table3[[#This Row],[Employee No.]],Table1_1[[Employee No.]:[Department]],6,FALSE)</f>
        <v>MLB</v>
      </c>
      <c r="F594" t="str">
        <f>VLOOKUP(Table3[[#This Row],[Employee No.]],Table1_1[[Employee No.]:[Gender]],7,FALSE)</f>
        <v>F</v>
      </c>
      <c r="G594" t="str">
        <f>VLOOKUP(Table3[[#This Row],[Employee No.]],Table1_1[[Employee No.]:[Shift]],9,FALSE)</f>
        <v>SHIFT A</v>
      </c>
      <c r="H594" s="25">
        <v>1</v>
      </c>
      <c r="I594" s="25">
        <v>1</v>
      </c>
      <c r="J594" s="25">
        <v>1</v>
      </c>
      <c r="K594" s="25">
        <v>1</v>
      </c>
      <c r="L594" s="25">
        <v>1</v>
      </c>
      <c r="M594" s="25">
        <v>1</v>
      </c>
    </row>
    <row r="595" spans="3:16">
      <c r="C595" s="22" t="s">
        <v>2681</v>
      </c>
      <c r="D595" t="str">
        <f>VLOOKUP(Table3[[#This Row],[Employee No.]],Table1_1[[Employee No.]:[Employee Name]],2,FALSE)</f>
        <v>MOHAMAD FIRDAUS BIN ISMAIL</v>
      </c>
      <c r="E595" t="str">
        <f>VLOOKUP(Table3[[#This Row],[Employee No.]],Table1_1[[Employee No.]:[Department]],6,FALSE)</f>
        <v>RODI</v>
      </c>
      <c r="F595" t="str">
        <f>VLOOKUP(Table3[[#This Row],[Employee No.]],Table1_1[[Employee No.]:[Gender]],7,FALSE)</f>
        <v>M</v>
      </c>
      <c r="G595" t="str">
        <f>VLOOKUP(Table3[[#This Row],[Employee No.]],Table1_1[[Employee No.]:[Shift]],9,FALSE)</f>
        <v>SHIFT B</v>
      </c>
      <c r="H595" s="25">
        <v>1</v>
      </c>
      <c r="I595" s="25">
        <v>1</v>
      </c>
      <c r="J595" s="25">
        <v>1</v>
      </c>
      <c r="K595" s="25">
        <v>1</v>
      </c>
      <c r="L595" s="25">
        <v>1</v>
      </c>
      <c r="M595" s="25">
        <v>1</v>
      </c>
    </row>
    <row r="596" spans="3:16">
      <c r="C596" s="22" t="s">
        <v>2685</v>
      </c>
      <c r="D596" t="str">
        <f>VLOOKUP(Table3[[#This Row],[Employee No.]],Table1_1[[Employee No.]:[Employee Name]],2,FALSE)</f>
        <v>NORZARIFAH SYAZWANI BINTI NORDIN</v>
      </c>
      <c r="E596" t="str">
        <f>VLOOKUP(Table3[[#This Row],[Employee No.]],Table1_1[[Employee No.]:[Department]],6,FALSE)</f>
        <v>QUALITY</v>
      </c>
      <c r="F596" t="str">
        <f>VLOOKUP(Table3[[#This Row],[Employee No.]],Table1_1[[Employee No.]:[Gender]],7,FALSE)</f>
        <v>F</v>
      </c>
      <c r="G596" t="str">
        <f>VLOOKUP(Table3[[#This Row],[Employee No.]],Table1_1[[Employee No.]:[Shift]],9,FALSE)</f>
        <v>SHIFT B</v>
      </c>
      <c r="H596" s="25">
        <v>1</v>
      </c>
      <c r="I596" s="25">
        <v>1</v>
      </c>
      <c r="J596" s="25">
        <v>1</v>
      </c>
      <c r="K596" s="25">
        <v>1</v>
      </c>
      <c r="L596" s="25">
        <v>1</v>
      </c>
      <c r="M596" s="25">
        <v>1</v>
      </c>
    </row>
    <row r="597" spans="3:16">
      <c r="C597" s="22" t="s">
        <v>2693</v>
      </c>
      <c r="D597" t="str">
        <f>VLOOKUP(Table3[[#This Row],[Employee No.]],Table1_1[[Employee No.]:[Employee Name]],2,FALSE)</f>
        <v>MUHAMMAD AMIRUL AKMAL BIN MOHAMAD SABRI</v>
      </c>
      <c r="E597" t="str">
        <f>VLOOKUP(Table3[[#This Row],[Employee No.]],Table1_1[[Employee No.]:[Department]],6,FALSE)</f>
        <v>FACILITY</v>
      </c>
      <c r="F597" t="str">
        <f>VLOOKUP(Table3[[#This Row],[Employee No.]],Table1_1[[Employee No.]:[Gender]],7,FALSE)</f>
        <v>M</v>
      </c>
      <c r="G597" t="str">
        <f>VLOOKUP(Table3[[#This Row],[Employee No.]],Table1_1[[Employee No.]:[Shift]],9,FALSE)</f>
        <v>SHIFT A</v>
      </c>
      <c r="H597" s="25">
        <v>1</v>
      </c>
      <c r="I597" s="25">
        <v>1</v>
      </c>
      <c r="J597" s="25">
        <v>1</v>
      </c>
      <c r="K597" s="25">
        <v>1</v>
      </c>
      <c r="L597" s="25">
        <v>1</v>
      </c>
      <c r="M597" s="25">
        <v>1</v>
      </c>
    </row>
    <row r="598" spans="3:16">
      <c r="C598" s="22" t="s">
        <v>2725</v>
      </c>
      <c r="D598" t="str">
        <f>VLOOKUP(Table3[[#This Row],[Employee No.]],Table1_1[[Employee No.]:[Employee Name]],2,FALSE)</f>
        <v>THIBBEN RAJ A/L TANIMALEI</v>
      </c>
      <c r="E598" t="str">
        <f>VLOOKUP(Table3[[#This Row],[Employee No.]],Table1_1[[Employee No.]:[Department]],6,FALSE)</f>
        <v>FACILITY</v>
      </c>
      <c r="F598" t="str">
        <f>VLOOKUP(Table3[[#This Row],[Employee No.]],Table1_1[[Employee No.]:[Gender]],7,FALSE)</f>
        <v>M</v>
      </c>
      <c r="G598" t="str">
        <f>VLOOKUP(Table3[[#This Row],[Employee No.]],Table1_1[[Employee No.]:[Shift]],9,FALSE)</f>
        <v>SHIFT B</v>
      </c>
      <c r="H598" s="25">
        <v>1</v>
      </c>
      <c r="I598" s="25">
        <v>1</v>
      </c>
      <c r="J598" s="25">
        <v>1</v>
      </c>
      <c r="K598" s="25">
        <v>1</v>
      </c>
      <c r="L598" s="25">
        <v>1</v>
      </c>
      <c r="M598" s="25">
        <v>0</v>
      </c>
    </row>
    <row r="599" spans="3:16">
      <c r="C599" s="22" t="s">
        <v>2729</v>
      </c>
      <c r="D599" t="str">
        <f>VLOOKUP(Table3[[#This Row],[Employee No.]],Table1_1[[Employee No.]:[Employee Name]],2,FALSE)</f>
        <v>ABU BAKAR BIN ISOBALI</v>
      </c>
      <c r="E599" t="str">
        <f>VLOOKUP(Table3[[#This Row],[Employee No.]],Table1_1[[Employee No.]:[Department]],6,FALSE)</f>
        <v>FACILITY</v>
      </c>
      <c r="F599" t="str">
        <f>VLOOKUP(Table3[[#This Row],[Employee No.]],Table1_1[[Employee No.]:[Gender]],7,FALSE)</f>
        <v>M</v>
      </c>
      <c r="G599" t="str">
        <f>VLOOKUP(Table3[[#This Row],[Employee No.]],Table1_1[[Employee No.]:[Shift]],9,FALSE)</f>
        <v>SHIFT A</v>
      </c>
      <c r="H599" s="25">
        <v>1</v>
      </c>
      <c r="I599" s="25">
        <v>1</v>
      </c>
      <c r="J599" s="25">
        <v>1</v>
      </c>
      <c r="K599" s="25">
        <v>1</v>
      </c>
      <c r="L599" s="25">
        <v>1</v>
      </c>
      <c r="M599" s="25">
        <v>1</v>
      </c>
    </row>
    <row r="600" spans="3:16">
      <c r="C600" s="22" t="s">
        <v>2765</v>
      </c>
      <c r="D600" t="str">
        <f>VLOOKUP(Table3[[#This Row],[Employee No.]],Table1_1[[Employee No.]:[Employee Name]],2,FALSE)</f>
        <v>MUHAMMAD NAIM HAIKAL BIN MOHD HAFID</v>
      </c>
      <c r="E600" t="str">
        <f>VLOOKUP(Table3[[#This Row],[Employee No.]],Table1_1[[Employee No.]:[Department]],6,FALSE)</f>
        <v>EQUIPMENT</v>
      </c>
      <c r="F600" t="str">
        <f>VLOOKUP(Table3[[#This Row],[Employee No.]],Table1_1[[Employee No.]:[Gender]],7,FALSE)</f>
        <v>M</v>
      </c>
      <c r="G600" t="str">
        <f>VLOOKUP(Table3[[#This Row],[Employee No.]],Table1_1[[Employee No.]:[Shift]],9,FALSE)</f>
        <v>SHIFT O</v>
      </c>
      <c r="H600" s="25">
        <v>0</v>
      </c>
      <c r="I600" s="25">
        <v>1</v>
      </c>
      <c r="J600" s="25">
        <v>1</v>
      </c>
      <c r="K600" s="25">
        <v>1</v>
      </c>
      <c r="L600" s="25">
        <v>1</v>
      </c>
      <c r="M600" s="25">
        <v>0</v>
      </c>
    </row>
    <row r="601" spans="3:16">
      <c r="C601" s="22" t="s">
        <v>2769</v>
      </c>
      <c r="D601" t="str">
        <f>VLOOKUP(Table3[[#This Row],[Employee No.]],Table1_1[[Employee No.]:[Employee Name]],2,FALSE)</f>
        <v>JEYANISWARAN A/L SUBRAMANIAM</v>
      </c>
      <c r="E601" t="str">
        <f>VLOOKUP(Table3[[#This Row],[Employee No.]],Table1_1[[Employee No.]:[Department]],6,FALSE)</f>
        <v>EQUIPMENT</v>
      </c>
      <c r="F601" t="str">
        <f>VLOOKUP(Table3[[#This Row],[Employee No.]],Table1_1[[Employee No.]:[Gender]],7,FALSE)</f>
        <v>M</v>
      </c>
      <c r="G601" t="str">
        <f>VLOOKUP(Table3[[#This Row],[Employee No.]],Table1_1[[Employee No.]:[Shift]],9,FALSE)</f>
        <v>SHIFT B</v>
      </c>
      <c r="H601" s="25">
        <v>1</v>
      </c>
      <c r="I601" s="25">
        <v>1</v>
      </c>
      <c r="J601" s="25">
        <v>1</v>
      </c>
      <c r="K601" s="25">
        <v>1</v>
      </c>
      <c r="L601" s="25">
        <v>1</v>
      </c>
      <c r="M601" s="25">
        <v>0</v>
      </c>
    </row>
    <row r="602" spans="3:16">
      <c r="C602" s="22" t="s">
        <v>2787</v>
      </c>
      <c r="D602" t="str">
        <f>VLOOKUP(Table3[[#This Row],[Employee No.]],Table1_1[[Employee No.]:[Employee Name]],2,FALSE)</f>
        <v>KHAIRIL ANAS BIN MOHD YUSLI</v>
      </c>
      <c r="E602" t="str">
        <f>VLOOKUP(Table3[[#This Row],[Employee No.]],Table1_1[[Employee No.]:[Department]],6,FALSE)</f>
        <v>BBT</v>
      </c>
      <c r="F602" t="str">
        <f>VLOOKUP(Table3[[#This Row],[Employee No.]],Table1_1[[Employee No.]:[Gender]],7,FALSE)</f>
        <v>M</v>
      </c>
      <c r="G602" t="str">
        <f>VLOOKUP(Table3[[#This Row],[Employee No.]],Table1_1[[Employee No.]:[Shift]],9,FALSE)</f>
        <v>SHIFT B</v>
      </c>
      <c r="H602" s="25">
        <v>1</v>
      </c>
      <c r="I602" s="25">
        <v>1</v>
      </c>
      <c r="J602" s="25">
        <v>1</v>
      </c>
      <c r="K602" s="25">
        <v>1</v>
      </c>
      <c r="L602" s="25">
        <v>1</v>
      </c>
      <c r="M602" s="25">
        <v>1</v>
      </c>
    </row>
    <row r="603" spans="3:16">
      <c r="C603" s="22" t="s">
        <v>2791</v>
      </c>
      <c r="D603" t="str">
        <f>VLOOKUP(Table3[[#This Row],[Employee No.]],Table1_1[[Employee No.]:[Employee Name]],2,FALSE)</f>
        <v>AMIR HUSAINI BIN MOHD ZUBIR</v>
      </c>
      <c r="E603" t="str">
        <f>VLOOKUP(Table3[[#This Row],[Employee No.]],Table1_1[[Employee No.]:[Department]],6,FALSE)</f>
        <v>BBT</v>
      </c>
      <c r="F603" t="str">
        <f>VLOOKUP(Table3[[#This Row],[Employee No.]],Table1_1[[Employee No.]:[Gender]],7,FALSE)</f>
        <v>M</v>
      </c>
      <c r="G603" t="str">
        <f>VLOOKUP(Table3[[#This Row],[Employee No.]],Table1_1[[Employee No.]:[Shift]],9,FALSE)</f>
        <v>SHIFT A</v>
      </c>
      <c r="H603" s="25">
        <v>1</v>
      </c>
      <c r="I603" s="25">
        <v>1</v>
      </c>
      <c r="J603" s="25">
        <v>1</v>
      </c>
      <c r="K603" s="25">
        <v>1</v>
      </c>
      <c r="L603" s="25">
        <v>1</v>
      </c>
      <c r="M603" s="25">
        <v>0</v>
      </c>
    </row>
    <row r="604" spans="3:16">
      <c r="C604" s="22" t="s">
        <v>2795</v>
      </c>
      <c r="D604" t="str">
        <f>VLOOKUP(Table3[[#This Row],[Employee No.]],Table1_1[[Employee No.]:[Employee Name]],2,FALSE)</f>
        <v>ASYRANI BIN ABDUL AZIZ</v>
      </c>
      <c r="E604" t="str">
        <f>VLOOKUP(Table3[[#This Row],[Employee No.]],Table1_1[[Employee No.]:[Department]],6,FALSE)</f>
        <v>BBT</v>
      </c>
      <c r="F604" t="str">
        <f>VLOOKUP(Table3[[#This Row],[Employee No.]],Table1_1[[Employee No.]:[Gender]],7,FALSE)</f>
        <v>M</v>
      </c>
      <c r="G604" t="str">
        <f>VLOOKUP(Table3[[#This Row],[Employee No.]],Table1_1[[Employee No.]:[Shift]],9,FALSE)</f>
        <v>SHIFT E</v>
      </c>
      <c r="H604" s="25">
        <v>0</v>
      </c>
      <c r="I604" s="25">
        <v>1</v>
      </c>
      <c r="J604" s="25">
        <v>1</v>
      </c>
      <c r="K604" s="25">
        <v>1</v>
      </c>
      <c r="L604" s="25">
        <v>1</v>
      </c>
      <c r="M604" s="25">
        <v>1</v>
      </c>
    </row>
    <row r="605" spans="3:16">
      <c r="C605" s="22" t="s">
        <v>2799</v>
      </c>
      <c r="D605" t="str">
        <f>VLOOKUP(Table3[[#This Row],[Employee No.]],Table1_1[[Employee No.]:[Employee Name]],2,FALSE)</f>
        <v>AIN NUR SYAHIELA BINTI AHMAD</v>
      </c>
      <c r="E605" t="str">
        <f>VLOOKUP(Table3[[#This Row],[Employee No.]],Table1_1[[Employee No.]:[Department]],6,FALSE)</f>
        <v>QUALITY</v>
      </c>
      <c r="F605" t="str">
        <f>VLOOKUP(Table3[[#This Row],[Employee No.]],Table1_1[[Employee No.]:[Gender]],7,FALSE)</f>
        <v>F</v>
      </c>
      <c r="G605" t="str">
        <f>VLOOKUP(Table3[[#This Row],[Employee No.]],Table1_1[[Employee No.]:[Shift]],9,FALSE)</f>
        <v>SHIFT A</v>
      </c>
      <c r="H605" s="25">
        <v>1</v>
      </c>
      <c r="I605" s="25">
        <v>1</v>
      </c>
      <c r="J605" s="25">
        <v>0</v>
      </c>
      <c r="K605" s="25">
        <v>1</v>
      </c>
      <c r="L605" s="25">
        <v>1</v>
      </c>
      <c r="M605" s="25">
        <v>1</v>
      </c>
    </row>
    <row r="606" spans="3:16">
      <c r="C606" s="22" t="s">
        <v>2803</v>
      </c>
      <c r="D606" t="str">
        <f>VLOOKUP(Table3[[#This Row],[Employee No.]],Table1_1[[Employee No.]:[Employee Name]],2,FALSE)</f>
        <v>MOHAMED ALIFF IQWAN BIN MOHAMED GHANI</v>
      </c>
      <c r="E606" t="str">
        <f>VLOOKUP(Table3[[#This Row],[Employee No.]],Table1_1[[Employee No.]:[Department]],6,FALSE)</f>
        <v>CU</v>
      </c>
      <c r="F606" t="str">
        <f>VLOOKUP(Table3[[#This Row],[Employee No.]],Table1_1[[Employee No.]:[Gender]],7,FALSE)</f>
        <v>M</v>
      </c>
      <c r="G606" t="str">
        <f>VLOOKUP(Table3[[#This Row],[Employee No.]],Table1_1[[Employee No.]:[Shift]],9,FALSE)</f>
        <v>SHIFT E</v>
      </c>
      <c r="H606" s="25">
        <v>0</v>
      </c>
      <c r="I606" s="25">
        <v>1</v>
      </c>
      <c r="J606" s="25">
        <v>1</v>
      </c>
      <c r="K606" s="25">
        <v>1</v>
      </c>
      <c r="L606" s="25">
        <v>1</v>
      </c>
      <c r="M606" s="25">
        <v>0</v>
      </c>
    </row>
    <row r="607" spans="3:16">
      <c r="C607" s="22" t="s">
        <v>2807</v>
      </c>
      <c r="D607" t="str">
        <f>VLOOKUP(Table3[[#This Row],[Employee No.]],Table1_1[[Employee No.]:[Employee Name]],2,FALSE)</f>
        <v>HAFIFUDDIN BIN MOHAMAD SALLEH</v>
      </c>
      <c r="E607" t="str">
        <f>VLOOKUP(Table3[[#This Row],[Employee No.]],Table1_1[[Employee No.]:[Department]],6,FALSE)</f>
        <v>DF</v>
      </c>
      <c r="F607" t="str">
        <f>VLOOKUP(Table3[[#This Row],[Employee No.]],Table1_1[[Employee No.]:[Gender]],7,FALSE)</f>
        <v>M</v>
      </c>
      <c r="G607" t="str">
        <f>VLOOKUP(Table3[[#This Row],[Employee No.]],Table1_1[[Employee No.]:[Shift]],9,FALSE)</f>
        <v>SHIFT B</v>
      </c>
      <c r="H607" s="25">
        <v>1</v>
      </c>
      <c r="I607" s="25">
        <v>1</v>
      </c>
      <c r="J607" s="25">
        <v>1</v>
      </c>
      <c r="K607" s="25">
        <v>1</v>
      </c>
      <c r="L607" s="25">
        <v>1</v>
      </c>
      <c r="M607" s="25">
        <v>1</v>
      </c>
    </row>
    <row r="608" spans="3:16">
      <c r="C608" s="22" t="s">
        <v>2811</v>
      </c>
      <c r="D608" t="str">
        <f>VLOOKUP(Table3[[#This Row],[Employee No.]],Table1_1[[Employee No.]:[Employee Name]],2,FALSE)</f>
        <v>MUHAMAD NIZAM BIN MOHD SAMSUDDIN</v>
      </c>
      <c r="E608" t="str">
        <f>VLOOKUP(Table3[[#This Row],[Employee No.]],Table1_1[[Employee No.]:[Department]],6,FALSE)</f>
        <v>DF</v>
      </c>
      <c r="F608" t="str">
        <f>VLOOKUP(Table3[[#This Row],[Employee No.]],Table1_1[[Employee No.]:[Gender]],7,FALSE)</f>
        <v>M</v>
      </c>
      <c r="G608" t="str">
        <f>VLOOKUP(Table3[[#This Row],[Employee No.]],Table1_1[[Employee No.]:[Shift]],9,FALSE)</f>
        <v>SHIFT C</v>
      </c>
      <c r="H608" s="25">
        <v>1</v>
      </c>
      <c r="I608" s="25">
        <v>1</v>
      </c>
      <c r="J608" s="25">
        <v>1</v>
      </c>
      <c r="K608" s="25">
        <v>1</v>
      </c>
      <c r="L608" s="25">
        <v>1</v>
      </c>
      <c r="M608" s="25">
        <v>1</v>
      </c>
      <c r="P608" s="25"/>
    </row>
    <row r="609" spans="3:16">
      <c r="C609" s="22" t="s">
        <v>2815</v>
      </c>
      <c r="D609" t="str">
        <f>VLOOKUP(Table3[[#This Row],[Employee No.]],Table1_1[[Employee No.]:[Employee Name]],2,FALSE)</f>
        <v>DANUSH A/L LOGANATHAN</v>
      </c>
      <c r="E609" t="str">
        <f>VLOOKUP(Table3[[#This Row],[Employee No.]],Table1_1[[Employee No.]:[Department]],6,FALSE)</f>
        <v>DF</v>
      </c>
      <c r="F609" t="str">
        <f>VLOOKUP(Table3[[#This Row],[Employee No.]],Table1_1[[Employee No.]:[Gender]],7,FALSE)</f>
        <v>M</v>
      </c>
      <c r="G609" t="str">
        <f>VLOOKUP(Table3[[#This Row],[Employee No.]],Table1_1[[Employee No.]:[Shift]],9,FALSE)</f>
        <v>SHIFT A</v>
      </c>
      <c r="H609" s="25">
        <v>1</v>
      </c>
      <c r="I609" s="25">
        <v>1</v>
      </c>
      <c r="J609" s="25">
        <v>1</v>
      </c>
      <c r="K609" s="25">
        <v>1</v>
      </c>
      <c r="L609" s="25">
        <v>1</v>
      </c>
      <c r="M609" s="25">
        <v>1</v>
      </c>
    </row>
    <row r="610" spans="3:16">
      <c r="C610" s="22" t="s">
        <v>2819</v>
      </c>
      <c r="D610" t="str">
        <f>VLOOKUP(Table3[[#This Row],[Employee No.]],Table1_1[[Employee No.]:[Employee Name]],2,FALSE)</f>
        <v>NUR NAJIHAH BINTI MALIK</v>
      </c>
      <c r="E610" t="str">
        <f>VLOOKUP(Table3[[#This Row],[Employee No.]],Table1_1[[Employee No.]:[Department]],6,FALSE)</f>
        <v>FVI</v>
      </c>
      <c r="F610" t="str">
        <f>VLOOKUP(Table3[[#This Row],[Employee No.]],Table1_1[[Employee No.]:[Gender]],7,FALSE)</f>
        <v>F</v>
      </c>
      <c r="G610" t="str">
        <f>VLOOKUP(Table3[[#This Row],[Employee No.]],Table1_1[[Employee No.]:[Shift]],9,FALSE)</f>
        <v>SHIFT A</v>
      </c>
      <c r="H610" s="25">
        <v>1</v>
      </c>
      <c r="I610" s="25">
        <v>1</v>
      </c>
      <c r="J610" s="25">
        <v>0</v>
      </c>
      <c r="K610" s="25">
        <v>1</v>
      </c>
      <c r="L610" s="25">
        <v>1</v>
      </c>
      <c r="M610" s="25">
        <v>1</v>
      </c>
    </row>
    <row r="611" spans="3:16">
      <c r="C611" s="22" t="s">
        <v>2823</v>
      </c>
      <c r="D611" t="str">
        <f>VLOOKUP(Table3[[#This Row],[Employee No.]],Table1_1[[Employee No.]:[Employee Name]],2,FALSE)</f>
        <v>MUHAMMAD SYITS BIN MAT SANI</v>
      </c>
      <c r="E611" t="str">
        <f>VLOOKUP(Table3[[#This Row],[Employee No.]],Table1_1[[Employee No.]:[Department]],6,FALSE)</f>
        <v>FVI</v>
      </c>
      <c r="F611" t="str">
        <f>VLOOKUP(Table3[[#This Row],[Employee No.]],Table1_1[[Employee No.]:[Gender]],7,FALSE)</f>
        <v>M</v>
      </c>
      <c r="G611" t="str">
        <f>VLOOKUP(Table3[[#This Row],[Employee No.]],Table1_1[[Employee No.]:[Shift]],9,FALSE)</f>
        <v>SHIFT A</v>
      </c>
      <c r="H611" s="25">
        <v>1</v>
      </c>
      <c r="I611" s="25">
        <v>1</v>
      </c>
      <c r="J611" s="25">
        <v>1</v>
      </c>
      <c r="K611" s="25">
        <v>1</v>
      </c>
      <c r="L611" s="25">
        <v>1</v>
      </c>
      <c r="M611" s="25">
        <v>1</v>
      </c>
    </row>
    <row r="612" spans="3:16">
      <c r="C612" s="22" t="s">
        <v>2827</v>
      </c>
      <c r="D612" t="str">
        <f>VLOOKUP(Table3[[#This Row],[Employee No.]],Table1_1[[Employee No.]:[Employee Name]],2,FALSE)</f>
        <v>MOHAMAD FAIZAL IKMAL BIN MOHAMAD SALLEH</v>
      </c>
      <c r="E612" t="str">
        <f>VLOOKUP(Table3[[#This Row],[Employee No.]],Table1_1[[Employee No.]:[Department]],6,FALSE)</f>
        <v>DRILL</v>
      </c>
      <c r="F612" t="str">
        <f>VLOOKUP(Table3[[#This Row],[Employee No.]],Table1_1[[Employee No.]:[Gender]],7,FALSE)</f>
        <v>M</v>
      </c>
      <c r="G612" t="str">
        <f>VLOOKUP(Table3[[#This Row],[Employee No.]],Table1_1[[Employee No.]:[Shift]],9,FALSE)</f>
        <v>SHIFT A</v>
      </c>
      <c r="H612" s="25">
        <v>1</v>
      </c>
      <c r="I612" s="25">
        <v>0</v>
      </c>
      <c r="J612" s="25">
        <v>1</v>
      </c>
      <c r="K612" s="25">
        <v>1</v>
      </c>
      <c r="L612" s="25">
        <v>1</v>
      </c>
      <c r="M612" s="25">
        <v>1</v>
      </c>
    </row>
    <row r="613" spans="3:16">
      <c r="C613" s="22" t="s">
        <v>2831</v>
      </c>
      <c r="D613" t="str">
        <f>VLOOKUP(Table3[[#This Row],[Employee No.]],Table1_1[[Employee No.]:[Employee Name]],2,FALSE)</f>
        <v>MUHAMMAD ALIFF DANIEL BIN FAIEZAL</v>
      </c>
      <c r="E613" t="str">
        <f>VLOOKUP(Table3[[#This Row],[Employee No.]],Table1_1[[Employee No.]:[Department]],6,FALSE)</f>
        <v>DRILL</v>
      </c>
      <c r="F613" t="str">
        <f>VLOOKUP(Table3[[#This Row],[Employee No.]],Table1_1[[Employee No.]:[Gender]],7,FALSE)</f>
        <v>M</v>
      </c>
      <c r="G613" t="str">
        <f>VLOOKUP(Table3[[#This Row],[Employee No.]],Table1_1[[Employee No.]:[Shift]],9,FALSE)</f>
        <v>SHIFT C</v>
      </c>
      <c r="H613" s="25">
        <v>1</v>
      </c>
      <c r="I613" s="25">
        <v>1</v>
      </c>
      <c r="J613" s="25">
        <v>1</v>
      </c>
      <c r="K613" s="25">
        <v>1</v>
      </c>
      <c r="L613" s="25">
        <v>1</v>
      </c>
      <c r="M613" s="25">
        <v>1</v>
      </c>
      <c r="P613" s="25"/>
    </row>
    <row r="614" spans="3:16">
      <c r="C614" s="22" t="s">
        <v>2835</v>
      </c>
      <c r="D614" t="str">
        <f>VLOOKUP(Table3[[#This Row],[Employee No.]],Table1_1[[Employee No.]:[Employee Name]],2,FALSE)</f>
        <v>NUR YUSRAISHA AIDA BINTI YUSOFF</v>
      </c>
      <c r="E614" t="str">
        <f>VLOOKUP(Table3[[#This Row],[Employee No.]],Table1_1[[Employee No.]:[Department]],6,FALSE)</f>
        <v>QUALITY</v>
      </c>
      <c r="F614" t="str">
        <f>VLOOKUP(Table3[[#This Row],[Employee No.]],Table1_1[[Employee No.]:[Gender]],7,FALSE)</f>
        <v>F</v>
      </c>
      <c r="G614" t="str">
        <f>VLOOKUP(Table3[[#This Row],[Employee No.]],Table1_1[[Employee No.]:[Shift]],9,FALSE)</f>
        <v>SHIFT C</v>
      </c>
      <c r="H614" s="25">
        <v>1</v>
      </c>
      <c r="I614" s="25">
        <v>1</v>
      </c>
      <c r="J614" s="25">
        <v>1</v>
      </c>
      <c r="K614" s="25">
        <v>1</v>
      </c>
      <c r="L614" s="25">
        <v>1</v>
      </c>
      <c r="M614" s="25">
        <v>0</v>
      </c>
      <c r="P614" s="25"/>
    </row>
    <row r="615" spans="3:16">
      <c r="C615" s="22" t="s">
        <v>2839</v>
      </c>
      <c r="D615" t="str">
        <f>VLOOKUP(Table3[[#This Row],[Employee No.]],Table1_1[[Employee No.]:[Employee Name]],2,FALSE)</f>
        <v>MOHAMAD NAZIM BIN JAMIL HAJAR</v>
      </c>
      <c r="E615" t="str">
        <f>VLOOKUP(Table3[[#This Row],[Employee No.]],Table1_1[[Employee No.]:[Department]],6,FALSE)</f>
        <v>PACKING</v>
      </c>
      <c r="F615" t="str">
        <f>VLOOKUP(Table3[[#This Row],[Employee No.]],Table1_1[[Employee No.]:[Gender]],7,FALSE)</f>
        <v>M</v>
      </c>
      <c r="G615" t="str">
        <f>VLOOKUP(Table3[[#This Row],[Employee No.]],Table1_1[[Employee No.]:[Shift]],9,FALSE)</f>
        <v>SHIFT B</v>
      </c>
      <c r="H615" s="25">
        <v>1</v>
      </c>
      <c r="I615" s="25">
        <v>1</v>
      </c>
      <c r="J615" s="25">
        <v>1</v>
      </c>
      <c r="K615" s="25">
        <v>1</v>
      </c>
      <c r="L615" s="25">
        <v>1</v>
      </c>
      <c r="M615" s="25">
        <v>1</v>
      </c>
    </row>
    <row r="616" spans="3:16">
      <c r="C616" s="22" t="s">
        <v>2843</v>
      </c>
      <c r="D616" t="str">
        <f>VLOOKUP(Table3[[#This Row],[Employee No.]],Table1_1[[Employee No.]:[Employee Name]],2,FALSE)</f>
        <v>FAZRUL FAEZ BIN KAMARULZAMAN</v>
      </c>
      <c r="E616" t="str">
        <f>VLOOKUP(Table3[[#This Row],[Employee No.]],Table1_1[[Employee No.]:[Department]],6,FALSE)</f>
        <v>PACKING</v>
      </c>
      <c r="F616" t="str">
        <f>VLOOKUP(Table3[[#This Row],[Employee No.]],Table1_1[[Employee No.]:[Gender]],7,FALSE)</f>
        <v>M</v>
      </c>
      <c r="G616" t="str">
        <f>VLOOKUP(Table3[[#This Row],[Employee No.]],Table1_1[[Employee No.]:[Shift]],9,FALSE)</f>
        <v>SHIFT C</v>
      </c>
      <c r="H616" s="25">
        <v>1</v>
      </c>
      <c r="I616" s="25">
        <v>1</v>
      </c>
      <c r="J616" s="25">
        <v>1</v>
      </c>
      <c r="K616" s="25">
        <v>1</v>
      </c>
      <c r="L616" s="25">
        <v>1</v>
      </c>
      <c r="M616" s="25">
        <v>1</v>
      </c>
      <c r="P616" s="25"/>
    </row>
    <row r="617" spans="3:16">
      <c r="C617" s="22" t="s">
        <v>2847</v>
      </c>
      <c r="D617" t="str">
        <f>VLOOKUP(Table3[[#This Row],[Employee No.]],Table1_1[[Employee No.]:[Employee Name]],2,FALSE)</f>
        <v>WAN SYARMA ADILA BINTI WAN ISMAIL</v>
      </c>
      <c r="E617" t="str">
        <f>VLOOKUP(Table3[[#This Row],[Employee No.]],Table1_1[[Employee No.]:[Department]],6,FALSE)</f>
        <v>QUALITY</v>
      </c>
      <c r="F617" t="str">
        <f>VLOOKUP(Table3[[#This Row],[Employee No.]],Table1_1[[Employee No.]:[Gender]],7,FALSE)</f>
        <v>F</v>
      </c>
      <c r="G617" t="str">
        <f>VLOOKUP(Table3[[#This Row],[Employee No.]],Table1_1[[Employee No.]:[Shift]],9,FALSE)</f>
        <v>SHIFT B</v>
      </c>
      <c r="H617" s="25">
        <v>1</v>
      </c>
      <c r="I617" s="25">
        <v>1</v>
      </c>
      <c r="J617" s="25">
        <v>1</v>
      </c>
      <c r="K617" s="25">
        <v>1</v>
      </c>
      <c r="L617" s="25">
        <v>1</v>
      </c>
      <c r="M617" s="25">
        <v>1</v>
      </c>
    </row>
    <row r="618" spans="3:16">
      <c r="C618" s="22" t="s">
        <v>2851</v>
      </c>
      <c r="D618" t="str">
        <f>VLOOKUP(Table3[[#This Row],[Employee No.]],Table1_1[[Employee No.]:[Employee Name]],2,FALSE)</f>
        <v>MOHAMMAD FAIZMI BIN AHMAD C B</v>
      </c>
      <c r="E618" t="str">
        <f>VLOOKUP(Table3[[#This Row],[Employee No.]],Table1_1[[Employee No.]:[Department]],6,FALSE)</f>
        <v>ROUTER</v>
      </c>
      <c r="F618" t="str">
        <f>VLOOKUP(Table3[[#This Row],[Employee No.]],Table1_1[[Employee No.]:[Gender]],7,FALSE)</f>
        <v>M</v>
      </c>
      <c r="G618" t="str">
        <f>VLOOKUP(Table3[[#This Row],[Employee No.]],Table1_1[[Employee No.]:[Shift]],9,FALSE)</f>
        <v>SHIFT C</v>
      </c>
      <c r="H618" s="25">
        <v>1</v>
      </c>
      <c r="I618" s="25">
        <v>1</v>
      </c>
      <c r="J618" s="25">
        <v>1</v>
      </c>
      <c r="K618" s="25">
        <v>1</v>
      </c>
      <c r="L618" s="25">
        <v>1</v>
      </c>
      <c r="M618" s="25">
        <v>1</v>
      </c>
      <c r="P618" s="25"/>
    </row>
    <row r="619" spans="3:16">
      <c r="C619" s="22" t="s">
        <v>2855</v>
      </c>
      <c r="D619" t="str">
        <f>VLOOKUP(Table3[[#This Row],[Employee No.]],Table1_1[[Employee No.]:[Employee Name]],2,FALSE)</f>
        <v>ALHANA PUTERI BINTI SHAMSUDDIN</v>
      </c>
      <c r="E619" t="str">
        <f>VLOOKUP(Table3[[#This Row],[Employee No.]],Table1_1[[Employee No.]:[Department]],6,FALSE)</f>
        <v>CHAMFER</v>
      </c>
      <c r="F619" t="str">
        <f>VLOOKUP(Table3[[#This Row],[Employee No.]],Table1_1[[Employee No.]:[Gender]],7,FALSE)</f>
        <v>F</v>
      </c>
      <c r="G619" t="str">
        <f>VLOOKUP(Table3[[#This Row],[Employee No.]],Table1_1[[Employee No.]:[Shift]],9,FALSE)</f>
        <v>SHIFT B</v>
      </c>
      <c r="H619" s="25">
        <v>1</v>
      </c>
      <c r="I619" s="25">
        <v>1</v>
      </c>
      <c r="J619" s="25">
        <v>1</v>
      </c>
      <c r="K619" s="25">
        <v>1</v>
      </c>
      <c r="L619" s="25">
        <v>1</v>
      </c>
      <c r="M619" s="25">
        <v>1</v>
      </c>
    </row>
    <row r="620" spans="3:16">
      <c r="C620" s="22" t="s">
        <v>2859</v>
      </c>
      <c r="D620" t="str">
        <f>VLOOKUP(Table3[[#This Row],[Employee No.]],Table1_1[[Employee No.]:[Employee Name]],2,FALSE)</f>
        <v>MUHAMMAD IQBAL BIN MHD FAZDLEE</v>
      </c>
      <c r="E620" t="str">
        <f>VLOOKUP(Table3[[#This Row],[Employee No.]],Table1_1[[Employee No.]:[Department]],6,FALSE)</f>
        <v>SM</v>
      </c>
      <c r="F620" t="str">
        <f>VLOOKUP(Table3[[#This Row],[Employee No.]],Table1_1[[Employee No.]:[Gender]],7,FALSE)</f>
        <v>M</v>
      </c>
      <c r="G620" t="str">
        <f>VLOOKUP(Table3[[#This Row],[Employee No.]],Table1_1[[Employee No.]:[Shift]],9,FALSE)</f>
        <v>SHIFT C</v>
      </c>
      <c r="H620" s="25">
        <v>1</v>
      </c>
      <c r="I620" s="25">
        <v>1</v>
      </c>
      <c r="J620" s="25">
        <v>1</v>
      </c>
      <c r="K620" s="25">
        <v>1</v>
      </c>
      <c r="L620" s="25">
        <v>1</v>
      </c>
      <c r="M620" s="25">
        <v>1</v>
      </c>
      <c r="P620" s="25"/>
    </row>
    <row r="621" spans="3:16">
      <c r="C621" s="22" t="s">
        <v>2863</v>
      </c>
      <c r="D621" t="str">
        <f>VLOOKUP(Table3[[#This Row],[Employee No.]],Table1_1[[Employee No.]:[Employee Name]],2,FALSE)</f>
        <v>NURUL ASMA' BINTI AHMAD NASARUDDIN</v>
      </c>
      <c r="E621" t="str">
        <f>VLOOKUP(Table3[[#This Row],[Employee No.]],Table1_1[[Employee No.]:[Department]],6,FALSE)</f>
        <v>SM</v>
      </c>
      <c r="F621" t="str">
        <f>VLOOKUP(Table3[[#This Row],[Employee No.]],Table1_1[[Employee No.]:[Gender]],7,FALSE)</f>
        <v>F</v>
      </c>
      <c r="G621" t="str">
        <f>VLOOKUP(Table3[[#This Row],[Employee No.]],Table1_1[[Employee No.]:[Shift]],9,FALSE)</f>
        <v>SHIFT E</v>
      </c>
      <c r="H621" s="25">
        <v>0</v>
      </c>
      <c r="I621" s="25">
        <v>1</v>
      </c>
      <c r="J621" s="25">
        <v>1</v>
      </c>
      <c r="K621" s="25">
        <v>1</v>
      </c>
      <c r="L621" s="25">
        <v>1</v>
      </c>
      <c r="M621" s="25">
        <v>1</v>
      </c>
    </row>
    <row r="622" spans="3:16">
      <c r="C622" s="22" t="s">
        <v>2867</v>
      </c>
      <c r="D622" t="str">
        <f>VLOOKUP(Table3[[#This Row],[Employee No.]],Table1_1[[Employee No.]:[Employee Name]],2,FALSE)</f>
        <v>ABDUL SAMAD BIN JAAFAR</v>
      </c>
      <c r="E622" t="str">
        <f>VLOOKUP(Table3[[#This Row],[Employee No.]],Table1_1[[Employee No.]:[Department]],6,FALSE)</f>
        <v>SM</v>
      </c>
      <c r="F622" t="str">
        <f>VLOOKUP(Table3[[#This Row],[Employee No.]],Table1_1[[Employee No.]:[Gender]],7,FALSE)</f>
        <v>M</v>
      </c>
      <c r="G622" t="str">
        <f>VLOOKUP(Table3[[#This Row],[Employee No.]],Table1_1[[Employee No.]:[Shift]],9,FALSE)</f>
        <v>SHIFT B</v>
      </c>
      <c r="H622" s="25">
        <v>1</v>
      </c>
      <c r="I622" s="25">
        <v>1</v>
      </c>
      <c r="J622" s="25">
        <v>1</v>
      </c>
      <c r="K622" s="25">
        <v>1</v>
      </c>
      <c r="L622" s="25">
        <v>1</v>
      </c>
      <c r="M622" s="25">
        <v>1</v>
      </c>
    </row>
    <row r="623" spans="3:16">
      <c r="C623" s="22" t="s">
        <v>2871</v>
      </c>
      <c r="D623" t="str">
        <f>VLOOKUP(Table3[[#This Row],[Employee No.]],Table1_1[[Employee No.]:[Employee Name]],2,FALSE)</f>
        <v>MUHAMMAD SUFIAN BIN SEDEK</v>
      </c>
      <c r="E623" t="str">
        <f>VLOOKUP(Table3[[#This Row],[Employee No.]],Table1_1[[Employee No.]:[Department]],6,FALSE)</f>
        <v>SM</v>
      </c>
      <c r="F623" t="str">
        <f>VLOOKUP(Table3[[#This Row],[Employee No.]],Table1_1[[Employee No.]:[Gender]],7,FALSE)</f>
        <v>M</v>
      </c>
      <c r="G623" t="str">
        <f>VLOOKUP(Table3[[#This Row],[Employee No.]],Table1_1[[Employee No.]:[Shift]],9,FALSE)</f>
        <v>SHIFT E</v>
      </c>
      <c r="H623" s="25">
        <v>0</v>
      </c>
      <c r="I623" s="25">
        <v>1</v>
      </c>
      <c r="J623" s="25">
        <v>1</v>
      </c>
      <c r="K623" s="25">
        <v>0</v>
      </c>
      <c r="L623" s="25">
        <v>0</v>
      </c>
      <c r="M623" s="25">
        <v>0</v>
      </c>
    </row>
    <row r="624" spans="3:16">
      <c r="C624" s="22" t="s">
        <v>2875</v>
      </c>
      <c r="D624" t="str">
        <f>VLOOKUP(Table3[[#This Row],[Employee No.]],Table1_1[[Employee No.]:[Employee Name]],2,FALSE)</f>
        <v>MUHAMMAD AMIRUL MUSTAQIM BIN MUHAMAD A'DLI</v>
      </c>
      <c r="E624" t="str">
        <f>VLOOKUP(Table3[[#This Row],[Employee No.]],Table1_1[[Employee No.]:[Department]],6,FALSE)</f>
        <v>SM</v>
      </c>
      <c r="F624" t="str">
        <f>VLOOKUP(Table3[[#This Row],[Employee No.]],Table1_1[[Employee No.]:[Gender]],7,FALSE)</f>
        <v>M</v>
      </c>
      <c r="G624" t="str">
        <f>VLOOKUP(Table3[[#This Row],[Employee No.]],Table1_1[[Employee No.]:[Shift]],9,FALSE)</f>
        <v>SHIFT C</v>
      </c>
      <c r="H624" s="25">
        <v>1</v>
      </c>
      <c r="I624" s="25">
        <v>1</v>
      </c>
      <c r="J624" s="25">
        <v>1</v>
      </c>
      <c r="K624" s="25">
        <v>1</v>
      </c>
      <c r="L624" s="25">
        <v>1</v>
      </c>
      <c r="M624" s="25">
        <v>1</v>
      </c>
      <c r="P624" s="25"/>
    </row>
    <row r="625" spans="3:16">
      <c r="C625" s="22" t="s">
        <v>2879</v>
      </c>
      <c r="D625" t="str">
        <f>VLOOKUP(Table3[[#This Row],[Employee No.]],Table1_1[[Employee No.]:[Employee Name]],2,FALSE)</f>
        <v>NURUL SHAHIRA BINTI MOHD YUSOF</v>
      </c>
      <c r="E625" t="str">
        <f>VLOOKUP(Table3[[#This Row],[Employee No.]],Table1_1[[Employee No.]:[Department]],6,FALSE)</f>
        <v>DESIGN</v>
      </c>
      <c r="F625" t="str">
        <f>VLOOKUP(Table3[[#This Row],[Employee No.]],Table1_1[[Employee No.]:[Gender]],7,FALSE)</f>
        <v>F</v>
      </c>
      <c r="G625" t="str">
        <f>VLOOKUP(Table3[[#This Row],[Employee No.]],Table1_1[[Employee No.]:[Shift]],9,FALSE)</f>
        <v>SHIFT B</v>
      </c>
      <c r="H625" s="25">
        <v>1</v>
      </c>
      <c r="I625" s="25">
        <v>1</v>
      </c>
      <c r="J625" s="25">
        <v>1</v>
      </c>
      <c r="K625" s="25">
        <v>1</v>
      </c>
      <c r="L625" s="25">
        <v>1</v>
      </c>
      <c r="M625" s="25">
        <v>1</v>
      </c>
    </row>
    <row r="626" spans="3:16">
      <c r="C626" s="22" t="s">
        <v>2890</v>
      </c>
      <c r="D626" t="str">
        <f>VLOOKUP(Table3[[#This Row],[Employee No.]],Table1_1[[Employee No.]:[Employee Name]],2,FALSE)</f>
        <v>ADIBA BINTI SABRI</v>
      </c>
      <c r="E626" t="str">
        <f>VLOOKUP(Table3[[#This Row],[Employee No.]],Table1_1[[Employee No.]:[Department]],6,FALSE)</f>
        <v>HS</v>
      </c>
      <c r="F626" t="str">
        <f>VLOOKUP(Table3[[#This Row],[Employee No.]],Table1_1[[Employee No.]:[Gender]],7,FALSE)</f>
        <v>F</v>
      </c>
      <c r="G626" t="str">
        <f>VLOOKUP(Table3[[#This Row],[Employee No.]],Table1_1[[Employee No.]:[Shift]],9,FALSE)</f>
        <v>SHIFT B</v>
      </c>
      <c r="H626" s="25">
        <v>1</v>
      </c>
      <c r="I626" s="25">
        <v>1</v>
      </c>
      <c r="J626" s="25">
        <v>1</v>
      </c>
      <c r="K626" s="25">
        <v>1</v>
      </c>
      <c r="L626" s="25">
        <v>1</v>
      </c>
      <c r="M626" s="25">
        <v>1</v>
      </c>
    </row>
    <row r="627" spans="3:16">
      <c r="C627" s="22" t="s">
        <v>2906</v>
      </c>
      <c r="D627" t="str">
        <f>VLOOKUP(Table3[[#This Row],[Employee No.]],Table1_1[[Employee No.]:[Employee Name]],2,FALSE)</f>
        <v>MUHAMAD FARIZOL HAFIZ BIN AMIRUDDIN</v>
      </c>
      <c r="E627" t="str">
        <f>VLOOKUP(Table3[[#This Row],[Employee No.]],Table1_1[[Employee No.]:[Department]],6,FALSE)</f>
        <v>FACILITY</v>
      </c>
      <c r="F627" t="str">
        <f>VLOOKUP(Table3[[#This Row],[Employee No.]],Table1_1[[Employee No.]:[Gender]],7,FALSE)</f>
        <v>M</v>
      </c>
      <c r="G627" t="str">
        <f>VLOOKUP(Table3[[#This Row],[Employee No.]],Table1_1[[Employee No.]:[Shift]],9,FALSE)</f>
        <v>SHIFT B</v>
      </c>
      <c r="H627" s="25">
        <v>1</v>
      </c>
      <c r="I627" s="25">
        <v>1</v>
      </c>
      <c r="J627" s="25">
        <v>1</v>
      </c>
      <c r="K627" s="25">
        <v>1</v>
      </c>
      <c r="L627" s="25">
        <v>1</v>
      </c>
      <c r="M627" s="25">
        <v>0</v>
      </c>
    </row>
    <row r="628" spans="3:16">
      <c r="C628" s="22" t="s">
        <v>2920</v>
      </c>
      <c r="D628" t="str">
        <f>VLOOKUP(Table3[[#This Row],[Employee No.]],Table1_1[[Employee No.]:[Employee Name]],2,FALSE)</f>
        <v>NUR HAZWANI BINTI CHE HASHIM</v>
      </c>
      <c r="E628" t="str">
        <f>VLOOKUP(Table3[[#This Row],[Employee No.]],Table1_1[[Employee No.]:[Department]],6,FALSE)</f>
        <v>AU</v>
      </c>
      <c r="F628" t="str">
        <f>VLOOKUP(Table3[[#This Row],[Employee No.]],Table1_1[[Employee No.]:[Gender]],7,FALSE)</f>
        <v>F</v>
      </c>
      <c r="G628" t="str">
        <f>VLOOKUP(Table3[[#This Row],[Employee No.]],Table1_1[[Employee No.]:[Shift]],9,FALSE)</f>
        <v>SHIFT B</v>
      </c>
      <c r="H628" s="25">
        <v>1</v>
      </c>
      <c r="I628" s="25">
        <v>1</v>
      </c>
      <c r="J628" s="25">
        <v>1</v>
      </c>
      <c r="K628" s="25">
        <v>1</v>
      </c>
      <c r="L628" s="25">
        <v>1</v>
      </c>
      <c r="M628" s="25">
        <v>1</v>
      </c>
    </row>
    <row r="629" spans="3:16">
      <c r="C629" s="22" t="s">
        <v>2924</v>
      </c>
      <c r="D629" t="str">
        <f>VLOOKUP(Table3[[#This Row],[Employee No.]],Table1_1[[Employee No.]:[Employee Name]],2,FALSE)</f>
        <v>NUR SUHANA BINTI ZAHARIN</v>
      </c>
      <c r="E629" t="str">
        <f>VLOOKUP(Table3[[#This Row],[Employee No.]],Table1_1[[Employee No.]:[Department]],6,FALSE)</f>
        <v>AOI</v>
      </c>
      <c r="F629" t="str">
        <f>VLOOKUP(Table3[[#This Row],[Employee No.]],Table1_1[[Employee No.]:[Gender]],7,FALSE)</f>
        <v>F</v>
      </c>
      <c r="G629" t="str">
        <f>VLOOKUP(Table3[[#This Row],[Employee No.]],Table1_1[[Employee No.]:[Shift]],9,FALSE)</f>
        <v>SHIFT E</v>
      </c>
      <c r="H629" s="25">
        <v>0</v>
      </c>
      <c r="I629" s="25">
        <v>0</v>
      </c>
      <c r="J629" s="25">
        <v>0</v>
      </c>
      <c r="K629" s="25">
        <v>0</v>
      </c>
      <c r="L629" s="25">
        <v>0</v>
      </c>
      <c r="M629" s="25">
        <v>1</v>
      </c>
    </row>
    <row r="630" spans="3:16">
      <c r="C630" s="22" t="s">
        <v>2928</v>
      </c>
      <c r="D630" t="str">
        <f>VLOOKUP(Table3[[#This Row],[Employee No.]],Table1_1[[Employee No.]:[Employee Name]],2,FALSE)</f>
        <v>MUHAMMAD HARITH BIN AZMAN</v>
      </c>
      <c r="E630" t="str">
        <f>VLOOKUP(Table3[[#This Row],[Employee No.]],Table1_1[[Employee No.]:[Department]],6,FALSE)</f>
        <v>SM</v>
      </c>
      <c r="F630" t="str">
        <f>VLOOKUP(Table3[[#This Row],[Employee No.]],Table1_1[[Employee No.]:[Gender]],7,FALSE)</f>
        <v>M</v>
      </c>
      <c r="G630" t="str">
        <f>VLOOKUP(Table3[[#This Row],[Employee No.]],Table1_1[[Employee No.]:[Shift]],9,FALSE)</f>
        <v>SHIFT B</v>
      </c>
      <c r="H630" s="25">
        <v>1</v>
      </c>
      <c r="I630" s="25">
        <v>1</v>
      </c>
      <c r="J630" s="25">
        <v>1</v>
      </c>
      <c r="K630" s="25">
        <v>1</v>
      </c>
      <c r="L630" s="25">
        <v>1</v>
      </c>
      <c r="M630" s="25">
        <v>1</v>
      </c>
    </row>
    <row r="631" spans="3:16">
      <c r="C631" s="22" t="s">
        <v>2932</v>
      </c>
      <c r="D631" t="str">
        <f>VLOOKUP(Table3[[#This Row],[Employee No.]],Table1_1[[Employee No.]:[Employee Name]],2,FALSE)</f>
        <v>MOHAMAD NAIM BIN ARBA'AI</v>
      </c>
      <c r="E631" t="str">
        <f>VLOOKUP(Table3[[#This Row],[Employee No.]],Table1_1[[Employee No.]:[Department]],6,FALSE)</f>
        <v>DF</v>
      </c>
      <c r="F631" t="str">
        <f>VLOOKUP(Table3[[#This Row],[Employee No.]],Table1_1[[Employee No.]:[Gender]],7,FALSE)</f>
        <v>M</v>
      </c>
      <c r="G631" t="str">
        <f>VLOOKUP(Table3[[#This Row],[Employee No.]],Table1_1[[Employee No.]:[Shift]],9,FALSE)</f>
        <v>SHIFT A</v>
      </c>
      <c r="H631" s="25">
        <v>1</v>
      </c>
      <c r="I631" s="25">
        <v>1</v>
      </c>
      <c r="J631" s="25">
        <v>1</v>
      </c>
      <c r="K631" s="25">
        <v>1</v>
      </c>
      <c r="L631" s="25">
        <v>1</v>
      </c>
      <c r="M631" s="25">
        <v>1</v>
      </c>
    </row>
    <row r="632" spans="3:16">
      <c r="C632" s="22" t="s">
        <v>2936</v>
      </c>
      <c r="D632" t="str">
        <f>VLOOKUP(Table3[[#This Row],[Employee No.]],Table1_1[[Employee No.]:[Employee Name]],2,FALSE)</f>
        <v>MUHAMMAD FAKHRUL AZIM BIN MOHD GHAZALI</v>
      </c>
      <c r="E632" t="str">
        <f>VLOOKUP(Table3[[#This Row],[Employee No.]],Table1_1[[Employee No.]:[Department]],6,FALSE)</f>
        <v>DF</v>
      </c>
      <c r="F632" t="str">
        <f>VLOOKUP(Table3[[#This Row],[Employee No.]],Table1_1[[Employee No.]:[Gender]],7,FALSE)</f>
        <v>M</v>
      </c>
      <c r="G632" t="str">
        <f>VLOOKUP(Table3[[#This Row],[Employee No.]],Table1_1[[Employee No.]:[Shift]],9,FALSE)</f>
        <v>SHIFT B</v>
      </c>
      <c r="H632" s="25">
        <v>1</v>
      </c>
      <c r="I632" s="25">
        <v>1</v>
      </c>
      <c r="J632" s="25">
        <v>1</v>
      </c>
      <c r="K632" s="25">
        <v>1</v>
      </c>
      <c r="L632" s="25">
        <v>1</v>
      </c>
      <c r="M632" s="25">
        <v>1</v>
      </c>
    </row>
    <row r="633" spans="3:16">
      <c r="C633" s="22" t="s">
        <v>2940</v>
      </c>
      <c r="D633" t="str">
        <f>VLOOKUP(Table3[[#This Row],[Employee No.]],Table1_1[[Employee No.]:[Employee Name]],2,FALSE)</f>
        <v>ZAIRIL HAIKAL BIN ABDUL MANAF</v>
      </c>
      <c r="E633" t="str">
        <f>VLOOKUP(Table3[[#This Row],[Employee No.]],Table1_1[[Employee No.]:[Department]],6,FALSE)</f>
        <v>WAREHOUSE</v>
      </c>
      <c r="F633" t="str">
        <f>VLOOKUP(Table3[[#This Row],[Employee No.]],Table1_1[[Employee No.]:[Gender]],7,FALSE)</f>
        <v>M</v>
      </c>
      <c r="G633" t="str">
        <f>VLOOKUP(Table3[[#This Row],[Employee No.]],Table1_1[[Employee No.]:[Shift]],9,FALSE)</f>
        <v>SHIFT B</v>
      </c>
      <c r="H633" s="25">
        <v>1</v>
      </c>
      <c r="I633" s="25">
        <v>1</v>
      </c>
      <c r="J633" s="25">
        <v>1</v>
      </c>
      <c r="K633" s="25">
        <v>1</v>
      </c>
      <c r="L633" s="25">
        <v>1</v>
      </c>
      <c r="M633" s="25">
        <v>0</v>
      </c>
    </row>
    <row r="634" spans="3:16">
      <c r="C634" s="22" t="s">
        <v>2944</v>
      </c>
      <c r="D634" t="str">
        <f>VLOOKUP(Table3[[#This Row],[Employee No.]],Table1_1[[Employee No.]:[Employee Name]],2,FALSE)</f>
        <v>AGAM MIRZA BIN FAKHRURRAZI</v>
      </c>
      <c r="E634" t="str">
        <f>VLOOKUP(Table3[[#This Row],[Employee No.]],Table1_1[[Employee No.]:[Department]],6,FALSE)</f>
        <v>AU</v>
      </c>
      <c r="F634" t="str">
        <f>VLOOKUP(Table3[[#This Row],[Employee No.]],Table1_1[[Employee No.]:[Gender]],7,FALSE)</f>
        <v>M</v>
      </c>
      <c r="G634" t="str">
        <f>VLOOKUP(Table3[[#This Row],[Employee No.]],Table1_1[[Employee No.]:[Shift]],9,FALSE)</f>
        <v>SHIFT C</v>
      </c>
      <c r="H634" s="25">
        <v>1</v>
      </c>
      <c r="I634" s="25">
        <v>1</v>
      </c>
      <c r="J634" s="25">
        <v>1</v>
      </c>
      <c r="K634" s="25">
        <v>1</v>
      </c>
      <c r="L634" s="25">
        <v>1</v>
      </c>
      <c r="M634" s="25">
        <v>1</v>
      </c>
      <c r="P634" s="25"/>
    </row>
    <row r="635" spans="3:16">
      <c r="C635" s="22" t="s">
        <v>2948</v>
      </c>
      <c r="D635" t="str">
        <f>VLOOKUP(Table3[[#This Row],[Employee No.]],Table1_1[[Employee No.]:[Employee Name]],2,FALSE)</f>
        <v>YUSRIAWATI BINTI MUHAMMAD YUSOP</v>
      </c>
      <c r="E635" t="str">
        <f>VLOOKUP(Table3[[#This Row],[Employee No.]],Table1_1[[Employee No.]:[Department]],6,FALSE)</f>
        <v>FVI</v>
      </c>
      <c r="F635" t="str">
        <f>VLOOKUP(Table3[[#This Row],[Employee No.]],Table1_1[[Employee No.]:[Gender]],7,FALSE)</f>
        <v>F</v>
      </c>
      <c r="G635" t="str">
        <f>VLOOKUP(Table3[[#This Row],[Employee No.]],Table1_1[[Employee No.]:[Shift]],9,FALSE)</f>
        <v>SHIFT A</v>
      </c>
      <c r="H635" s="25">
        <v>1</v>
      </c>
      <c r="I635" s="25">
        <v>1</v>
      </c>
      <c r="J635" s="25">
        <v>1</v>
      </c>
      <c r="K635" s="25">
        <v>1</v>
      </c>
      <c r="L635" s="25">
        <v>1</v>
      </c>
      <c r="M635" s="25">
        <v>1</v>
      </c>
    </row>
    <row r="636" spans="3:16">
      <c r="C636" s="22" t="s">
        <v>2952</v>
      </c>
      <c r="D636" t="str">
        <f>VLOOKUP(Table3[[#This Row],[Employee No.]],Table1_1[[Employee No.]:[Employee Name]],2,FALSE)</f>
        <v>SUZANA BINTI OMAR</v>
      </c>
      <c r="E636" t="str">
        <f>VLOOKUP(Table3[[#This Row],[Employee No.]],Table1_1[[Employee No.]:[Department]],6,FALSE)</f>
        <v>AOI</v>
      </c>
      <c r="F636" t="str">
        <f>VLOOKUP(Table3[[#This Row],[Employee No.]],Table1_1[[Employee No.]:[Gender]],7,FALSE)</f>
        <v>F</v>
      </c>
      <c r="G636" t="str">
        <f>VLOOKUP(Table3[[#This Row],[Employee No.]],Table1_1[[Employee No.]:[Shift]],9,FALSE)</f>
        <v>SHIFT B</v>
      </c>
      <c r="H636" s="25">
        <v>1</v>
      </c>
      <c r="I636" s="25">
        <v>1</v>
      </c>
      <c r="J636" s="25">
        <v>1</v>
      </c>
      <c r="K636" s="25">
        <v>1</v>
      </c>
      <c r="L636" s="25">
        <v>1</v>
      </c>
      <c r="M636" s="25">
        <v>1</v>
      </c>
    </row>
    <row r="637" spans="3:16">
      <c r="C637" s="22" t="s">
        <v>2956</v>
      </c>
      <c r="D637" t="str">
        <f>VLOOKUP(Table3[[#This Row],[Employee No.]],Table1_1[[Employee No.]:[Employee Name]],2,FALSE)</f>
        <v>DARASINI A/P RAVE</v>
      </c>
      <c r="E637" t="str">
        <f>VLOOKUP(Table3[[#This Row],[Employee No.]],Table1_1[[Employee No.]:[Department]],6,FALSE)</f>
        <v>FVI</v>
      </c>
      <c r="F637" t="str">
        <f>VLOOKUP(Table3[[#This Row],[Employee No.]],Table1_1[[Employee No.]:[Gender]],7,FALSE)</f>
        <v>F</v>
      </c>
      <c r="G637" t="str">
        <f>VLOOKUP(Table3[[#This Row],[Employee No.]],Table1_1[[Employee No.]:[Shift]],9,FALSE)</f>
        <v>SHIFT A</v>
      </c>
      <c r="H637" s="25">
        <v>0</v>
      </c>
      <c r="I637" s="25">
        <v>0</v>
      </c>
      <c r="J637" s="25">
        <v>1</v>
      </c>
      <c r="K637" s="25">
        <v>1</v>
      </c>
      <c r="L637" s="25">
        <v>1</v>
      </c>
      <c r="M637" s="25">
        <v>1</v>
      </c>
    </row>
    <row r="638" spans="3:16">
      <c r="C638" s="22" t="s">
        <v>2960</v>
      </c>
      <c r="D638" t="str">
        <f>VLOOKUP(Table3[[#This Row],[Employee No.]],Table1_1[[Employee No.]:[Employee Name]],2,FALSE)</f>
        <v>NOR FATIHAH BINTI MD YATIN</v>
      </c>
      <c r="E638" t="str">
        <f>VLOOKUP(Table3[[#This Row],[Employee No.]],Table1_1[[Employee No.]:[Department]],6,FALSE)</f>
        <v>DRILL</v>
      </c>
      <c r="F638" t="str">
        <f>VLOOKUP(Table3[[#This Row],[Employee No.]],Table1_1[[Employee No.]:[Gender]],7,FALSE)</f>
        <v>F</v>
      </c>
      <c r="G638" t="str">
        <f>VLOOKUP(Table3[[#This Row],[Employee No.]],Table1_1[[Employee No.]:[Shift]],9,FALSE)</f>
        <v>SHIFT B</v>
      </c>
      <c r="H638" s="25">
        <v>1</v>
      </c>
      <c r="I638" s="25">
        <v>1</v>
      </c>
      <c r="J638" s="25">
        <v>1</v>
      </c>
      <c r="K638" s="25">
        <v>1</v>
      </c>
      <c r="L638" s="25">
        <v>1</v>
      </c>
      <c r="M638" s="25">
        <v>1</v>
      </c>
    </row>
    <row r="639" spans="3:16">
      <c r="C639" s="22" t="s">
        <v>2964</v>
      </c>
      <c r="D639" t="str">
        <f>VLOOKUP(Table3[[#This Row],[Employee No.]],Table1_1[[Employee No.]:[Employee Name]],2,FALSE)</f>
        <v>ZUL IKMAL BIN ALAN</v>
      </c>
      <c r="E639" t="str">
        <f>VLOOKUP(Table3[[#This Row],[Employee No.]],Table1_1[[Employee No.]:[Department]],6,FALSE)</f>
        <v>AU</v>
      </c>
      <c r="F639" t="str">
        <f>VLOOKUP(Table3[[#This Row],[Employee No.]],Table1_1[[Employee No.]:[Gender]],7,FALSE)</f>
        <v>M</v>
      </c>
      <c r="G639" t="str">
        <f>VLOOKUP(Table3[[#This Row],[Employee No.]],Table1_1[[Employee No.]:[Shift]],9,FALSE)</f>
        <v>SHIFT A</v>
      </c>
      <c r="H639" s="25">
        <v>0</v>
      </c>
      <c r="I639" s="25">
        <v>1</v>
      </c>
      <c r="J639" s="25">
        <v>1</v>
      </c>
      <c r="K639" s="25">
        <v>1</v>
      </c>
      <c r="L639" s="25">
        <v>1</v>
      </c>
      <c r="M639" s="25">
        <v>1</v>
      </c>
    </row>
    <row r="640" spans="3:16">
      <c r="C640" s="22" t="s">
        <v>2968</v>
      </c>
      <c r="D640" t="str">
        <f>VLOOKUP(Table3[[#This Row],[Employee No.]],Table1_1[[Employee No.]:[Employee Name]],2,FALSE)</f>
        <v>MOHD AMIN BIN AZMI</v>
      </c>
      <c r="E640" t="str">
        <f>VLOOKUP(Table3[[#This Row],[Employee No.]],Table1_1[[Employee No.]:[Department]],6,FALSE)</f>
        <v>DF</v>
      </c>
      <c r="F640" t="str">
        <f>VLOOKUP(Table3[[#This Row],[Employee No.]],Table1_1[[Employee No.]:[Gender]],7,FALSE)</f>
        <v>M</v>
      </c>
      <c r="G640" t="str">
        <f>VLOOKUP(Table3[[#This Row],[Employee No.]],Table1_1[[Employee No.]:[Shift]],9,FALSE)</f>
        <v>SHIFT B</v>
      </c>
      <c r="H640" s="25">
        <v>1</v>
      </c>
      <c r="I640" s="25">
        <v>1</v>
      </c>
      <c r="J640" s="25">
        <v>1</v>
      </c>
      <c r="K640" s="25">
        <v>1</v>
      </c>
      <c r="L640" s="25">
        <v>1</v>
      </c>
      <c r="M640" s="25">
        <v>1</v>
      </c>
    </row>
    <row r="641" spans="3:16">
      <c r="C641" s="22" t="s">
        <v>2972</v>
      </c>
      <c r="D641" t="str">
        <f>VLOOKUP(Table3[[#This Row],[Employee No.]],Table1_1[[Employee No.]:[Employee Name]],2,FALSE)</f>
        <v>ABDUL AZIZ BIN NORDIN</v>
      </c>
      <c r="E641" t="str">
        <f>VLOOKUP(Table3[[#This Row],[Employee No.]],Table1_1[[Employee No.]:[Department]],6,FALSE)</f>
        <v>MLB</v>
      </c>
      <c r="F641" t="str">
        <f>VLOOKUP(Table3[[#This Row],[Employee No.]],Table1_1[[Employee No.]:[Gender]],7,FALSE)</f>
        <v>M</v>
      </c>
      <c r="G641" t="str">
        <f>VLOOKUP(Table3[[#This Row],[Employee No.]],Table1_1[[Employee No.]:[Shift]],9,FALSE)</f>
        <v>SHIFT A</v>
      </c>
      <c r="H641" s="25">
        <v>1</v>
      </c>
      <c r="I641" s="25">
        <v>1</v>
      </c>
      <c r="J641" s="25">
        <v>1</v>
      </c>
      <c r="K641" s="25">
        <v>1</v>
      </c>
      <c r="L641" s="25">
        <v>1</v>
      </c>
      <c r="M641" s="25">
        <v>1</v>
      </c>
    </row>
    <row r="642" spans="3:16">
      <c r="C642" s="22" t="s">
        <v>2976</v>
      </c>
      <c r="D642" t="str">
        <f>VLOOKUP(Table3[[#This Row],[Employee No.]],Table1_1[[Employee No.]:[Employee Name]],2,FALSE)</f>
        <v>MUHAMMAD AIMAN FAHMI BIN SAIDIN</v>
      </c>
      <c r="E642" t="str">
        <f>VLOOKUP(Table3[[#This Row],[Employee No.]],Table1_1[[Employee No.]:[Department]],6,FALSE)</f>
        <v>AOI</v>
      </c>
      <c r="F642" t="str">
        <f>VLOOKUP(Table3[[#This Row],[Employee No.]],Table1_1[[Employee No.]:[Gender]],7,FALSE)</f>
        <v>M</v>
      </c>
      <c r="G642" t="str">
        <f>VLOOKUP(Table3[[#This Row],[Employee No.]],Table1_1[[Employee No.]:[Shift]],9,FALSE)</f>
        <v>SHIFT C</v>
      </c>
      <c r="H642" s="25">
        <v>1</v>
      </c>
      <c r="I642" s="25">
        <v>1</v>
      </c>
      <c r="J642" s="25">
        <v>1</v>
      </c>
      <c r="K642" s="25">
        <v>1</v>
      </c>
      <c r="L642" s="25">
        <v>1</v>
      </c>
      <c r="M642" s="25">
        <v>0</v>
      </c>
      <c r="P642" s="25"/>
    </row>
    <row r="643" spans="3:16">
      <c r="C643" s="22" t="s">
        <v>2984</v>
      </c>
      <c r="D643" t="str">
        <f>VLOOKUP(Table3[[#This Row],[Employee No.]],Table1_1[[Employee No.]:[Employee Name]],2,FALSE)</f>
        <v>ZULHELMI BIN MAYUDIN</v>
      </c>
      <c r="E643" t="str">
        <f>VLOOKUP(Table3[[#This Row],[Employee No.]],Table1_1[[Employee No.]:[Department]],6,FALSE)</f>
        <v>CU</v>
      </c>
      <c r="F643" t="str">
        <f>VLOOKUP(Table3[[#This Row],[Employee No.]],Table1_1[[Employee No.]:[Gender]],7,FALSE)</f>
        <v>M</v>
      </c>
      <c r="G643" t="str">
        <f>VLOOKUP(Table3[[#This Row],[Employee No.]],Table1_1[[Employee No.]:[Shift]],9,FALSE)</f>
        <v>SHIFT E</v>
      </c>
      <c r="H643" s="25">
        <v>0</v>
      </c>
      <c r="I643" s="25">
        <v>1</v>
      </c>
      <c r="J643" s="25">
        <v>1</v>
      </c>
      <c r="K643" s="25">
        <v>1</v>
      </c>
      <c r="L643" s="25">
        <v>1</v>
      </c>
      <c r="M643" s="25">
        <v>1</v>
      </c>
    </row>
    <row r="644" spans="3:16">
      <c r="C644" s="22" t="s">
        <v>2988</v>
      </c>
      <c r="D644" t="str">
        <f>VLOOKUP(Table3[[#This Row],[Employee No.]],Table1_1[[Employee No.]:[Employee Name]],2,FALSE)</f>
        <v>SUZANA BINTI JAMALUDIN</v>
      </c>
      <c r="E644" t="str">
        <f>VLOOKUP(Table3[[#This Row],[Employee No.]],Table1_1[[Employee No.]:[Department]],6,FALSE)</f>
        <v>FVI</v>
      </c>
      <c r="F644" t="str">
        <f>VLOOKUP(Table3[[#This Row],[Employee No.]],Table1_1[[Employee No.]:[Gender]],7,FALSE)</f>
        <v>F</v>
      </c>
      <c r="G644" t="str">
        <f>VLOOKUP(Table3[[#This Row],[Employee No.]],Table1_1[[Employee No.]:[Shift]],9,FALSE)</f>
        <v>SHIFT C</v>
      </c>
      <c r="H644" s="25">
        <v>1</v>
      </c>
      <c r="I644" s="25">
        <v>1</v>
      </c>
      <c r="J644" s="25">
        <v>1</v>
      </c>
      <c r="K644" s="25">
        <v>1</v>
      </c>
      <c r="L644" s="25">
        <v>1</v>
      </c>
      <c r="M644" s="25">
        <v>1</v>
      </c>
      <c r="P644" s="25"/>
    </row>
    <row r="645" spans="3:16">
      <c r="C645" s="22" t="s">
        <v>2992</v>
      </c>
      <c r="D645" t="str">
        <f>VLOOKUP(Table3[[#This Row],[Employee No.]],Table1_1[[Employee No.]:[Employee Name]],2,FALSE)</f>
        <v>MUHAMMAD FAREEQ AFIFIE BIN SHAMSUDIN</v>
      </c>
      <c r="E645" t="str">
        <f>VLOOKUP(Table3[[#This Row],[Employee No.]],Table1_1[[Employee No.]:[Department]],6,FALSE)</f>
        <v>DF</v>
      </c>
      <c r="F645" t="str">
        <f>VLOOKUP(Table3[[#This Row],[Employee No.]],Table1_1[[Employee No.]:[Gender]],7,FALSE)</f>
        <v>M</v>
      </c>
      <c r="G645" t="str">
        <f>VLOOKUP(Table3[[#This Row],[Employee No.]],Table1_1[[Employee No.]:[Shift]],9,FALSE)</f>
        <v>SHIFT C</v>
      </c>
      <c r="H645" s="25">
        <v>1</v>
      </c>
      <c r="I645" s="25">
        <v>1</v>
      </c>
      <c r="J645" s="25">
        <v>1</v>
      </c>
      <c r="K645" s="25">
        <v>1</v>
      </c>
      <c r="L645" s="25">
        <v>1</v>
      </c>
      <c r="M645" s="25">
        <v>0</v>
      </c>
      <c r="P645" s="25"/>
    </row>
    <row r="646" spans="3:16">
      <c r="C646" s="22" t="s">
        <v>2996</v>
      </c>
      <c r="D646" t="str">
        <f>VLOOKUP(Table3[[#This Row],[Employee No.]],Table1_1[[Employee No.]:[Employee Name]],2,FALSE)</f>
        <v>NUR NISSA KHALEDA BINTI AHMAD AMIN</v>
      </c>
      <c r="E646" t="str">
        <f>VLOOKUP(Table3[[#This Row],[Employee No.]],Table1_1[[Employee No.]:[Department]],6,FALSE)</f>
        <v>PACKING</v>
      </c>
      <c r="F646" t="str">
        <f>VLOOKUP(Table3[[#This Row],[Employee No.]],Table1_1[[Employee No.]:[Gender]],7,FALSE)</f>
        <v>F</v>
      </c>
      <c r="G646" t="str">
        <f>VLOOKUP(Table3[[#This Row],[Employee No.]],Table1_1[[Employee No.]:[Shift]],9,FALSE)</f>
        <v>SHIFT B</v>
      </c>
      <c r="H646" s="25">
        <v>1</v>
      </c>
      <c r="I646" s="25">
        <v>1</v>
      </c>
      <c r="J646" s="25">
        <v>1</v>
      </c>
      <c r="K646" s="25">
        <v>1</v>
      </c>
      <c r="L646" s="25">
        <v>1</v>
      </c>
      <c r="M646" s="25">
        <v>1</v>
      </c>
    </row>
    <row r="647" spans="3:16">
      <c r="C647" s="22" t="s">
        <v>3000</v>
      </c>
      <c r="D647" t="str">
        <f>VLOOKUP(Table3[[#This Row],[Employee No.]],Table1_1[[Employee No.]:[Employee Name]],2,FALSE)</f>
        <v>SITI NAZIRAH BINTI MOHAMAD YAZID</v>
      </c>
      <c r="E647" t="str">
        <f>VLOOKUP(Table3[[#This Row],[Employee No.]],Table1_1[[Employee No.]:[Department]],6,FALSE)</f>
        <v>FVI</v>
      </c>
      <c r="F647" t="str">
        <f>VLOOKUP(Table3[[#This Row],[Employee No.]],Table1_1[[Employee No.]:[Gender]],7,FALSE)</f>
        <v>F</v>
      </c>
      <c r="G647" t="str">
        <f>VLOOKUP(Table3[[#This Row],[Employee No.]],Table1_1[[Employee No.]:[Shift]],9,FALSE)</f>
        <v>SHIFT A</v>
      </c>
      <c r="H647" s="25">
        <v>0</v>
      </c>
      <c r="I647" s="25">
        <v>0</v>
      </c>
      <c r="J647" s="25">
        <v>0</v>
      </c>
      <c r="K647" s="25">
        <v>1</v>
      </c>
      <c r="L647" s="25">
        <v>1</v>
      </c>
      <c r="M647" s="25">
        <v>1</v>
      </c>
    </row>
    <row r="648" spans="3:16">
      <c r="C648" s="22" t="s">
        <v>3004</v>
      </c>
      <c r="D648" t="str">
        <f>VLOOKUP(Table3[[#This Row],[Employee No.]],Table1_1[[Employee No.]:[Employee Name]],2,FALSE)</f>
        <v>MUHAMMAD MUAZ FADLIN BIN MHD NIZAR</v>
      </c>
      <c r="E648" t="str">
        <f>VLOOKUP(Table3[[#This Row],[Employee No.]],Table1_1[[Employee No.]:[Department]],6,FALSE)</f>
        <v>DRILL</v>
      </c>
      <c r="F648" t="str">
        <f>VLOOKUP(Table3[[#This Row],[Employee No.]],Table1_1[[Employee No.]:[Gender]],7,FALSE)</f>
        <v>M</v>
      </c>
      <c r="G648" t="str">
        <f>VLOOKUP(Table3[[#This Row],[Employee No.]],Table1_1[[Employee No.]:[Shift]],9,FALSE)</f>
        <v>SHIFT B</v>
      </c>
      <c r="H648" s="25">
        <v>1</v>
      </c>
      <c r="I648" s="25">
        <v>1</v>
      </c>
      <c r="J648" s="25">
        <v>1</v>
      </c>
      <c r="K648" s="25">
        <v>1</v>
      </c>
      <c r="L648" s="25">
        <v>1</v>
      </c>
      <c r="M648" s="25">
        <v>1</v>
      </c>
    </row>
    <row r="649" spans="3:16">
      <c r="C649" s="22" t="s">
        <v>3008</v>
      </c>
      <c r="D649" t="str">
        <f>VLOOKUP(Table3[[#This Row],[Employee No.]],Table1_1[[Employee No.]:[Employee Name]],2,FALSE)</f>
        <v>HAIRUL ANUAR BIN AHMAD JALALDIN</v>
      </c>
      <c r="E649" t="str">
        <f>VLOOKUP(Table3[[#This Row],[Employee No.]],Table1_1[[Employee No.]:[Department]],6,FALSE)</f>
        <v>DF</v>
      </c>
      <c r="F649" t="str">
        <f>VLOOKUP(Table3[[#This Row],[Employee No.]],Table1_1[[Employee No.]:[Gender]],7,FALSE)</f>
        <v>M</v>
      </c>
      <c r="G649" t="str">
        <f>VLOOKUP(Table3[[#This Row],[Employee No.]],Table1_1[[Employee No.]:[Shift]],9,FALSE)</f>
        <v>SHIFT A</v>
      </c>
      <c r="H649" s="25">
        <v>1</v>
      </c>
      <c r="I649" s="25">
        <v>1</v>
      </c>
      <c r="J649" s="25">
        <v>1</v>
      </c>
      <c r="K649" s="25">
        <v>1</v>
      </c>
      <c r="L649" s="25">
        <v>1</v>
      </c>
      <c r="M649" s="25">
        <v>1</v>
      </c>
    </row>
    <row r="650" spans="3:16">
      <c r="C650" s="22" t="s">
        <v>3012</v>
      </c>
      <c r="D650" t="str">
        <f>VLOOKUP(Table3[[#This Row],[Employee No.]],Table1_1[[Employee No.]:[Employee Name]],2,FALSE)</f>
        <v>SITI NUR AZIERA BINTI ANUAR</v>
      </c>
      <c r="E650" t="str">
        <f>VLOOKUP(Table3[[#This Row],[Employee No.]],Table1_1[[Employee No.]:[Department]],6,FALSE)</f>
        <v>LASER</v>
      </c>
      <c r="F650" t="str">
        <f>VLOOKUP(Table3[[#This Row],[Employee No.]],Table1_1[[Employee No.]:[Gender]],7,FALSE)</f>
        <v>F</v>
      </c>
      <c r="G650" t="str">
        <f>VLOOKUP(Table3[[#This Row],[Employee No.]],Table1_1[[Employee No.]:[Shift]],9,FALSE)</f>
        <v>SHIFT C</v>
      </c>
      <c r="H650" s="25">
        <v>1</v>
      </c>
      <c r="I650" s="25">
        <v>1</v>
      </c>
      <c r="J650" s="25">
        <v>1</v>
      </c>
      <c r="K650" s="25">
        <v>1</v>
      </c>
      <c r="L650" s="25">
        <v>1</v>
      </c>
      <c r="M650" s="25">
        <v>1</v>
      </c>
    </row>
    <row r="651" spans="3:16">
      <c r="C651" s="22" t="s">
        <v>3016</v>
      </c>
      <c r="D651" t="str">
        <f>VLOOKUP(Table3[[#This Row],[Employee No.]],Table1_1[[Employee No.]:[Employee Name]],2,FALSE)</f>
        <v>MUHAMMAD AIMAN BIN NORDIN</v>
      </c>
      <c r="E651" t="str">
        <f>VLOOKUP(Table3[[#This Row],[Employee No.]],Table1_1[[Employee No.]:[Department]],6,FALSE)</f>
        <v>ROUTER</v>
      </c>
      <c r="F651" t="str">
        <f>VLOOKUP(Table3[[#This Row],[Employee No.]],Table1_1[[Employee No.]:[Gender]],7,FALSE)</f>
        <v>M</v>
      </c>
      <c r="G651" t="str">
        <f>VLOOKUP(Table3[[#This Row],[Employee No.]],Table1_1[[Employee No.]:[Shift]],9,FALSE)</f>
        <v>SHIFT B</v>
      </c>
      <c r="H651" s="25">
        <v>1</v>
      </c>
      <c r="I651" s="25">
        <v>1</v>
      </c>
      <c r="J651" s="25">
        <v>1</v>
      </c>
      <c r="K651" s="25">
        <v>1</v>
      </c>
      <c r="L651" s="25">
        <v>1</v>
      </c>
      <c r="M651" s="25">
        <v>1</v>
      </c>
    </row>
    <row r="652" spans="3:16">
      <c r="C652" s="22" t="s">
        <v>3020</v>
      </c>
      <c r="D652" t="str">
        <f>VLOOKUP(Table3[[#This Row],[Employee No.]],Table1_1[[Employee No.]:[Employee Name]],2,FALSE)</f>
        <v>JASRUL BIN JANUDDIN</v>
      </c>
      <c r="E652" t="str">
        <f>VLOOKUP(Table3[[#This Row],[Employee No.]],Table1_1[[Employee No.]:[Department]],6,FALSE)</f>
        <v>PACKING</v>
      </c>
      <c r="F652" t="str">
        <f>VLOOKUP(Table3[[#This Row],[Employee No.]],Table1_1[[Employee No.]:[Gender]],7,FALSE)</f>
        <v>M</v>
      </c>
      <c r="G652" t="str">
        <f>VLOOKUP(Table3[[#This Row],[Employee No.]],Table1_1[[Employee No.]:[Shift]],9,FALSE)</f>
        <v>SHIFT A</v>
      </c>
      <c r="H652" s="25">
        <v>1</v>
      </c>
      <c r="I652" s="25">
        <v>1</v>
      </c>
      <c r="J652" s="25">
        <v>1</v>
      </c>
      <c r="K652" s="25">
        <v>1</v>
      </c>
      <c r="L652" s="25">
        <v>1</v>
      </c>
      <c r="M652" s="25">
        <v>1</v>
      </c>
    </row>
    <row r="653" spans="3:16">
      <c r="C653" s="22" t="s">
        <v>3024</v>
      </c>
      <c r="D653" t="str">
        <f>VLOOKUP(Table3[[#This Row],[Employee No.]],Table1_1[[Employee No.]:[Employee Name]],2,FALSE)</f>
        <v>MUHAMMAD SYAFIQ BIN SAMSUL AKMAL</v>
      </c>
      <c r="E653" t="str">
        <f>VLOOKUP(Table3[[#This Row],[Employee No.]],Table1_1[[Employee No.]:[Department]],6,FALSE)</f>
        <v>CU</v>
      </c>
      <c r="F653" t="str">
        <f>VLOOKUP(Table3[[#This Row],[Employee No.]],Table1_1[[Employee No.]:[Gender]],7,FALSE)</f>
        <v>M</v>
      </c>
      <c r="G653" t="str">
        <f>VLOOKUP(Table3[[#This Row],[Employee No.]],Table1_1[[Employee No.]:[Shift]],9,FALSE)</f>
        <v>SHIFT E</v>
      </c>
      <c r="H653" s="25">
        <v>0</v>
      </c>
      <c r="I653" s="25">
        <v>1</v>
      </c>
      <c r="J653" s="25">
        <v>1</v>
      </c>
      <c r="K653" s="25">
        <v>1</v>
      </c>
      <c r="L653" s="25">
        <v>1</v>
      </c>
      <c r="M653" s="25">
        <v>1</v>
      </c>
    </row>
    <row r="654" spans="3:16">
      <c r="C654" s="22" t="s">
        <v>3028</v>
      </c>
      <c r="D654" t="str">
        <f>VLOOKUP(Table3[[#This Row],[Employee No.]],Table1_1[[Employee No.]:[Employee Name]],2,FALSE)</f>
        <v>MUHAMAD SOFI BIN HAMDAN</v>
      </c>
      <c r="E654" t="str">
        <f>VLOOKUP(Table3[[#This Row],[Employee No.]],Table1_1[[Employee No.]:[Department]],6,FALSE)</f>
        <v>SM</v>
      </c>
      <c r="F654" t="str">
        <f>VLOOKUP(Table3[[#This Row],[Employee No.]],Table1_1[[Employee No.]:[Gender]],7,FALSE)</f>
        <v>M</v>
      </c>
      <c r="G654" t="str">
        <f>VLOOKUP(Table3[[#This Row],[Employee No.]],Table1_1[[Employee No.]:[Shift]],9,FALSE)</f>
        <v>SHIFT A</v>
      </c>
      <c r="H654" s="25">
        <v>1</v>
      </c>
      <c r="I654" s="25">
        <v>1</v>
      </c>
      <c r="J654" s="25">
        <v>0</v>
      </c>
      <c r="K654" s="25">
        <v>1</v>
      </c>
      <c r="L654" s="25">
        <v>1</v>
      </c>
      <c r="M654" s="25">
        <v>1</v>
      </c>
    </row>
    <row r="655" spans="3:16">
      <c r="C655" s="22" t="s">
        <v>3032</v>
      </c>
      <c r="D655" t="str">
        <f>VLOOKUP(Table3[[#This Row],[Employee No.]],Table1_1[[Employee No.]:[Employee Name]],2,FALSE)</f>
        <v>NURUL IDAYU BINTI MOHD AMIN</v>
      </c>
      <c r="E655" t="str">
        <f>VLOOKUP(Table3[[#This Row],[Employee No.]],Table1_1[[Employee No.]:[Department]],6,FALSE)</f>
        <v>PACKING</v>
      </c>
      <c r="F655" t="str">
        <f>VLOOKUP(Table3[[#This Row],[Employee No.]],Table1_1[[Employee No.]:[Gender]],7,FALSE)</f>
        <v>F</v>
      </c>
      <c r="G655" t="str">
        <f>VLOOKUP(Table3[[#This Row],[Employee No.]],Table1_1[[Employee No.]:[Shift]],9,FALSE)</f>
        <v>SHIFT A</v>
      </c>
      <c r="H655" s="25">
        <v>0</v>
      </c>
      <c r="I655" s="25">
        <v>0</v>
      </c>
      <c r="J655" s="25">
        <v>1</v>
      </c>
      <c r="K655" s="25">
        <v>1</v>
      </c>
      <c r="L655" s="25">
        <v>1</v>
      </c>
      <c r="M655" s="25">
        <v>1</v>
      </c>
    </row>
    <row r="656" spans="3:16">
      <c r="C656" s="22" t="s">
        <v>3036</v>
      </c>
      <c r="D656" t="str">
        <f>VLOOKUP(Table3[[#This Row],[Employee No.]],Table1_1[[Employee No.]:[Employee Name]],2,FALSE)</f>
        <v>MOHD AMIR AIZAT BIN MOHD YAZID</v>
      </c>
      <c r="E656" t="str">
        <f>VLOOKUP(Table3[[#This Row],[Employee No.]],Table1_1[[Employee No.]:[Department]],6,FALSE)</f>
        <v>PACKING</v>
      </c>
      <c r="F656" t="str">
        <f>VLOOKUP(Table3[[#This Row],[Employee No.]],Table1_1[[Employee No.]:[Gender]],7,FALSE)</f>
        <v>M</v>
      </c>
      <c r="G656" t="str">
        <f>VLOOKUP(Table3[[#This Row],[Employee No.]],Table1_1[[Employee No.]:[Shift]],9,FALSE)</f>
        <v>SHIFT B</v>
      </c>
      <c r="H656" s="25">
        <v>1</v>
      </c>
      <c r="I656" s="25">
        <v>1</v>
      </c>
      <c r="J656" s="25">
        <v>1</v>
      </c>
      <c r="K656" s="25">
        <v>1</v>
      </c>
      <c r="L656" s="25">
        <v>1</v>
      </c>
      <c r="M656" s="25">
        <v>1</v>
      </c>
    </row>
    <row r="657" spans="3:16">
      <c r="C657" s="22" t="s">
        <v>3040</v>
      </c>
      <c r="D657" t="str">
        <f>VLOOKUP(Table3[[#This Row],[Employee No.]],Table1_1[[Employee No.]:[Employee Name]],2,FALSE)</f>
        <v>MOHAMMAD SHAFIQ BIN KAMARUL MUZAMIL</v>
      </c>
      <c r="E657" t="str">
        <f>VLOOKUP(Table3[[#This Row],[Employee No.]],Table1_1[[Employee No.]:[Department]],6,FALSE)</f>
        <v>QUALITY</v>
      </c>
      <c r="F657" t="str">
        <f>VLOOKUP(Table3[[#This Row],[Employee No.]],Table1_1[[Employee No.]:[Gender]],7,FALSE)</f>
        <v>M</v>
      </c>
      <c r="G657" t="str">
        <f>VLOOKUP(Table3[[#This Row],[Employee No.]],Table1_1[[Employee No.]:[Shift]],9,FALSE)</f>
        <v>SHIFT A</v>
      </c>
      <c r="H657" s="25">
        <v>1</v>
      </c>
      <c r="I657" s="25">
        <v>1</v>
      </c>
      <c r="J657" s="25">
        <v>1</v>
      </c>
      <c r="K657" s="25">
        <v>1</v>
      </c>
      <c r="L657" s="25">
        <v>1</v>
      </c>
      <c r="M657" s="25">
        <v>1</v>
      </c>
    </row>
    <row r="658" spans="3:16">
      <c r="C658" s="22" t="s">
        <v>3044</v>
      </c>
      <c r="D658" t="str">
        <f>VLOOKUP(Table3[[#This Row],[Employee No.]],Table1_1[[Employee No.]:[Employee Name]],2,FALSE)</f>
        <v>MUHAMMAD AZREL BIN AZMAN</v>
      </c>
      <c r="E658" t="str">
        <f>VLOOKUP(Table3[[#This Row],[Employee No.]],Table1_1[[Employee No.]:[Department]],6,FALSE)</f>
        <v>ROUTER</v>
      </c>
      <c r="F658" t="str">
        <f>VLOOKUP(Table3[[#This Row],[Employee No.]],Table1_1[[Employee No.]:[Gender]],7,FALSE)</f>
        <v>M</v>
      </c>
      <c r="G658" t="str">
        <f>VLOOKUP(Table3[[#This Row],[Employee No.]],Table1_1[[Employee No.]:[Shift]],9,FALSE)</f>
        <v>SHIFT C</v>
      </c>
      <c r="H658" s="25">
        <v>1</v>
      </c>
      <c r="I658" s="25">
        <v>1</v>
      </c>
      <c r="J658" s="25">
        <v>1</v>
      </c>
      <c r="K658" s="25">
        <v>1</v>
      </c>
      <c r="L658" s="25">
        <v>1</v>
      </c>
      <c r="M658" s="25">
        <v>1</v>
      </c>
      <c r="P658" s="25"/>
    </row>
    <row r="659" spans="3:16">
      <c r="C659" s="22" t="s">
        <v>3048</v>
      </c>
      <c r="D659" t="str">
        <f>VLOOKUP(Table3[[#This Row],[Employee No.]],Table1_1[[Employee No.]:[Employee Name]],2,FALSE)</f>
        <v>MOHAMAD MUSTAQIM BIN ISAHAK</v>
      </c>
      <c r="E659" t="str">
        <f>VLOOKUP(Table3[[#This Row],[Employee No.]],Table1_1[[Employee No.]:[Department]],6,FALSE)</f>
        <v>QUALITY</v>
      </c>
      <c r="F659" t="str">
        <f>VLOOKUP(Table3[[#This Row],[Employee No.]],Table1_1[[Employee No.]:[Gender]],7,FALSE)</f>
        <v>M</v>
      </c>
      <c r="G659" t="str">
        <f>VLOOKUP(Table3[[#This Row],[Employee No.]],Table1_1[[Employee No.]:[Shift]],9,FALSE)</f>
        <v>SHIFT A</v>
      </c>
      <c r="H659" s="25">
        <v>1</v>
      </c>
      <c r="I659" s="25">
        <v>1</v>
      </c>
      <c r="J659" s="25">
        <v>0</v>
      </c>
      <c r="K659" s="25">
        <v>1</v>
      </c>
      <c r="L659" s="25">
        <v>1</v>
      </c>
      <c r="M659" s="25">
        <v>1</v>
      </c>
    </row>
    <row r="660" spans="3:16">
      <c r="C660" s="22" t="s">
        <v>3052</v>
      </c>
      <c r="D660" t="str">
        <f>VLOOKUP(Table3[[#This Row],[Employee No.]],Table1_1[[Employee No.]:[Employee Name]],2,FALSE)</f>
        <v>MUHAMMAD AFDAL BIN ZAHARI</v>
      </c>
      <c r="E660" t="str">
        <f>VLOOKUP(Table3[[#This Row],[Employee No.]],Table1_1[[Employee No.]:[Department]],6,FALSE)</f>
        <v>LASER</v>
      </c>
      <c r="F660" t="str">
        <f>VLOOKUP(Table3[[#This Row],[Employee No.]],Table1_1[[Employee No.]:[Gender]],7,FALSE)</f>
        <v>M</v>
      </c>
      <c r="G660" t="str">
        <f>VLOOKUP(Table3[[#This Row],[Employee No.]],Table1_1[[Employee No.]:[Shift]],9,FALSE)</f>
        <v>SHIFT C</v>
      </c>
      <c r="H660" s="25">
        <v>1</v>
      </c>
      <c r="I660" s="25">
        <v>1</v>
      </c>
      <c r="J660" s="25">
        <v>1</v>
      </c>
      <c r="K660" s="25">
        <v>1</v>
      </c>
      <c r="L660" s="25">
        <v>1</v>
      </c>
      <c r="M660" s="25">
        <v>1</v>
      </c>
      <c r="P660" s="25"/>
    </row>
    <row r="661" spans="3:16">
      <c r="C661" s="22" t="s">
        <v>3060</v>
      </c>
      <c r="D661" t="str">
        <f>VLOOKUP(Table3[[#This Row],[Employee No.]],Table1_1[[Employee No.]:[Employee Name]],2,FALSE)</f>
        <v>THANABALAN A/L RATHINAM</v>
      </c>
      <c r="E661" t="str">
        <f>VLOOKUP(Table3[[#This Row],[Employee No.]],Table1_1[[Employee No.]:[Department]],6,FALSE)</f>
        <v>CU</v>
      </c>
      <c r="F661" t="str">
        <f>VLOOKUP(Table3[[#This Row],[Employee No.]],Table1_1[[Employee No.]:[Gender]],7,FALSE)</f>
        <v>M</v>
      </c>
      <c r="G661" t="str">
        <f>VLOOKUP(Table3[[#This Row],[Employee No.]],Table1_1[[Employee No.]:[Shift]],9,FALSE)</f>
        <v>SHIFT B</v>
      </c>
      <c r="H661" s="25">
        <v>1</v>
      </c>
      <c r="I661" s="25">
        <v>1</v>
      </c>
      <c r="J661" s="25">
        <v>1</v>
      </c>
      <c r="K661" s="25">
        <v>1</v>
      </c>
      <c r="L661" s="25">
        <v>1</v>
      </c>
      <c r="M661" s="25">
        <v>1</v>
      </c>
    </row>
    <row r="662" spans="3:16">
      <c r="C662" s="22" t="s">
        <v>3063</v>
      </c>
      <c r="D662" t="str">
        <f>VLOOKUP(Table3[[#This Row],[Employee No.]],Table1_1[[Employee No.]:[Employee Name]],2,FALSE)</f>
        <v>ANDRIYANI PURBA</v>
      </c>
      <c r="E662" t="str">
        <f>VLOOKUP(Table3[[#This Row],[Employee No.]],Table1_1[[Employee No.]:[Department]],6,FALSE)</f>
        <v>CHAMFER</v>
      </c>
      <c r="F662" t="str">
        <f>VLOOKUP(Table3[[#This Row],[Employee No.]],Table1_1[[Employee No.]:[Gender]],7,FALSE)</f>
        <v>F</v>
      </c>
      <c r="G662" t="str">
        <f>VLOOKUP(Table3[[#This Row],[Employee No.]],Table1_1[[Employee No.]:[Shift]],9,FALSE)</f>
        <v>SHIFT A</v>
      </c>
      <c r="H662" s="25">
        <v>1</v>
      </c>
      <c r="I662" s="25">
        <v>1</v>
      </c>
      <c r="J662" s="25">
        <v>1</v>
      </c>
      <c r="K662" s="25">
        <v>0</v>
      </c>
      <c r="L662" s="25">
        <v>1</v>
      </c>
      <c r="M662" s="25">
        <v>1</v>
      </c>
    </row>
    <row r="663" spans="3:16">
      <c r="C663" s="22" t="s">
        <v>3065</v>
      </c>
      <c r="D663" t="str">
        <f>VLOOKUP(Table3[[#This Row],[Employee No.]],Table1_1[[Employee No.]:[Employee Name]],2,FALSE)</f>
        <v>BUNGARIA HUTABALIAN</v>
      </c>
      <c r="E663" t="str">
        <f>VLOOKUP(Table3[[#This Row],[Employee No.]],Table1_1[[Employee No.]:[Department]],6,FALSE)</f>
        <v>MLB</v>
      </c>
      <c r="F663" t="str">
        <f>VLOOKUP(Table3[[#This Row],[Employee No.]],Table1_1[[Employee No.]:[Gender]],7,FALSE)</f>
        <v>F</v>
      </c>
      <c r="G663" t="str">
        <f>VLOOKUP(Table3[[#This Row],[Employee No.]],Table1_1[[Employee No.]:[Shift]],9,FALSE)</f>
        <v>SHIFT C</v>
      </c>
      <c r="H663" s="25">
        <v>1</v>
      </c>
      <c r="I663" s="25">
        <v>1</v>
      </c>
      <c r="J663" s="25">
        <v>1</v>
      </c>
      <c r="K663" s="25">
        <v>1</v>
      </c>
      <c r="L663" s="25">
        <v>1</v>
      </c>
      <c r="M663" s="25">
        <v>1</v>
      </c>
      <c r="P663" s="25"/>
    </row>
    <row r="664" spans="3:16">
      <c r="C664" s="22" t="s">
        <v>3067</v>
      </c>
      <c r="D664" t="str">
        <f>VLOOKUP(Table3[[#This Row],[Employee No.]],Table1_1[[Employee No.]:[Employee Name]],2,FALSE)</f>
        <v>DELIMAHOT MARIA MARBUN</v>
      </c>
      <c r="E664" t="str">
        <f>VLOOKUP(Table3[[#This Row],[Employee No.]],Table1_1[[Employee No.]:[Department]],6,FALSE)</f>
        <v>MLB</v>
      </c>
      <c r="F664" t="str">
        <f>VLOOKUP(Table3[[#This Row],[Employee No.]],Table1_1[[Employee No.]:[Gender]],7,FALSE)</f>
        <v>F</v>
      </c>
      <c r="G664" t="str">
        <f>VLOOKUP(Table3[[#This Row],[Employee No.]],Table1_1[[Employee No.]:[Shift]],9,FALSE)</f>
        <v>SHIFT C</v>
      </c>
      <c r="H664" s="25">
        <v>1</v>
      </c>
      <c r="I664" s="25">
        <v>1</v>
      </c>
      <c r="J664" s="25">
        <v>1</v>
      </c>
      <c r="K664" s="25">
        <v>1</v>
      </c>
      <c r="L664" s="25">
        <v>1</v>
      </c>
      <c r="M664" s="25">
        <v>1</v>
      </c>
      <c r="P664" s="25"/>
    </row>
    <row r="665" spans="3:16">
      <c r="C665" s="22" t="s">
        <v>3069</v>
      </c>
      <c r="D665" t="str">
        <f>VLOOKUP(Table3[[#This Row],[Employee No.]],Table1_1[[Employee No.]:[Employee Name]],2,FALSE)</f>
        <v>DINA MEIDI</v>
      </c>
      <c r="E665" t="str">
        <f>VLOOKUP(Table3[[#This Row],[Employee No.]],Table1_1[[Employee No.]:[Department]],6,FALSE)</f>
        <v>FVI</v>
      </c>
      <c r="F665" t="str">
        <f>VLOOKUP(Table3[[#This Row],[Employee No.]],Table1_1[[Employee No.]:[Gender]],7,FALSE)</f>
        <v>F</v>
      </c>
      <c r="G665" t="str">
        <f>VLOOKUP(Table3[[#This Row],[Employee No.]],Table1_1[[Employee No.]:[Shift]],9,FALSE)</f>
        <v>SHIFT A</v>
      </c>
      <c r="H665" s="25">
        <v>1</v>
      </c>
      <c r="I665" s="25">
        <v>1</v>
      </c>
      <c r="J665" s="25">
        <v>1</v>
      </c>
      <c r="K665" s="25">
        <v>1</v>
      </c>
      <c r="L665" s="25">
        <v>1</v>
      </c>
      <c r="M665" s="25">
        <v>1</v>
      </c>
    </row>
    <row r="666" spans="3:16">
      <c r="C666" s="22" t="s">
        <v>3071</v>
      </c>
      <c r="D666" t="str">
        <f>VLOOKUP(Table3[[#This Row],[Employee No.]],Table1_1[[Employee No.]:[Employee Name]],2,FALSE)</f>
        <v>EVA YOHANNA AGUSTIN</v>
      </c>
      <c r="E666" t="str">
        <f>VLOOKUP(Table3[[#This Row],[Employee No.]],Table1_1[[Employee No.]:[Department]],6,FALSE)</f>
        <v>FVI</v>
      </c>
      <c r="F666" t="str">
        <f>VLOOKUP(Table3[[#This Row],[Employee No.]],Table1_1[[Employee No.]:[Gender]],7,FALSE)</f>
        <v>F</v>
      </c>
      <c r="G666" t="str">
        <f>VLOOKUP(Table3[[#This Row],[Employee No.]],Table1_1[[Employee No.]:[Shift]],9,FALSE)</f>
        <v>SHIFT B</v>
      </c>
      <c r="H666" s="25">
        <v>1</v>
      </c>
      <c r="I666" s="25">
        <v>1</v>
      </c>
      <c r="J666" s="25">
        <v>1</v>
      </c>
      <c r="K666" s="25">
        <v>1</v>
      </c>
      <c r="L666" s="25">
        <v>1</v>
      </c>
      <c r="M666" s="25">
        <v>1</v>
      </c>
    </row>
    <row r="667" spans="3:16">
      <c r="C667" s="22" t="s">
        <v>3073</v>
      </c>
      <c r="D667" t="str">
        <f>VLOOKUP(Table3[[#This Row],[Employee No.]],Table1_1[[Employee No.]:[Employee Name]],2,FALSE)</f>
        <v>FADILLAH</v>
      </c>
      <c r="E667" t="str">
        <f>VLOOKUP(Table3[[#This Row],[Employee No.]],Table1_1[[Employee No.]:[Department]],6,FALSE)</f>
        <v>BBT</v>
      </c>
      <c r="F667" t="str">
        <f>VLOOKUP(Table3[[#This Row],[Employee No.]],Table1_1[[Employee No.]:[Gender]],7,FALSE)</f>
        <v>F</v>
      </c>
      <c r="G667" t="str">
        <f>VLOOKUP(Table3[[#This Row],[Employee No.]],Table1_1[[Employee No.]:[Shift]],9,FALSE)</f>
        <v>SHIFT C</v>
      </c>
      <c r="H667" s="25">
        <v>1</v>
      </c>
      <c r="I667" s="25">
        <v>1</v>
      </c>
      <c r="J667" s="25">
        <v>1</v>
      </c>
      <c r="K667" s="25">
        <v>1</v>
      </c>
      <c r="L667" s="25">
        <v>1</v>
      </c>
      <c r="M667" s="25">
        <v>1</v>
      </c>
      <c r="P667" s="25"/>
    </row>
    <row r="668" spans="3:16">
      <c r="C668" s="22" t="s">
        <v>3075</v>
      </c>
      <c r="D668" t="str">
        <f>VLOOKUP(Table3[[#This Row],[Employee No.]],Table1_1[[Employee No.]:[Employee Name]],2,FALSE)</f>
        <v>GLORYA EPIPANI GINTING</v>
      </c>
      <c r="E668" t="str">
        <f>VLOOKUP(Table3[[#This Row],[Employee No.]],Table1_1[[Employee No.]:[Department]],6,FALSE)</f>
        <v>MLB</v>
      </c>
      <c r="F668" t="str">
        <f>VLOOKUP(Table3[[#This Row],[Employee No.]],Table1_1[[Employee No.]:[Gender]],7,FALSE)</f>
        <v>F</v>
      </c>
      <c r="G668" t="str">
        <f>VLOOKUP(Table3[[#This Row],[Employee No.]],Table1_1[[Employee No.]:[Shift]],9,FALSE)</f>
        <v>SHIFT B</v>
      </c>
      <c r="H668" s="25">
        <v>1</v>
      </c>
      <c r="I668" s="25">
        <v>1</v>
      </c>
      <c r="J668" s="25">
        <v>1</v>
      </c>
      <c r="K668" s="25">
        <v>1</v>
      </c>
      <c r="L668" s="25">
        <v>1</v>
      </c>
      <c r="M668" s="25">
        <v>1</v>
      </c>
    </row>
    <row r="669" spans="3:16">
      <c r="C669" s="22" t="s">
        <v>3077</v>
      </c>
      <c r="D669" t="str">
        <f>VLOOKUP(Table3[[#This Row],[Employee No.]],Table1_1[[Employee No.]:[Employee Name]],2,FALSE)</f>
        <v>HOTRAYANI SIMATUPANG</v>
      </c>
      <c r="E669" t="str">
        <f>VLOOKUP(Table3[[#This Row],[Employee No.]],Table1_1[[Employee No.]:[Department]],6,FALSE)</f>
        <v>FVI</v>
      </c>
      <c r="F669" t="str">
        <f>VLOOKUP(Table3[[#This Row],[Employee No.]],Table1_1[[Employee No.]:[Gender]],7,FALSE)</f>
        <v>F</v>
      </c>
      <c r="G669" t="str">
        <f>VLOOKUP(Table3[[#This Row],[Employee No.]],Table1_1[[Employee No.]:[Shift]],9,FALSE)</f>
        <v>SHIFT B</v>
      </c>
      <c r="H669" s="25">
        <v>1</v>
      </c>
      <c r="I669" s="25">
        <v>1</v>
      </c>
      <c r="J669" s="25">
        <v>1</v>
      </c>
      <c r="K669" s="25">
        <v>1</v>
      </c>
      <c r="L669" s="25">
        <v>1</v>
      </c>
      <c r="M669" s="25">
        <v>1</v>
      </c>
    </row>
    <row r="670" spans="3:16">
      <c r="C670" s="22" t="s">
        <v>3079</v>
      </c>
      <c r="D670" t="str">
        <f>VLOOKUP(Table3[[#This Row],[Employee No.]],Table1_1[[Employee No.]:[Employee Name]],2,FALSE)</f>
        <v>INDRIANA LUMBAN TOBING</v>
      </c>
      <c r="E670" t="str">
        <f>VLOOKUP(Table3[[#This Row],[Employee No.]],Table1_1[[Employee No.]:[Department]],6,FALSE)</f>
        <v>FVI</v>
      </c>
      <c r="F670" t="str">
        <f>VLOOKUP(Table3[[#This Row],[Employee No.]],Table1_1[[Employee No.]:[Gender]],7,FALSE)</f>
        <v>F</v>
      </c>
      <c r="G670" t="str">
        <f>VLOOKUP(Table3[[#This Row],[Employee No.]],Table1_1[[Employee No.]:[Shift]],9,FALSE)</f>
        <v>SHIFT A</v>
      </c>
      <c r="H670" s="25">
        <v>1</v>
      </c>
      <c r="I670" s="25">
        <v>1</v>
      </c>
      <c r="J670" s="25">
        <v>1</v>
      </c>
      <c r="K670" s="25">
        <v>1</v>
      </c>
      <c r="L670" s="25">
        <v>1</v>
      </c>
      <c r="M670" s="25">
        <v>1</v>
      </c>
    </row>
    <row r="671" spans="3:16">
      <c r="C671" s="22" t="s">
        <v>3081</v>
      </c>
      <c r="D671" t="str">
        <f>VLOOKUP(Table3[[#This Row],[Employee No.]],Table1_1[[Employee No.]:[Employee Name]],2,FALSE)</f>
        <v>JENNY MARPAUNG</v>
      </c>
      <c r="E671" t="str">
        <f>VLOOKUP(Table3[[#This Row],[Employee No.]],Table1_1[[Employee No.]:[Department]],6,FALSE)</f>
        <v>FVI</v>
      </c>
      <c r="F671" t="str">
        <f>VLOOKUP(Table3[[#This Row],[Employee No.]],Table1_1[[Employee No.]:[Gender]],7,FALSE)</f>
        <v>F</v>
      </c>
      <c r="G671" t="str">
        <f>VLOOKUP(Table3[[#This Row],[Employee No.]],Table1_1[[Employee No.]:[Shift]],9,FALSE)</f>
        <v>SHIFT C</v>
      </c>
      <c r="H671" s="25">
        <v>1</v>
      </c>
      <c r="I671" s="25">
        <v>1</v>
      </c>
      <c r="J671" s="25">
        <v>1</v>
      </c>
      <c r="K671" s="25">
        <v>1</v>
      </c>
      <c r="L671" s="25">
        <v>1</v>
      </c>
      <c r="M671" s="25">
        <v>0</v>
      </c>
    </row>
    <row r="672" spans="3:16">
      <c r="C672" s="22" t="s">
        <v>3083</v>
      </c>
      <c r="D672" t="str">
        <f>VLOOKUP(Table3[[#This Row],[Employee No.]],Table1_1[[Employee No.]:[Employee Name]],2,FALSE)</f>
        <v>LIDIA VIO VINIANTI SINAGA</v>
      </c>
      <c r="E672" t="str">
        <f>VLOOKUP(Table3[[#This Row],[Employee No.]],Table1_1[[Employee No.]:[Department]],6,FALSE)</f>
        <v>FVI</v>
      </c>
      <c r="F672" t="str">
        <f>VLOOKUP(Table3[[#This Row],[Employee No.]],Table1_1[[Employee No.]:[Gender]],7,FALSE)</f>
        <v>F</v>
      </c>
      <c r="G672" t="str">
        <f>VLOOKUP(Table3[[#This Row],[Employee No.]],Table1_1[[Employee No.]:[Shift]],9,FALSE)</f>
        <v>SHIFT C</v>
      </c>
      <c r="H672" s="25">
        <v>1</v>
      </c>
      <c r="I672" s="25">
        <v>1</v>
      </c>
      <c r="J672" s="25">
        <v>1</v>
      </c>
      <c r="K672" s="25">
        <v>1</v>
      </c>
      <c r="L672" s="25">
        <v>1</v>
      </c>
      <c r="M672" s="25">
        <v>1</v>
      </c>
    </row>
    <row r="673" spans="3:16">
      <c r="C673" s="22" t="s">
        <v>3085</v>
      </c>
      <c r="D673" t="str">
        <f>VLOOKUP(Table3[[#This Row],[Employee No.]],Table1_1[[Employee No.]:[Employee Name]],2,FALSE)</f>
        <v>MERI NATALINA</v>
      </c>
      <c r="E673" t="str">
        <f>VLOOKUP(Table3[[#This Row],[Employee No.]],Table1_1[[Employee No.]:[Department]],6,FALSE)</f>
        <v>BBT</v>
      </c>
      <c r="F673" t="str">
        <f>VLOOKUP(Table3[[#This Row],[Employee No.]],Table1_1[[Employee No.]:[Gender]],7,FALSE)</f>
        <v>F</v>
      </c>
      <c r="G673" t="str">
        <f>VLOOKUP(Table3[[#This Row],[Employee No.]],Table1_1[[Employee No.]:[Shift]],9,FALSE)</f>
        <v>SHIFT B</v>
      </c>
      <c r="H673" s="25">
        <v>1</v>
      </c>
      <c r="I673" s="25">
        <v>1</v>
      </c>
      <c r="J673" s="25">
        <v>1</v>
      </c>
      <c r="K673" s="25">
        <v>1</v>
      </c>
      <c r="L673" s="25">
        <v>1</v>
      </c>
      <c r="M673" s="25">
        <v>1</v>
      </c>
    </row>
    <row r="674" spans="3:16">
      <c r="C674" s="22" t="s">
        <v>3087</v>
      </c>
      <c r="D674" t="str">
        <f>VLOOKUP(Table3[[#This Row],[Employee No.]],Table1_1[[Employee No.]:[Employee Name]],2,FALSE)</f>
        <v>MES AYU KIRANA</v>
      </c>
      <c r="E674" t="str">
        <f>VLOOKUP(Table3[[#This Row],[Employee No.]],Table1_1[[Employee No.]:[Department]],6,FALSE)</f>
        <v>BBT</v>
      </c>
      <c r="F674" t="str">
        <f>VLOOKUP(Table3[[#This Row],[Employee No.]],Table1_1[[Employee No.]:[Gender]],7,FALSE)</f>
        <v>F</v>
      </c>
      <c r="G674" t="str">
        <f>VLOOKUP(Table3[[#This Row],[Employee No.]],Table1_1[[Employee No.]:[Shift]],9,FALSE)</f>
        <v>SHIFT A</v>
      </c>
      <c r="H674" s="25">
        <v>1</v>
      </c>
      <c r="I674" s="25">
        <v>1</v>
      </c>
      <c r="J674" s="25">
        <v>1</v>
      </c>
      <c r="K674" s="25">
        <v>1</v>
      </c>
      <c r="L674" s="25">
        <v>1</v>
      </c>
      <c r="M674" s="25">
        <v>1</v>
      </c>
    </row>
    <row r="675" spans="3:16">
      <c r="C675" s="22" t="s">
        <v>3089</v>
      </c>
      <c r="D675" t="str">
        <f>VLOOKUP(Table3[[#This Row],[Employee No.]],Table1_1[[Employee No.]:[Employee Name]],2,FALSE)</f>
        <v>NURCAHAYA RITONGA</v>
      </c>
      <c r="E675" t="str">
        <f>VLOOKUP(Table3[[#This Row],[Employee No.]],Table1_1[[Employee No.]:[Department]],6,FALSE)</f>
        <v>FVI</v>
      </c>
      <c r="F675" t="str">
        <f>VLOOKUP(Table3[[#This Row],[Employee No.]],Table1_1[[Employee No.]:[Gender]],7,FALSE)</f>
        <v>F</v>
      </c>
      <c r="G675" t="str">
        <f>VLOOKUP(Table3[[#This Row],[Employee No.]],Table1_1[[Employee No.]:[Shift]],9,FALSE)</f>
        <v>SHIFT C</v>
      </c>
      <c r="H675" s="25">
        <v>1</v>
      </c>
      <c r="I675" s="25">
        <v>1</v>
      </c>
      <c r="J675" s="25">
        <v>1</v>
      </c>
      <c r="K675" s="25">
        <v>1</v>
      </c>
      <c r="L675" s="25">
        <v>1</v>
      </c>
      <c r="M675" s="25">
        <v>1</v>
      </c>
      <c r="P675" s="25"/>
    </row>
    <row r="676" spans="3:16">
      <c r="C676" s="22" t="s">
        <v>3091</v>
      </c>
      <c r="D676" t="str">
        <f>VLOOKUP(Table3[[#This Row],[Employee No.]],Table1_1[[Employee No.]:[Employee Name]],2,FALSE)</f>
        <v>NURHAFNI</v>
      </c>
      <c r="E676" t="str">
        <f>VLOOKUP(Table3[[#This Row],[Employee No.]],Table1_1[[Employee No.]:[Department]],6,FALSE)</f>
        <v>AOI</v>
      </c>
      <c r="F676" t="str">
        <f>VLOOKUP(Table3[[#This Row],[Employee No.]],Table1_1[[Employee No.]:[Gender]],7,FALSE)</f>
        <v>F</v>
      </c>
      <c r="G676" t="str">
        <f>VLOOKUP(Table3[[#This Row],[Employee No.]],Table1_1[[Employee No.]:[Shift]],9,FALSE)</f>
        <v>SHIFT A</v>
      </c>
      <c r="H676" s="25">
        <v>1</v>
      </c>
      <c r="I676" s="25">
        <v>1</v>
      </c>
      <c r="J676" s="25">
        <v>1</v>
      </c>
      <c r="K676" s="25">
        <v>1</v>
      </c>
      <c r="L676" s="25">
        <v>1</v>
      </c>
      <c r="M676" s="25">
        <v>1</v>
      </c>
    </row>
    <row r="677" spans="3:16">
      <c r="C677" s="22" t="s">
        <v>3093</v>
      </c>
      <c r="D677" t="str">
        <f>VLOOKUP(Table3[[#This Row],[Employee No.]],Table1_1[[Employee No.]:[Employee Name]],2,FALSE)</f>
        <v>RANI NOVITA SARI</v>
      </c>
      <c r="E677" t="str">
        <f>VLOOKUP(Table3[[#This Row],[Employee No.]],Table1_1[[Employee No.]:[Department]],6,FALSE)</f>
        <v>AOI</v>
      </c>
      <c r="F677" t="str">
        <f>VLOOKUP(Table3[[#This Row],[Employee No.]],Table1_1[[Employee No.]:[Gender]],7,FALSE)</f>
        <v>F</v>
      </c>
      <c r="G677" t="str">
        <f>VLOOKUP(Table3[[#This Row],[Employee No.]],Table1_1[[Employee No.]:[Shift]],9,FALSE)</f>
        <v>SHIFT B</v>
      </c>
      <c r="H677" s="25">
        <v>1</v>
      </c>
      <c r="I677" s="25">
        <v>1</v>
      </c>
      <c r="J677" s="25">
        <v>1</v>
      </c>
      <c r="K677" s="25">
        <v>1</v>
      </c>
      <c r="L677" s="25">
        <v>1</v>
      </c>
      <c r="M677" s="25">
        <v>1</v>
      </c>
    </row>
    <row r="678" spans="3:16">
      <c r="C678" s="22" t="s">
        <v>3095</v>
      </c>
      <c r="D678" t="str">
        <f>VLOOKUP(Table3[[#This Row],[Employee No.]],Table1_1[[Employee No.]:[Employee Name]],2,FALSE)</f>
        <v>RIA DINA SUYENI NASUTION</v>
      </c>
      <c r="E678" t="str">
        <f>VLOOKUP(Table3[[#This Row],[Employee No.]],Table1_1[[Employee No.]:[Department]],6,FALSE)</f>
        <v>AOI</v>
      </c>
      <c r="F678" t="str">
        <f>VLOOKUP(Table3[[#This Row],[Employee No.]],Table1_1[[Employee No.]:[Gender]],7,FALSE)</f>
        <v>F</v>
      </c>
      <c r="G678" t="str">
        <f>VLOOKUP(Table3[[#This Row],[Employee No.]],Table1_1[[Employee No.]:[Shift]],9,FALSE)</f>
        <v>SHIFT B</v>
      </c>
      <c r="H678" s="25">
        <v>1</v>
      </c>
      <c r="I678" s="25">
        <v>1</v>
      </c>
      <c r="J678" s="25">
        <v>1</v>
      </c>
      <c r="K678" s="25">
        <v>1</v>
      </c>
      <c r="L678" s="25">
        <v>1</v>
      </c>
      <c r="M678" s="25">
        <v>1</v>
      </c>
    </row>
    <row r="679" spans="3:16">
      <c r="C679" s="22" t="s">
        <v>3097</v>
      </c>
      <c r="D679" t="str">
        <f>VLOOKUP(Table3[[#This Row],[Employee No.]],Table1_1[[Employee No.]:[Employee Name]],2,FALSE)</f>
        <v>RISKY NUR APRILLA</v>
      </c>
      <c r="E679" t="str">
        <f>VLOOKUP(Table3[[#This Row],[Employee No.]],Table1_1[[Employee No.]:[Department]],6,FALSE)</f>
        <v>AOI</v>
      </c>
      <c r="F679" t="str">
        <f>VLOOKUP(Table3[[#This Row],[Employee No.]],Table1_1[[Employee No.]:[Gender]],7,FALSE)</f>
        <v>F</v>
      </c>
      <c r="G679" t="str">
        <f>VLOOKUP(Table3[[#This Row],[Employee No.]],Table1_1[[Employee No.]:[Shift]],9,FALSE)</f>
        <v>SHIFT C</v>
      </c>
      <c r="H679" s="25">
        <v>1</v>
      </c>
      <c r="I679" s="25">
        <v>1</v>
      </c>
      <c r="J679" s="25">
        <v>1</v>
      </c>
      <c r="K679" s="25">
        <v>1</v>
      </c>
      <c r="L679" s="25">
        <v>1</v>
      </c>
      <c r="M679" s="25">
        <v>1</v>
      </c>
      <c r="P679" s="25"/>
    </row>
    <row r="680" spans="3:16">
      <c r="C680" s="22" t="s">
        <v>3099</v>
      </c>
      <c r="D680" t="str">
        <f>VLOOKUP(Table3[[#This Row],[Employee No.]],Table1_1[[Employee No.]:[Employee Name]],2,FALSE)</f>
        <v>SARI MARIA HUTAPEA</v>
      </c>
      <c r="E680" t="str">
        <f>VLOOKUP(Table3[[#This Row],[Employee No.]],Table1_1[[Employee No.]:[Department]],6,FALSE)</f>
        <v>FVI</v>
      </c>
      <c r="F680" t="str">
        <f>VLOOKUP(Table3[[#This Row],[Employee No.]],Table1_1[[Employee No.]:[Gender]],7,FALSE)</f>
        <v>F</v>
      </c>
      <c r="G680" t="str">
        <f>VLOOKUP(Table3[[#This Row],[Employee No.]],Table1_1[[Employee No.]:[Shift]],9,FALSE)</f>
        <v>SHIFT B</v>
      </c>
      <c r="H680" s="25">
        <v>1</v>
      </c>
      <c r="I680" s="25">
        <v>1</v>
      </c>
      <c r="J680" s="25">
        <v>1</v>
      </c>
      <c r="K680" s="25">
        <v>1</v>
      </c>
      <c r="L680" s="25">
        <v>1</v>
      </c>
      <c r="M680" s="25">
        <v>1</v>
      </c>
    </row>
    <row r="681" spans="3:16">
      <c r="C681" s="22" t="s">
        <v>3101</v>
      </c>
      <c r="D681" t="str">
        <f>VLOOKUP(Table3[[#This Row],[Employee No.]],Table1_1[[Employee No.]:[Employee Name]],2,FALSE)</f>
        <v>WIDYAWATY KABAN</v>
      </c>
      <c r="E681" t="str">
        <f>VLOOKUP(Table3[[#This Row],[Employee No.]],Table1_1[[Employee No.]:[Department]],6,FALSE)</f>
        <v>CHAMFER</v>
      </c>
      <c r="F681" t="str">
        <f>VLOOKUP(Table3[[#This Row],[Employee No.]],Table1_1[[Employee No.]:[Gender]],7,FALSE)</f>
        <v>F</v>
      </c>
      <c r="G681" t="str">
        <f>VLOOKUP(Table3[[#This Row],[Employee No.]],Table1_1[[Employee No.]:[Shift]],9,FALSE)</f>
        <v>SHIFT B</v>
      </c>
      <c r="H681" s="25">
        <v>1</v>
      </c>
      <c r="I681" s="25">
        <v>1</v>
      </c>
      <c r="J681" s="25">
        <v>1</v>
      </c>
      <c r="K681" s="25">
        <v>1</v>
      </c>
      <c r="L681" s="25">
        <v>1</v>
      </c>
      <c r="M681" s="25">
        <v>1</v>
      </c>
    </row>
    <row r="682" spans="3:16">
      <c r="C682" s="22" t="s">
        <v>3103</v>
      </c>
      <c r="D682" t="str">
        <f>VLOOKUP(Table3[[#This Row],[Employee No.]],Table1_1[[Employee No.]:[Employee Name]],2,FALSE)</f>
        <v>YESSIKA SIREGAR</v>
      </c>
      <c r="E682" t="str">
        <f>VLOOKUP(Table3[[#This Row],[Employee No.]],Table1_1[[Employee No.]:[Department]],6,FALSE)</f>
        <v>MLB</v>
      </c>
      <c r="F682" t="str">
        <f>VLOOKUP(Table3[[#This Row],[Employee No.]],Table1_1[[Employee No.]:[Gender]],7,FALSE)</f>
        <v>F</v>
      </c>
      <c r="G682" t="str">
        <f>VLOOKUP(Table3[[#This Row],[Employee No.]],Table1_1[[Employee No.]:[Shift]],9,FALSE)</f>
        <v>SHIFT A</v>
      </c>
      <c r="H682" s="25">
        <v>1</v>
      </c>
      <c r="I682" s="25">
        <v>1</v>
      </c>
      <c r="J682" s="25">
        <v>1</v>
      </c>
      <c r="K682" s="25">
        <v>1</v>
      </c>
      <c r="L682" s="25">
        <v>1</v>
      </c>
      <c r="M682" s="25">
        <v>1</v>
      </c>
    </row>
    <row r="683" spans="3:16">
      <c r="C683" s="22" t="s">
        <v>3105</v>
      </c>
      <c r="D683" t="str">
        <f>VLOOKUP(Table3[[#This Row],[Employee No.]],Table1_1[[Employee No.]:[Employee Name]],2,FALSE)</f>
        <v>YUNI KARTIKA SIMBOLON</v>
      </c>
      <c r="E683" t="str">
        <f>VLOOKUP(Table3[[#This Row],[Employee No.]],Table1_1[[Employee No.]:[Department]],6,FALSE)</f>
        <v>FVI</v>
      </c>
      <c r="F683" t="str">
        <f>VLOOKUP(Table3[[#This Row],[Employee No.]],Table1_1[[Employee No.]:[Gender]],7,FALSE)</f>
        <v>F</v>
      </c>
      <c r="G683" t="str">
        <f>VLOOKUP(Table3[[#This Row],[Employee No.]],Table1_1[[Employee No.]:[Shift]],9,FALSE)</f>
        <v>SHIFT B</v>
      </c>
      <c r="H683" s="25">
        <v>1</v>
      </c>
      <c r="I683" s="25">
        <v>1</v>
      </c>
      <c r="J683" s="25">
        <v>1</v>
      </c>
      <c r="K683" s="25">
        <v>1</v>
      </c>
      <c r="L683" s="25">
        <v>1</v>
      </c>
      <c r="M683" s="25">
        <v>1</v>
      </c>
    </row>
    <row r="684" spans="3:16">
      <c r="C684" s="22" t="s">
        <v>3107</v>
      </c>
      <c r="D684" t="str">
        <f>VLOOKUP(Table3[[#This Row],[Employee No.]],Table1_1[[Employee No.]:[Employee Name]],2,FALSE)</f>
        <v>YURIS TIRAI SUARSIH</v>
      </c>
      <c r="E684" t="str">
        <f>VLOOKUP(Table3[[#This Row],[Employee No.]],Table1_1[[Employee No.]:[Department]],6,FALSE)</f>
        <v>CHAMFER</v>
      </c>
      <c r="F684" t="str">
        <f>VLOOKUP(Table3[[#This Row],[Employee No.]],Table1_1[[Employee No.]:[Gender]],7,FALSE)</f>
        <v>F</v>
      </c>
      <c r="G684" t="str">
        <f>VLOOKUP(Table3[[#This Row],[Employee No.]],Table1_1[[Employee No.]:[Shift]],9,FALSE)</f>
        <v>SHIFT B</v>
      </c>
      <c r="H684" s="25">
        <v>1</v>
      </c>
      <c r="I684" s="25">
        <v>1</v>
      </c>
      <c r="J684" s="25">
        <v>1</v>
      </c>
      <c r="K684" s="25">
        <v>1</v>
      </c>
      <c r="L684" s="25">
        <v>1</v>
      </c>
      <c r="M684" s="25">
        <v>1</v>
      </c>
    </row>
    <row r="685" spans="3:16">
      <c r="C685" s="22" t="s">
        <v>3109</v>
      </c>
      <c r="D685" t="str">
        <f>VLOOKUP(Table3[[#This Row],[Employee No.]],Table1_1[[Employee No.]:[Employee Name]],2,FALSE)</f>
        <v>ZULIA NASUTION</v>
      </c>
      <c r="E685" t="str">
        <f>VLOOKUP(Table3[[#This Row],[Employee No.]],Table1_1[[Employee No.]:[Department]],6,FALSE)</f>
        <v>FVI</v>
      </c>
      <c r="F685" t="str">
        <f>VLOOKUP(Table3[[#This Row],[Employee No.]],Table1_1[[Employee No.]:[Gender]],7,FALSE)</f>
        <v>F</v>
      </c>
      <c r="G685" t="str">
        <f>VLOOKUP(Table3[[#This Row],[Employee No.]],Table1_1[[Employee No.]:[Shift]],9,FALSE)</f>
        <v>SHIFT C</v>
      </c>
      <c r="H685" s="25">
        <v>1</v>
      </c>
      <c r="I685" s="25">
        <v>1</v>
      </c>
      <c r="J685" s="25">
        <v>1</v>
      </c>
      <c r="K685" s="25">
        <v>1</v>
      </c>
      <c r="L685" s="25">
        <v>1</v>
      </c>
      <c r="M685" s="25">
        <v>1</v>
      </c>
      <c r="P685" s="25"/>
    </row>
    <row r="686" spans="3:16">
      <c r="C686" s="22" t="s">
        <v>3119</v>
      </c>
      <c r="D686" t="str">
        <f>VLOOKUP(Table3[[#This Row],[Employee No.]],Table1_1[[Employee No.]:[Employee Name]],2,FALSE)</f>
        <v>MOHAMAD ALLIF BIN HALIM</v>
      </c>
      <c r="E686" t="str">
        <f>VLOOKUP(Table3[[#This Row],[Employee No.]],Table1_1[[Employee No.]:[Department]],6,FALSE)</f>
        <v>DF</v>
      </c>
      <c r="F686" t="str">
        <f>VLOOKUP(Table3[[#This Row],[Employee No.]],Table1_1[[Employee No.]:[Gender]],7,FALSE)</f>
        <v>M</v>
      </c>
      <c r="G686" t="str">
        <f>VLOOKUP(Table3[[#This Row],[Employee No.]],Table1_1[[Employee No.]:[Shift]],9,FALSE)</f>
        <v>SHIFT C</v>
      </c>
      <c r="H686" s="25">
        <v>1</v>
      </c>
      <c r="I686" s="25">
        <v>1</v>
      </c>
      <c r="J686" s="25">
        <v>0</v>
      </c>
      <c r="K686" s="25">
        <v>1</v>
      </c>
      <c r="L686" s="25">
        <v>1</v>
      </c>
      <c r="M686" s="25">
        <v>1</v>
      </c>
      <c r="P686" s="25"/>
    </row>
    <row r="687" spans="3:16">
      <c r="C687" s="22" t="s">
        <v>3123</v>
      </c>
      <c r="D687" t="str">
        <f>VLOOKUP(Table3[[#This Row],[Employee No.]],Table1_1[[Employee No.]:[Employee Name]],2,FALSE)</f>
        <v>NUR ALYA MAISARAH BINTI MOHD ZAMBRI</v>
      </c>
      <c r="E687" t="str">
        <f>VLOOKUP(Table3[[#This Row],[Employee No.]],Table1_1[[Employee No.]:[Department]],6,FALSE)</f>
        <v>CHAMFER</v>
      </c>
      <c r="F687" t="str">
        <f>VLOOKUP(Table3[[#This Row],[Employee No.]],Table1_1[[Employee No.]:[Gender]],7,FALSE)</f>
        <v>F</v>
      </c>
      <c r="G687" t="str">
        <f>VLOOKUP(Table3[[#This Row],[Employee No.]],Table1_1[[Employee No.]:[Shift]],9,FALSE)</f>
        <v>SHIFT C</v>
      </c>
      <c r="H687" s="25">
        <v>1</v>
      </c>
      <c r="I687" s="25">
        <v>1</v>
      </c>
      <c r="J687" s="25">
        <v>1</v>
      </c>
      <c r="K687" s="25">
        <v>1</v>
      </c>
      <c r="L687" s="25">
        <v>1</v>
      </c>
      <c r="M687" s="25">
        <v>1</v>
      </c>
      <c r="P687" s="25"/>
    </row>
    <row r="688" spans="3:16">
      <c r="C688" s="22" t="s">
        <v>3127</v>
      </c>
      <c r="D688" t="str">
        <f>VLOOKUP(Table3[[#This Row],[Employee No.]],Table1_1[[Employee No.]:[Employee Name]],2,FALSE)</f>
        <v>AZLIEYANA AZWA BINTI ABDUL AZIZ</v>
      </c>
      <c r="E688" t="str">
        <f>VLOOKUP(Table3[[#This Row],[Employee No.]],Table1_1[[Employee No.]:[Department]],6,FALSE)</f>
        <v>FVI</v>
      </c>
      <c r="F688" t="str">
        <f>VLOOKUP(Table3[[#This Row],[Employee No.]],Table1_1[[Employee No.]:[Gender]],7,FALSE)</f>
        <v>F</v>
      </c>
      <c r="G688" t="str">
        <f>VLOOKUP(Table3[[#This Row],[Employee No.]],Table1_1[[Employee No.]:[Shift]],9,FALSE)</f>
        <v>SHIFT C</v>
      </c>
      <c r="H688" s="25">
        <v>1</v>
      </c>
      <c r="I688" s="25">
        <v>1</v>
      </c>
      <c r="J688" s="25">
        <v>1</v>
      </c>
      <c r="K688" s="25">
        <v>1</v>
      </c>
      <c r="L688" s="25">
        <v>1</v>
      </c>
      <c r="M688" s="25">
        <v>0</v>
      </c>
      <c r="P688" s="25"/>
    </row>
    <row r="689" spans="3:16">
      <c r="C689" s="22" t="s">
        <v>3131</v>
      </c>
      <c r="D689" t="str">
        <f>VLOOKUP(Table3[[#This Row],[Employee No.]],Table1_1[[Employee No.]:[Employee Name]],2,FALSE)</f>
        <v>NOR SYAZWANI BINTI SHAMSUDIN</v>
      </c>
      <c r="E689" t="str">
        <f>VLOOKUP(Table3[[#This Row],[Employee No.]],Table1_1[[Employee No.]:[Department]],6,FALSE)</f>
        <v>FVI</v>
      </c>
      <c r="F689" t="str">
        <f>VLOOKUP(Table3[[#This Row],[Employee No.]],Table1_1[[Employee No.]:[Gender]],7,FALSE)</f>
        <v>F</v>
      </c>
      <c r="G689" t="str">
        <f>VLOOKUP(Table3[[#This Row],[Employee No.]],Table1_1[[Employee No.]:[Shift]],9,FALSE)</f>
        <v>SHIFT A</v>
      </c>
      <c r="H689" s="25">
        <v>1</v>
      </c>
      <c r="I689" s="25">
        <v>1</v>
      </c>
      <c r="J689" s="25">
        <v>1</v>
      </c>
      <c r="K689" s="25">
        <v>1</v>
      </c>
      <c r="L689" s="25">
        <v>1</v>
      </c>
      <c r="M689" s="25">
        <v>1</v>
      </c>
    </row>
    <row r="690" spans="3:16">
      <c r="C690" s="22" t="s">
        <v>3135</v>
      </c>
      <c r="D690" t="str">
        <f>VLOOKUP(Table3[[#This Row],[Employee No.]],Table1_1[[Employee No.]:[Employee Name]],2,FALSE)</f>
        <v>NUR AISYA AMEERA HAZHAR</v>
      </c>
      <c r="E690" t="str">
        <f>VLOOKUP(Table3[[#This Row],[Employee No.]],Table1_1[[Employee No.]:[Department]],6,FALSE)</f>
        <v>AOI</v>
      </c>
      <c r="F690" t="str">
        <f>VLOOKUP(Table3[[#This Row],[Employee No.]],Table1_1[[Employee No.]:[Gender]],7,FALSE)</f>
        <v>F</v>
      </c>
      <c r="G690" t="str">
        <f>VLOOKUP(Table3[[#This Row],[Employee No.]],Table1_1[[Employee No.]:[Shift]],9,FALSE)</f>
        <v>SHIFT A</v>
      </c>
      <c r="H690" s="25">
        <v>1</v>
      </c>
      <c r="I690" s="25">
        <v>1</v>
      </c>
      <c r="J690" s="25">
        <v>1</v>
      </c>
      <c r="K690" s="25">
        <v>1</v>
      </c>
      <c r="L690" s="25">
        <v>1</v>
      </c>
      <c r="M690" s="25">
        <v>1</v>
      </c>
    </row>
    <row r="691" spans="3:16">
      <c r="C691" s="22" t="s">
        <v>3139</v>
      </c>
      <c r="D691" t="str">
        <f>VLOOKUP(Table3[[#This Row],[Employee No.]],Table1_1[[Employee No.]:[Employee Name]],2,FALSE)</f>
        <v>UMMUL KHAIRI FATIMAH BINTI ABDUL AZIZ</v>
      </c>
      <c r="E691" t="str">
        <f>VLOOKUP(Table3[[#This Row],[Employee No.]],Table1_1[[Employee No.]:[Department]],6,FALSE)</f>
        <v>FVI</v>
      </c>
      <c r="F691" t="str">
        <f>VLOOKUP(Table3[[#This Row],[Employee No.]],Table1_1[[Employee No.]:[Gender]],7,FALSE)</f>
        <v>F</v>
      </c>
      <c r="G691" t="str">
        <f>VLOOKUP(Table3[[#This Row],[Employee No.]],Table1_1[[Employee No.]:[Shift]],9,FALSE)</f>
        <v>SHIFT A</v>
      </c>
      <c r="H691" s="25">
        <v>1</v>
      </c>
      <c r="I691" s="25">
        <v>1</v>
      </c>
      <c r="J691" s="25">
        <v>1</v>
      </c>
      <c r="K691" s="25">
        <v>1</v>
      </c>
      <c r="L691" s="25">
        <v>1</v>
      </c>
      <c r="M691" s="25">
        <v>1</v>
      </c>
    </row>
    <row r="692" spans="3:16">
      <c r="C692" s="22" t="s">
        <v>3143</v>
      </c>
      <c r="D692" t="str">
        <f>VLOOKUP(Table3[[#This Row],[Employee No.]],Table1_1[[Employee No.]:[Employee Name]],2,FALSE)</f>
        <v>MUHAMMAD NAZRI BIN MOHD RODHI</v>
      </c>
      <c r="E692" t="str">
        <f>VLOOKUP(Table3[[#This Row],[Employee No.]],Table1_1[[Employee No.]:[Department]],6,FALSE)</f>
        <v>ROUTER</v>
      </c>
      <c r="F692" t="str">
        <f>VLOOKUP(Table3[[#This Row],[Employee No.]],Table1_1[[Employee No.]:[Gender]],7,FALSE)</f>
        <v>M</v>
      </c>
      <c r="G692" t="str">
        <f>VLOOKUP(Table3[[#This Row],[Employee No.]],Table1_1[[Employee No.]:[Shift]],9,FALSE)</f>
        <v>SHIFT A</v>
      </c>
      <c r="H692" s="25">
        <v>1</v>
      </c>
      <c r="I692" s="25">
        <v>1</v>
      </c>
      <c r="J692" s="25">
        <v>1</v>
      </c>
      <c r="K692" s="25">
        <v>1</v>
      </c>
      <c r="L692" s="25">
        <v>1</v>
      </c>
      <c r="M692" s="25">
        <v>1</v>
      </c>
    </row>
    <row r="693" spans="3:16">
      <c r="C693" s="22" t="s">
        <v>3147</v>
      </c>
      <c r="D693" t="str">
        <f>VLOOKUP(Table3[[#This Row],[Employee No.]],Table1_1[[Employee No.]:[Employee Name]],2,FALSE)</f>
        <v>NUR HIDAYANI BINTI RAZALI</v>
      </c>
      <c r="E693" t="str">
        <f>VLOOKUP(Table3[[#This Row],[Employee No.]],Table1_1[[Employee No.]:[Department]],6,FALSE)</f>
        <v>AOI</v>
      </c>
      <c r="F693" t="str">
        <f>VLOOKUP(Table3[[#This Row],[Employee No.]],Table1_1[[Employee No.]:[Gender]],7,FALSE)</f>
        <v>F</v>
      </c>
      <c r="G693" t="str">
        <f>VLOOKUP(Table3[[#This Row],[Employee No.]],Table1_1[[Employee No.]:[Shift]],9,FALSE)</f>
        <v>SHIFT C</v>
      </c>
      <c r="H693" s="25">
        <v>1</v>
      </c>
      <c r="I693" s="25">
        <v>1</v>
      </c>
      <c r="J693" s="25">
        <v>1</v>
      </c>
      <c r="K693" s="25">
        <v>1</v>
      </c>
      <c r="L693" s="25">
        <v>1</v>
      </c>
      <c r="M693" s="25">
        <v>0</v>
      </c>
      <c r="P693" s="25"/>
    </row>
    <row r="694" spans="3:16">
      <c r="C694" s="22" t="s">
        <v>3151</v>
      </c>
      <c r="D694" t="str">
        <f>VLOOKUP(Table3[[#This Row],[Employee No.]],Table1_1[[Employee No.]:[Employee Name]],2,FALSE)</f>
        <v>MUHAMAD RAZI BIN JABIR</v>
      </c>
      <c r="E694" t="str">
        <f>VLOOKUP(Table3[[#This Row],[Employee No.]],Table1_1[[Employee No.]:[Department]],6,FALSE)</f>
        <v>AOI</v>
      </c>
      <c r="F694" t="str">
        <f>VLOOKUP(Table3[[#This Row],[Employee No.]],Table1_1[[Employee No.]:[Gender]],7,FALSE)</f>
        <v>M</v>
      </c>
      <c r="G694" t="str">
        <f>VLOOKUP(Table3[[#This Row],[Employee No.]],Table1_1[[Employee No.]:[Shift]],9,FALSE)</f>
        <v>SHIFT E</v>
      </c>
      <c r="H694" s="25">
        <v>0</v>
      </c>
      <c r="I694" s="25">
        <v>1</v>
      </c>
      <c r="J694" s="25">
        <v>1</v>
      </c>
      <c r="K694" s="25">
        <v>1</v>
      </c>
      <c r="L694" s="25">
        <v>1</v>
      </c>
      <c r="M694" s="25">
        <v>1</v>
      </c>
    </row>
    <row r="695" spans="3:16">
      <c r="C695" s="22" t="s">
        <v>3155</v>
      </c>
      <c r="D695" t="str">
        <f>VLOOKUP(Table3[[#This Row],[Employee No.]],Table1_1[[Employee No.]:[Employee Name]],2,FALSE)</f>
        <v>SYARIFAH NUR AFIFAH BINTI SYED ABD HALIM</v>
      </c>
      <c r="E695" t="str">
        <f>VLOOKUP(Table3[[#This Row],[Employee No.]],Table1_1[[Employee No.]:[Department]],6,FALSE)</f>
        <v>FVI</v>
      </c>
      <c r="F695" t="str">
        <f>VLOOKUP(Table3[[#This Row],[Employee No.]],Table1_1[[Employee No.]:[Gender]],7,FALSE)</f>
        <v>F</v>
      </c>
      <c r="G695" t="str">
        <f>VLOOKUP(Table3[[#This Row],[Employee No.]],Table1_1[[Employee No.]:[Shift]],9,FALSE)</f>
        <v>SHIFT C</v>
      </c>
      <c r="H695" s="25">
        <v>1</v>
      </c>
      <c r="I695" s="25">
        <v>1</v>
      </c>
      <c r="J695" s="25">
        <v>1</v>
      </c>
      <c r="K695" s="25">
        <v>1</v>
      </c>
      <c r="L695" s="25">
        <v>1</v>
      </c>
      <c r="M695" s="25">
        <v>1</v>
      </c>
      <c r="P695" s="25"/>
    </row>
    <row r="696" spans="3:16">
      <c r="C696" s="22" t="s">
        <v>3159</v>
      </c>
      <c r="D696" t="str">
        <f>VLOOKUP(Table3[[#This Row],[Employee No.]],Table1_1[[Employee No.]:[Employee Name]],2,FALSE)</f>
        <v>MUHAMMAD HAZIQ HAIKAL BIN MAT SALIM</v>
      </c>
      <c r="E696" t="str">
        <f>VLOOKUP(Table3[[#This Row],[Employee No.]],Table1_1[[Employee No.]:[Department]],6,FALSE)</f>
        <v>DF</v>
      </c>
      <c r="F696" t="str">
        <f>VLOOKUP(Table3[[#This Row],[Employee No.]],Table1_1[[Employee No.]:[Gender]],7,FALSE)</f>
        <v>M</v>
      </c>
      <c r="G696" t="str">
        <f>VLOOKUP(Table3[[#This Row],[Employee No.]],Table1_1[[Employee No.]:[Shift]],9,FALSE)</f>
        <v>SHIFT C</v>
      </c>
      <c r="H696" s="25">
        <v>1</v>
      </c>
      <c r="I696" s="25">
        <v>1</v>
      </c>
      <c r="J696" s="25">
        <v>1</v>
      </c>
      <c r="K696" s="25">
        <v>1</v>
      </c>
      <c r="L696" s="25">
        <v>1</v>
      </c>
      <c r="M696" s="25">
        <v>1</v>
      </c>
      <c r="P696" s="25"/>
    </row>
    <row r="697" spans="3:16">
      <c r="C697" s="22" t="s">
        <v>3163</v>
      </c>
      <c r="D697" t="str">
        <f>VLOOKUP(Table3[[#This Row],[Employee No.]],Table1_1[[Employee No.]:[Employee Name]],2,FALSE)</f>
        <v>SITI KHADIJAH BINTI PADZIL</v>
      </c>
      <c r="E697" t="str">
        <f>VLOOKUP(Table3[[#This Row],[Employee No.]],Table1_1[[Employee No.]:[Department]],6,FALSE)</f>
        <v>FVI</v>
      </c>
      <c r="F697" t="str">
        <f>VLOOKUP(Table3[[#This Row],[Employee No.]],Table1_1[[Employee No.]:[Gender]],7,FALSE)</f>
        <v>F</v>
      </c>
      <c r="G697" t="str">
        <f>VLOOKUP(Table3[[#This Row],[Employee No.]],Table1_1[[Employee No.]:[Shift]],9,FALSE)</f>
        <v>SHIFT C</v>
      </c>
      <c r="H697" s="25">
        <v>1</v>
      </c>
      <c r="I697" s="25">
        <v>1</v>
      </c>
      <c r="J697" s="25">
        <v>1</v>
      </c>
      <c r="K697" s="25">
        <v>1</v>
      </c>
      <c r="L697" s="25">
        <v>1</v>
      </c>
      <c r="M697" s="25">
        <v>1</v>
      </c>
      <c r="P697" s="25"/>
    </row>
    <row r="698" spans="3:16">
      <c r="C698" s="22" t="s">
        <v>3167</v>
      </c>
      <c r="D698" t="str">
        <f>VLOOKUP(Table3[[#This Row],[Employee No.]],Table1_1[[Employee No.]:[Employee Name]],2,FALSE)</f>
        <v>MUHAMMAD KHAIRUL AMIN BIN SUHAIMI</v>
      </c>
      <c r="E698" t="str">
        <f>VLOOKUP(Table3[[#This Row],[Employee No.]],Table1_1[[Employee No.]:[Department]],6,FALSE)</f>
        <v>DF</v>
      </c>
      <c r="F698" t="str">
        <f>VLOOKUP(Table3[[#This Row],[Employee No.]],Table1_1[[Employee No.]:[Gender]],7,FALSE)</f>
        <v>M</v>
      </c>
      <c r="G698" t="str">
        <f>VLOOKUP(Table3[[#This Row],[Employee No.]],Table1_1[[Employee No.]:[Shift]],9,FALSE)</f>
        <v>SHIFT C</v>
      </c>
      <c r="H698" s="25">
        <v>1</v>
      </c>
      <c r="I698" s="25">
        <v>1</v>
      </c>
      <c r="J698" s="25">
        <v>1</v>
      </c>
      <c r="K698" s="25">
        <v>1</v>
      </c>
      <c r="L698" s="25">
        <v>1</v>
      </c>
      <c r="M698" s="25">
        <v>1</v>
      </c>
      <c r="P698" s="25"/>
    </row>
    <row r="699" spans="3:16">
      <c r="C699" s="22" t="s">
        <v>3171</v>
      </c>
      <c r="D699" t="str">
        <f>VLOOKUP(Table3[[#This Row],[Employee No.]],Table1_1[[Employee No.]:[Employee Name]],2,FALSE)</f>
        <v>MOHD RIDZUAN BIN AHMAD BAKHARI</v>
      </c>
      <c r="E699" t="str">
        <f>VLOOKUP(Table3[[#This Row],[Employee No.]],Table1_1[[Employee No.]:[Department]],6,FALSE)</f>
        <v>FVI</v>
      </c>
      <c r="F699" t="str">
        <f>VLOOKUP(Table3[[#This Row],[Employee No.]],Table1_1[[Employee No.]:[Gender]],7,FALSE)</f>
        <v>M</v>
      </c>
      <c r="G699" t="str">
        <f>VLOOKUP(Table3[[#This Row],[Employee No.]],Table1_1[[Employee No.]:[Shift]],9,FALSE)</f>
        <v>SHIFT C</v>
      </c>
      <c r="H699" s="25">
        <v>1</v>
      </c>
      <c r="I699" s="25">
        <v>1</v>
      </c>
      <c r="J699" s="25">
        <v>1</v>
      </c>
      <c r="K699" s="25">
        <v>1</v>
      </c>
      <c r="L699" s="25">
        <v>1</v>
      </c>
      <c r="M699" s="25">
        <v>1</v>
      </c>
      <c r="P699" s="25"/>
    </row>
    <row r="700" spans="3:16">
      <c r="C700" s="22" t="s">
        <v>3175</v>
      </c>
      <c r="D700" t="str">
        <f>VLOOKUP(Table3[[#This Row],[Employee No.]],Table1_1[[Employee No.]:[Employee Name]],2,FALSE)</f>
        <v>MUHAMMAD SAID BIN ROSLI</v>
      </c>
      <c r="E700" t="str">
        <f>VLOOKUP(Table3[[#This Row],[Employee No.]],Table1_1[[Employee No.]:[Department]],6,FALSE)</f>
        <v>BBT</v>
      </c>
      <c r="F700" t="str">
        <f>VLOOKUP(Table3[[#This Row],[Employee No.]],Table1_1[[Employee No.]:[Gender]],7,FALSE)</f>
        <v>M</v>
      </c>
      <c r="G700" t="str">
        <f>VLOOKUP(Table3[[#This Row],[Employee No.]],Table1_1[[Employee No.]:[Shift]],9,FALSE)</f>
        <v>SHIFT A</v>
      </c>
      <c r="H700" s="25">
        <v>1</v>
      </c>
      <c r="I700" s="25">
        <v>1</v>
      </c>
      <c r="J700" s="25">
        <v>1</v>
      </c>
      <c r="K700" s="25">
        <v>1</v>
      </c>
      <c r="L700" s="25">
        <v>1</v>
      </c>
      <c r="M700" s="25">
        <v>1</v>
      </c>
    </row>
    <row r="701" spans="3:16">
      <c r="C701" s="22" t="s">
        <v>3179</v>
      </c>
      <c r="D701" t="str">
        <f>VLOOKUP(Table3[[#This Row],[Employee No.]],Table1_1[[Employee No.]:[Employee Name]],2,FALSE)</f>
        <v>NURUL AINNABILA BINTI ABDUL AZIZ</v>
      </c>
      <c r="E701" t="str">
        <f>VLOOKUP(Table3[[#This Row],[Employee No.]],Table1_1[[Employee No.]:[Department]],6,FALSE)</f>
        <v>FVI</v>
      </c>
      <c r="F701" t="str">
        <f>VLOOKUP(Table3[[#This Row],[Employee No.]],Table1_1[[Employee No.]:[Gender]],7,FALSE)</f>
        <v>F</v>
      </c>
      <c r="G701" t="str">
        <f>VLOOKUP(Table3[[#This Row],[Employee No.]],Table1_1[[Employee No.]:[Shift]],9,FALSE)</f>
        <v>SHIFT A</v>
      </c>
      <c r="H701" s="25">
        <v>1</v>
      </c>
      <c r="I701" s="25">
        <v>1</v>
      </c>
      <c r="J701" s="25">
        <v>1</v>
      </c>
      <c r="K701" s="25">
        <v>1</v>
      </c>
      <c r="L701" s="25">
        <v>1</v>
      </c>
      <c r="M701" s="25">
        <v>1</v>
      </c>
    </row>
    <row r="702" spans="3:16">
      <c r="C702" s="22" t="s">
        <v>3183</v>
      </c>
      <c r="D702" t="str">
        <f>VLOOKUP(Table3[[#This Row],[Employee No.]],Table1_1[[Employee No.]:[Employee Name]],2,FALSE)</f>
        <v>AHMAD SYAIFUL IZZHAR BIN AHMAD RADHI</v>
      </c>
      <c r="E702" t="str">
        <f>VLOOKUP(Table3[[#This Row],[Employee No.]],Table1_1[[Employee No.]:[Department]],6,FALSE)</f>
        <v>AOI</v>
      </c>
      <c r="F702" t="str">
        <f>VLOOKUP(Table3[[#This Row],[Employee No.]],Table1_1[[Employee No.]:[Gender]],7,FALSE)</f>
        <v>M</v>
      </c>
      <c r="G702" t="str">
        <f>VLOOKUP(Table3[[#This Row],[Employee No.]],Table1_1[[Employee No.]:[Shift]],9,FALSE)</f>
        <v>SHIFT C</v>
      </c>
      <c r="H702" s="25">
        <v>1</v>
      </c>
      <c r="I702" s="25">
        <v>1</v>
      </c>
      <c r="J702" s="25">
        <v>1</v>
      </c>
      <c r="K702" s="25">
        <v>1</v>
      </c>
      <c r="L702" s="25">
        <v>1</v>
      </c>
      <c r="M702" s="25">
        <v>1</v>
      </c>
      <c r="P702" s="25"/>
    </row>
    <row r="703" spans="3:16">
      <c r="C703" s="22" t="s">
        <v>3186</v>
      </c>
      <c r="D703" t="str">
        <f>VLOOKUP(Table3[[#This Row],[Employee No.]],Table1_1[[Employee No.]:[Employee Name]],2,FALSE)</f>
        <v>NURUL HUDA BINTI IBRAHIM</v>
      </c>
      <c r="E703" t="str">
        <f>VLOOKUP(Table3[[#This Row],[Employee No.]],Table1_1[[Employee No.]:[Department]],6,FALSE)</f>
        <v>DRILL</v>
      </c>
      <c r="F703" t="str">
        <f>VLOOKUP(Table3[[#This Row],[Employee No.]],Table1_1[[Employee No.]:[Gender]],7,FALSE)</f>
        <v>F</v>
      </c>
      <c r="G703" t="str">
        <f>VLOOKUP(Table3[[#This Row],[Employee No.]],Table1_1[[Employee No.]:[Shift]],9,FALSE)</f>
        <v>SHIFT C</v>
      </c>
      <c r="H703" s="25">
        <v>1</v>
      </c>
      <c r="I703" s="25">
        <v>1</v>
      </c>
      <c r="J703" s="25">
        <v>1</v>
      </c>
      <c r="K703" s="25">
        <v>1</v>
      </c>
      <c r="L703" s="25">
        <v>1</v>
      </c>
      <c r="M703" s="25">
        <v>1</v>
      </c>
      <c r="P703" s="25"/>
    </row>
    <row r="704" spans="3:16">
      <c r="C704" s="22" t="s">
        <v>3190</v>
      </c>
      <c r="D704" t="str">
        <f>VLOOKUP(Table3[[#This Row],[Employee No.]],Table1_1[[Employee No.]:[Employee Name]],2,FALSE)</f>
        <v>MOHD. AZROL AMRI</v>
      </c>
      <c r="E704" t="str">
        <f>VLOOKUP(Table3[[#This Row],[Employee No.]],Table1_1[[Employee No.]:[Department]],6,FALSE)</f>
        <v>CHAMFER</v>
      </c>
      <c r="F704" t="str">
        <f>VLOOKUP(Table3[[#This Row],[Employee No.]],Table1_1[[Employee No.]:[Gender]],7,FALSE)</f>
        <v>M</v>
      </c>
      <c r="G704" t="str">
        <f>VLOOKUP(Table3[[#This Row],[Employee No.]],Table1_1[[Employee No.]:[Shift]],9,FALSE)</f>
        <v>SHIFT C</v>
      </c>
      <c r="H704" s="25">
        <v>0</v>
      </c>
      <c r="I704" s="25">
        <v>0</v>
      </c>
      <c r="J704" s="25">
        <v>1</v>
      </c>
      <c r="K704" s="25">
        <v>1</v>
      </c>
      <c r="L704" s="25">
        <v>1</v>
      </c>
      <c r="M704" s="25">
        <v>1</v>
      </c>
    </row>
    <row r="705" spans="3:16">
      <c r="C705" s="22" t="s">
        <v>3194</v>
      </c>
      <c r="D705" t="str">
        <f>VLOOKUP(Table3[[#This Row],[Employee No.]],Table1_1[[Employee No.]:[Employee Name]],2,FALSE)</f>
        <v>NOORSHAHILA BINTI CHE ANI</v>
      </c>
      <c r="E705" t="str">
        <f>VLOOKUP(Table3[[#This Row],[Employee No.]],Table1_1[[Employee No.]:[Department]],6,FALSE)</f>
        <v>FVI</v>
      </c>
      <c r="F705" t="str">
        <f>VLOOKUP(Table3[[#This Row],[Employee No.]],Table1_1[[Employee No.]:[Gender]],7,FALSE)</f>
        <v>F</v>
      </c>
      <c r="G705" t="str">
        <f>VLOOKUP(Table3[[#This Row],[Employee No.]],Table1_1[[Employee No.]:[Shift]],9,FALSE)</f>
        <v>SHIFT B</v>
      </c>
      <c r="H705" s="25">
        <v>1</v>
      </c>
      <c r="I705" s="25">
        <v>1</v>
      </c>
      <c r="J705" s="25">
        <v>1</v>
      </c>
      <c r="K705" s="25">
        <v>1</v>
      </c>
      <c r="L705" s="25">
        <v>1</v>
      </c>
      <c r="M705" s="25">
        <v>1</v>
      </c>
    </row>
    <row r="706" spans="3:16">
      <c r="C706" s="22" t="s">
        <v>3198</v>
      </c>
      <c r="D706" t="str">
        <f>VLOOKUP(Table3[[#This Row],[Employee No.]],Table1_1[[Employee No.]:[Employee Name]],2,FALSE)</f>
        <v>MUHAMMAD ALIAS BIN AHMAD</v>
      </c>
      <c r="E706" t="str">
        <f>VLOOKUP(Table3[[#This Row],[Employee No.]],Table1_1[[Employee No.]:[Department]],6,FALSE)</f>
        <v>DRILL</v>
      </c>
      <c r="F706" t="str">
        <f>VLOOKUP(Table3[[#This Row],[Employee No.]],Table1_1[[Employee No.]:[Gender]],7,FALSE)</f>
        <v>M</v>
      </c>
      <c r="G706" t="str">
        <f>VLOOKUP(Table3[[#This Row],[Employee No.]],Table1_1[[Employee No.]:[Shift]],9,FALSE)</f>
        <v>SHIFT C</v>
      </c>
      <c r="H706" s="25">
        <v>1</v>
      </c>
      <c r="I706" s="25">
        <v>1</v>
      </c>
      <c r="J706" s="25">
        <v>1</v>
      </c>
      <c r="K706" s="25">
        <v>1</v>
      </c>
      <c r="L706" s="25">
        <v>1</v>
      </c>
      <c r="M706" s="25">
        <v>1</v>
      </c>
      <c r="P706" s="25"/>
    </row>
    <row r="707" spans="3:16">
      <c r="C707" s="22" t="s">
        <v>3202</v>
      </c>
      <c r="D707" t="str">
        <f>VLOOKUP(Table3[[#This Row],[Employee No.]],Table1_1[[Employee No.]:[Employee Name]],2,FALSE)</f>
        <v>MOHAMAD KHAIREEN BIN ABD KHAIR</v>
      </c>
      <c r="E707" t="str">
        <f>VLOOKUP(Table3[[#This Row],[Employee No.]],Table1_1[[Employee No.]:[Department]],6,FALSE)</f>
        <v>LASER</v>
      </c>
      <c r="F707" t="str">
        <f>VLOOKUP(Table3[[#This Row],[Employee No.]],Table1_1[[Employee No.]:[Gender]],7,FALSE)</f>
        <v>M</v>
      </c>
      <c r="G707" t="str">
        <f>VLOOKUP(Table3[[#This Row],[Employee No.]],Table1_1[[Employee No.]:[Shift]],9,FALSE)</f>
        <v>SHIFT B</v>
      </c>
      <c r="H707" s="25">
        <v>1</v>
      </c>
      <c r="I707" s="25">
        <v>1</v>
      </c>
      <c r="J707" s="25">
        <v>1</v>
      </c>
      <c r="K707" s="25">
        <v>1</v>
      </c>
      <c r="L707" s="25">
        <v>1</v>
      </c>
      <c r="M707" s="25">
        <v>1</v>
      </c>
    </row>
    <row r="708" spans="3:16">
      <c r="C708" s="22" t="s">
        <v>3206</v>
      </c>
      <c r="D708" t="str">
        <f>VLOOKUP(Table3[[#This Row],[Employee No.]],Table1_1[[Employee No.]:[Employee Name]],2,FALSE)</f>
        <v>MOHD SHAFIQ BIN SHAMSUDIN</v>
      </c>
      <c r="E708" t="str">
        <f>VLOOKUP(Table3[[#This Row],[Employee No.]],Table1_1[[Employee No.]:[Department]],6,FALSE)</f>
        <v>LASER</v>
      </c>
      <c r="F708" t="str">
        <f>VLOOKUP(Table3[[#This Row],[Employee No.]],Table1_1[[Employee No.]:[Gender]],7,FALSE)</f>
        <v>M</v>
      </c>
      <c r="G708" t="str">
        <f>VLOOKUP(Table3[[#This Row],[Employee No.]],Table1_1[[Employee No.]:[Shift]],9,FALSE)</f>
        <v>SHIFT C</v>
      </c>
      <c r="H708" s="25">
        <v>1</v>
      </c>
      <c r="I708" s="25">
        <v>1</v>
      </c>
      <c r="J708" s="25">
        <v>0</v>
      </c>
      <c r="K708" s="25">
        <v>1</v>
      </c>
      <c r="L708" s="25">
        <v>1</v>
      </c>
      <c r="M708" s="25">
        <v>1</v>
      </c>
      <c r="P708" s="25"/>
    </row>
    <row r="709" spans="3:16">
      <c r="C709" s="22" t="s">
        <v>3210</v>
      </c>
      <c r="D709" t="str">
        <f>VLOOKUP(Table3[[#This Row],[Employee No.]],Table1_1[[Employee No.]:[Employee Name]],2,FALSE)</f>
        <v>MOHD FIRDAUS BIN JAMIL</v>
      </c>
      <c r="E709" t="str">
        <f>VLOOKUP(Table3[[#This Row],[Employee No.]],Table1_1[[Employee No.]:[Department]],6,FALSE)</f>
        <v>WAREHOUSE</v>
      </c>
      <c r="F709" t="str">
        <f>VLOOKUP(Table3[[#This Row],[Employee No.]],Table1_1[[Employee No.]:[Gender]],7,FALSE)</f>
        <v>M</v>
      </c>
      <c r="G709" t="str">
        <f>VLOOKUP(Table3[[#This Row],[Employee No.]],Table1_1[[Employee No.]:[Shift]],9,FALSE)</f>
        <v>SHIFT A</v>
      </c>
      <c r="H709" s="25">
        <v>1</v>
      </c>
      <c r="I709" s="25">
        <v>1</v>
      </c>
      <c r="J709" s="25">
        <v>1</v>
      </c>
      <c r="K709" s="25">
        <v>1</v>
      </c>
      <c r="L709" s="25">
        <v>1</v>
      </c>
      <c r="M709" s="25">
        <v>1</v>
      </c>
    </row>
    <row r="710" spans="3:16">
      <c r="C710" s="22" t="s">
        <v>3214</v>
      </c>
      <c r="D710" t="str">
        <f>VLOOKUP(Table3[[#This Row],[Employee No.]],Table1_1[[Employee No.]:[Employee Name]],2,FALSE)</f>
        <v>NURUL HANIS BINTI ROMLI</v>
      </c>
      <c r="E710" t="str">
        <f>VLOOKUP(Table3[[#This Row],[Employee No.]],Table1_1[[Employee No.]:[Department]],6,FALSE)</f>
        <v>PACKING</v>
      </c>
      <c r="F710" t="str">
        <f>VLOOKUP(Table3[[#This Row],[Employee No.]],Table1_1[[Employee No.]:[Gender]],7,FALSE)</f>
        <v>F</v>
      </c>
      <c r="G710" t="str">
        <f>VLOOKUP(Table3[[#This Row],[Employee No.]],Table1_1[[Employee No.]:[Shift]],9,FALSE)</f>
        <v>SHIFT C</v>
      </c>
      <c r="H710" s="25">
        <v>1</v>
      </c>
      <c r="I710" s="25">
        <v>1</v>
      </c>
      <c r="J710" s="25">
        <v>1</v>
      </c>
      <c r="K710" s="25">
        <v>1</v>
      </c>
      <c r="L710" s="25">
        <v>1</v>
      </c>
      <c r="M710" s="25">
        <v>1</v>
      </c>
    </row>
    <row r="711" spans="3:16">
      <c r="C711" s="22" t="s">
        <v>3218</v>
      </c>
      <c r="D711" t="str">
        <f>VLOOKUP(Table3[[#This Row],[Employee No.]],Table1_1[[Employee No.]:[Employee Name]],2,FALSE)</f>
        <v>MOHAMAD AZLIZAN BIN MOHAMAD ROSLI</v>
      </c>
      <c r="E711" t="str">
        <f>VLOOKUP(Table3[[#This Row],[Employee No.]],Table1_1[[Employee No.]:[Department]],6,FALSE)</f>
        <v>ROUTER</v>
      </c>
      <c r="F711" t="str">
        <f>VLOOKUP(Table3[[#This Row],[Employee No.]],Table1_1[[Employee No.]:[Gender]],7,FALSE)</f>
        <v>M</v>
      </c>
      <c r="G711" t="str">
        <f>VLOOKUP(Table3[[#This Row],[Employee No.]],Table1_1[[Employee No.]:[Shift]],9,FALSE)</f>
        <v>SHIFT A</v>
      </c>
      <c r="H711" s="25">
        <v>1</v>
      </c>
      <c r="I711" s="25">
        <v>1</v>
      </c>
      <c r="J711" s="25">
        <v>1</v>
      </c>
      <c r="K711" s="25">
        <v>1</v>
      </c>
      <c r="L711" s="25">
        <v>1</v>
      </c>
      <c r="M711" s="25">
        <v>1</v>
      </c>
    </row>
    <row r="712" spans="3:16">
      <c r="C712" s="22" t="s">
        <v>3222</v>
      </c>
      <c r="D712" t="str">
        <f>VLOOKUP(Table3[[#This Row],[Employee No.]],Table1_1[[Employee No.]:[Employee Name]],2,FALSE)</f>
        <v>MOHAMMAD NOORZAIDI BIN AHMAD C.B.</v>
      </c>
      <c r="E712" t="str">
        <f>VLOOKUP(Table3[[#This Row],[Employee No.]],Table1_1[[Employee No.]:[Department]],6,FALSE)</f>
        <v>WAREHOUSE</v>
      </c>
      <c r="F712" t="str">
        <f>VLOOKUP(Table3[[#This Row],[Employee No.]],Table1_1[[Employee No.]:[Gender]],7,FALSE)</f>
        <v>M</v>
      </c>
      <c r="G712" t="str">
        <f>VLOOKUP(Table3[[#This Row],[Employee No.]],Table1_1[[Employee No.]:[Shift]],9,FALSE)</f>
        <v>SHIFT B</v>
      </c>
      <c r="H712" s="25">
        <v>1</v>
      </c>
      <c r="I712" s="25">
        <v>1</v>
      </c>
      <c r="J712" s="25">
        <v>1</v>
      </c>
      <c r="K712" s="25">
        <v>1</v>
      </c>
      <c r="L712" s="25">
        <v>1</v>
      </c>
      <c r="M712" s="25">
        <v>0</v>
      </c>
    </row>
    <row r="713" spans="3:16">
      <c r="C713" s="22" t="s">
        <v>3226</v>
      </c>
      <c r="D713" t="str">
        <f>VLOOKUP(Table3[[#This Row],[Employee No.]],Table1_1[[Employee No.]:[Employee Name]],2,FALSE)</f>
        <v>ATIQAH NADHIRA BINTI AHMAD WIRA</v>
      </c>
      <c r="E713" t="str">
        <f>VLOOKUP(Table3[[#This Row],[Employee No.]],Table1_1[[Employee No.]:[Department]],6,FALSE)</f>
        <v>PACKING</v>
      </c>
      <c r="F713" t="str">
        <f>VLOOKUP(Table3[[#This Row],[Employee No.]],Table1_1[[Employee No.]:[Gender]],7,FALSE)</f>
        <v>F</v>
      </c>
      <c r="G713" t="str">
        <f>VLOOKUP(Table3[[#This Row],[Employee No.]],Table1_1[[Employee No.]:[Shift]],9,FALSE)</f>
        <v>SHIFT C</v>
      </c>
      <c r="H713" s="25">
        <v>1</v>
      </c>
      <c r="I713" s="25">
        <v>1</v>
      </c>
      <c r="J713" s="25">
        <v>1</v>
      </c>
      <c r="K713" s="25">
        <v>1</v>
      </c>
      <c r="L713" s="25">
        <v>1</v>
      </c>
      <c r="M713" s="25">
        <v>1</v>
      </c>
      <c r="P713" s="25"/>
    </row>
    <row r="714" spans="3:16">
      <c r="C714" s="22" t="s">
        <v>3230</v>
      </c>
      <c r="D714" t="str">
        <f>VLOOKUP(Table3[[#This Row],[Employee No.]],Table1_1[[Employee No.]:[Employee Name]],2,FALSE)</f>
        <v>NUR LIYANA BINTI RAZALI</v>
      </c>
      <c r="E714" t="str">
        <f>VLOOKUP(Table3[[#This Row],[Employee No.]],Table1_1[[Employee No.]:[Department]],6,FALSE)</f>
        <v>AOI</v>
      </c>
      <c r="F714" t="str">
        <f>VLOOKUP(Table3[[#This Row],[Employee No.]],Table1_1[[Employee No.]:[Gender]],7,FALSE)</f>
        <v>F</v>
      </c>
      <c r="G714" t="str">
        <f>VLOOKUP(Table3[[#This Row],[Employee No.]],Table1_1[[Employee No.]:[Shift]],9,FALSE)</f>
        <v>SHIFT B</v>
      </c>
      <c r="H714" s="25">
        <v>1</v>
      </c>
      <c r="I714" s="25">
        <v>1</v>
      </c>
      <c r="J714" s="25">
        <v>1</v>
      </c>
      <c r="K714" s="25">
        <v>1</v>
      </c>
      <c r="L714" s="25">
        <v>1</v>
      </c>
      <c r="M714" s="25">
        <v>1</v>
      </c>
    </row>
    <row r="715" spans="3:16">
      <c r="C715" s="22" t="s">
        <v>3234</v>
      </c>
      <c r="D715" t="str">
        <f>VLOOKUP(Table3[[#This Row],[Employee No.]],Table1_1[[Employee No.]:[Employee Name]],2,FALSE)</f>
        <v>MOHAMAD AZREEN BIN ABU BAKAR</v>
      </c>
      <c r="E715" t="str">
        <f>VLOOKUP(Table3[[#This Row],[Employee No.]],Table1_1[[Employee No.]:[Department]],6,FALSE)</f>
        <v>BBT</v>
      </c>
      <c r="F715" t="str">
        <f>VLOOKUP(Table3[[#This Row],[Employee No.]],Table1_1[[Employee No.]:[Gender]],7,FALSE)</f>
        <v>M</v>
      </c>
      <c r="G715" t="str">
        <f>VLOOKUP(Table3[[#This Row],[Employee No.]],Table1_1[[Employee No.]:[Shift]],9,FALSE)</f>
        <v>SHIFT B</v>
      </c>
      <c r="H715" s="25">
        <v>1</v>
      </c>
      <c r="I715" s="25">
        <v>1</v>
      </c>
      <c r="J715" s="25">
        <v>1</v>
      </c>
      <c r="K715" s="25">
        <v>1</v>
      </c>
      <c r="L715" s="25">
        <v>1</v>
      </c>
      <c r="M715" s="25">
        <v>1</v>
      </c>
    </row>
    <row r="716" spans="3:16">
      <c r="C716" s="22" t="s">
        <v>3238</v>
      </c>
      <c r="D716" t="str">
        <f>VLOOKUP(Table3[[#This Row],[Employee No.]],Table1_1[[Employee No.]:[Employee Name]],2,FALSE)</f>
        <v>NURFARAH HANIS BINTI SATAR</v>
      </c>
      <c r="E716" t="str">
        <f>VLOOKUP(Table3[[#This Row],[Employee No.]],Table1_1[[Employee No.]:[Department]],6,FALSE)</f>
        <v>MLB</v>
      </c>
      <c r="F716" t="str">
        <f>VLOOKUP(Table3[[#This Row],[Employee No.]],Table1_1[[Employee No.]:[Gender]],7,FALSE)</f>
        <v>F</v>
      </c>
      <c r="G716" t="str">
        <f>VLOOKUP(Table3[[#This Row],[Employee No.]],Table1_1[[Employee No.]:[Shift]],9,FALSE)</f>
        <v>SHIFT B</v>
      </c>
      <c r="H716" s="25">
        <v>1</v>
      </c>
      <c r="I716" s="25">
        <v>1</v>
      </c>
      <c r="J716" s="25">
        <v>1</v>
      </c>
      <c r="K716" s="25">
        <v>1</v>
      </c>
      <c r="L716" s="25">
        <v>1</v>
      </c>
      <c r="M716" s="25">
        <v>1</v>
      </c>
    </row>
    <row r="717" spans="3:16">
      <c r="C717" s="22" t="s">
        <v>3242</v>
      </c>
      <c r="D717" t="str">
        <f>VLOOKUP(Table3[[#This Row],[Employee No.]],Table1_1[[Employee No.]:[Employee Name]],2,FALSE)</f>
        <v>MOHD ABBAS SADIKIN BIN MOHD DAUD</v>
      </c>
      <c r="E717" t="str">
        <f>VLOOKUP(Table3[[#This Row],[Employee No.]],Table1_1[[Employee No.]:[Department]],6,FALSE)</f>
        <v>SM</v>
      </c>
      <c r="F717" t="str">
        <f>VLOOKUP(Table3[[#This Row],[Employee No.]],Table1_1[[Employee No.]:[Gender]],7,FALSE)</f>
        <v>M</v>
      </c>
      <c r="G717" t="str">
        <f>VLOOKUP(Table3[[#This Row],[Employee No.]],Table1_1[[Employee No.]:[Shift]],9,FALSE)</f>
        <v>SHIFT E</v>
      </c>
      <c r="H717" s="25">
        <v>0</v>
      </c>
      <c r="I717" s="25">
        <v>1</v>
      </c>
      <c r="J717" s="25">
        <v>1</v>
      </c>
      <c r="K717" s="25">
        <v>1</v>
      </c>
      <c r="L717" s="25">
        <v>1</v>
      </c>
      <c r="M717" s="25">
        <v>0</v>
      </c>
    </row>
    <row r="718" spans="3:16">
      <c r="C718" s="22" t="s">
        <v>3246</v>
      </c>
      <c r="D718" t="str">
        <f>VLOOKUP(Table3[[#This Row],[Employee No.]],Table1_1[[Employee No.]:[Employee Name]],2,FALSE)</f>
        <v>NUR DEIAYANA BINTI ELIAS</v>
      </c>
      <c r="E718" t="str">
        <f>VLOOKUP(Table3[[#This Row],[Employee No.]],Table1_1[[Employee No.]:[Department]],6,FALSE)</f>
        <v>FVI</v>
      </c>
      <c r="F718" t="str">
        <f>VLOOKUP(Table3[[#This Row],[Employee No.]],Table1_1[[Employee No.]:[Gender]],7,FALSE)</f>
        <v>F</v>
      </c>
      <c r="G718" t="str">
        <f>VLOOKUP(Table3[[#This Row],[Employee No.]],Table1_1[[Employee No.]:[Shift]],9,FALSE)</f>
        <v>SHIFT C</v>
      </c>
      <c r="H718" s="25">
        <v>1</v>
      </c>
      <c r="I718" s="25">
        <v>1</v>
      </c>
      <c r="J718" s="25">
        <v>1</v>
      </c>
      <c r="K718" s="25">
        <v>1</v>
      </c>
      <c r="L718" s="25">
        <v>1</v>
      </c>
      <c r="M718" s="25">
        <v>1</v>
      </c>
      <c r="P718" s="25"/>
    </row>
    <row r="719" spans="3:16">
      <c r="C719" s="22" t="s">
        <v>3250</v>
      </c>
      <c r="D719" t="str">
        <f>VLOOKUP(Table3[[#This Row],[Employee No.]],Table1_1[[Employee No.]:[Employee Name]],2,FALSE)</f>
        <v>NUR ZULAIKHA IZZATI BINTI ZAKARIA</v>
      </c>
      <c r="E719" t="str">
        <f>VLOOKUP(Table3[[#This Row],[Employee No.]],Table1_1[[Employee No.]:[Department]],6,FALSE)</f>
        <v>FVI</v>
      </c>
      <c r="F719" t="str">
        <f>VLOOKUP(Table3[[#This Row],[Employee No.]],Table1_1[[Employee No.]:[Gender]],7,FALSE)</f>
        <v>F</v>
      </c>
      <c r="G719" t="str">
        <f>VLOOKUP(Table3[[#This Row],[Employee No.]],Table1_1[[Employee No.]:[Shift]],9,FALSE)</f>
        <v>SHIFT C</v>
      </c>
      <c r="H719" s="25">
        <v>1</v>
      </c>
      <c r="I719" s="25">
        <v>1</v>
      </c>
      <c r="J719" s="25">
        <v>1</v>
      </c>
      <c r="K719" s="25">
        <v>1</v>
      </c>
      <c r="L719" s="25">
        <v>1</v>
      </c>
      <c r="M719" s="25">
        <v>1</v>
      </c>
      <c r="P719" s="25"/>
    </row>
    <row r="720" spans="3:16">
      <c r="C720" s="22" t="s">
        <v>3254</v>
      </c>
      <c r="D720" t="str">
        <f>VLOOKUP(Table3[[#This Row],[Employee No.]],Table1_1[[Employee No.]:[Employee Name]],2,FALSE)</f>
        <v>ASMITA SIRAIT</v>
      </c>
      <c r="E720" t="str">
        <f>VLOOKUP(Table3[[#This Row],[Employee No.]],Table1_1[[Employee No.]:[Department]],6,FALSE)</f>
        <v>BBT</v>
      </c>
      <c r="F720" t="str">
        <f>VLOOKUP(Table3[[#This Row],[Employee No.]],Table1_1[[Employee No.]:[Gender]],7,FALSE)</f>
        <v>F</v>
      </c>
      <c r="G720" t="str">
        <f>VLOOKUP(Table3[[#This Row],[Employee No.]],Table1_1[[Employee No.]:[Shift]],9,FALSE)</f>
        <v>SHIFT B</v>
      </c>
      <c r="H720" s="25">
        <v>1</v>
      </c>
      <c r="I720" s="25">
        <v>1</v>
      </c>
      <c r="J720" s="25">
        <v>1</v>
      </c>
      <c r="K720" s="25">
        <v>1</v>
      </c>
      <c r="L720" s="25">
        <v>1</v>
      </c>
      <c r="M720" s="25">
        <v>1</v>
      </c>
    </row>
    <row r="721" spans="3:16">
      <c r="C721" s="22" t="s">
        <v>3256</v>
      </c>
      <c r="D721" t="str">
        <f>VLOOKUP(Table3[[#This Row],[Employee No.]],Table1_1[[Employee No.]:[Employee Name]],2,FALSE)</f>
        <v>EMMI ANNA SIMANJUNTAK</v>
      </c>
      <c r="E721" t="str">
        <f>VLOOKUP(Table3[[#This Row],[Employee No.]],Table1_1[[Employee No.]:[Department]],6,FALSE)</f>
        <v>BBT</v>
      </c>
      <c r="F721" t="str">
        <f>VLOOKUP(Table3[[#This Row],[Employee No.]],Table1_1[[Employee No.]:[Gender]],7,FALSE)</f>
        <v>F</v>
      </c>
      <c r="G721" t="str">
        <f>VLOOKUP(Table3[[#This Row],[Employee No.]],Table1_1[[Employee No.]:[Shift]],9,FALSE)</f>
        <v>SHIFT B</v>
      </c>
      <c r="H721" s="25">
        <v>1</v>
      </c>
      <c r="I721" s="25">
        <v>1</v>
      </c>
      <c r="J721" s="25">
        <v>1</v>
      </c>
      <c r="K721" s="25">
        <v>1</v>
      </c>
      <c r="L721" s="25">
        <v>1</v>
      </c>
      <c r="M721" s="25">
        <v>1</v>
      </c>
    </row>
    <row r="722" spans="3:16">
      <c r="C722" s="22" t="s">
        <v>3258</v>
      </c>
      <c r="D722" t="str">
        <f>VLOOKUP(Table3[[#This Row],[Employee No.]],Table1_1[[Employee No.]:[Employee Name]],2,FALSE)</f>
        <v>EVI GRASELA HUTABALIAN</v>
      </c>
      <c r="E722" t="str">
        <f>VLOOKUP(Table3[[#This Row],[Employee No.]],Table1_1[[Employee No.]:[Department]],6,FALSE)</f>
        <v>AOI</v>
      </c>
      <c r="F722" t="str">
        <f>VLOOKUP(Table3[[#This Row],[Employee No.]],Table1_1[[Employee No.]:[Gender]],7,FALSE)</f>
        <v>F</v>
      </c>
      <c r="G722" t="str">
        <f>VLOOKUP(Table3[[#This Row],[Employee No.]],Table1_1[[Employee No.]:[Shift]],9,FALSE)</f>
        <v>SHIFT B</v>
      </c>
      <c r="H722" s="25">
        <v>1</v>
      </c>
      <c r="I722" s="25">
        <v>1</v>
      </c>
      <c r="J722" s="25">
        <v>1</v>
      </c>
      <c r="K722" s="25">
        <v>1</v>
      </c>
      <c r="L722" s="25">
        <v>1</v>
      </c>
      <c r="M722" s="25">
        <v>1</v>
      </c>
    </row>
    <row r="723" spans="3:16">
      <c r="C723" s="22" t="s">
        <v>3260</v>
      </c>
      <c r="D723" t="str">
        <f>VLOOKUP(Table3[[#This Row],[Employee No.]],Table1_1[[Employee No.]:[Employee Name]],2,FALSE)</f>
        <v>FITRI AYU</v>
      </c>
      <c r="E723" t="str">
        <f>VLOOKUP(Table3[[#This Row],[Employee No.]],Table1_1[[Employee No.]:[Department]],6,FALSE)</f>
        <v>AOI</v>
      </c>
      <c r="F723" t="str">
        <f>VLOOKUP(Table3[[#This Row],[Employee No.]],Table1_1[[Employee No.]:[Gender]],7,FALSE)</f>
        <v>F</v>
      </c>
      <c r="G723" t="str">
        <f>VLOOKUP(Table3[[#This Row],[Employee No.]],Table1_1[[Employee No.]:[Shift]],9,FALSE)</f>
        <v>SHIFT C</v>
      </c>
      <c r="H723" s="25">
        <v>1</v>
      </c>
      <c r="I723" s="25">
        <v>1</v>
      </c>
      <c r="J723" s="25">
        <v>1</v>
      </c>
      <c r="K723" s="25">
        <v>1</v>
      </c>
      <c r="L723" s="25">
        <v>1</v>
      </c>
      <c r="M723" s="25">
        <v>1</v>
      </c>
      <c r="P723" s="25"/>
    </row>
    <row r="724" spans="3:16">
      <c r="C724" s="22" t="s">
        <v>3262</v>
      </c>
      <c r="D724" t="str">
        <f>VLOOKUP(Table3[[#This Row],[Employee No.]],Table1_1[[Employee No.]:[Employee Name]],2,FALSE)</f>
        <v>HERI BONIATI SILABAN</v>
      </c>
      <c r="E724" t="str">
        <f>VLOOKUP(Table3[[#This Row],[Employee No.]],Table1_1[[Employee No.]:[Department]],6,FALSE)</f>
        <v>AOI</v>
      </c>
      <c r="F724" t="str">
        <f>VLOOKUP(Table3[[#This Row],[Employee No.]],Table1_1[[Employee No.]:[Gender]],7,FALSE)</f>
        <v>F</v>
      </c>
      <c r="G724" t="str">
        <f>VLOOKUP(Table3[[#This Row],[Employee No.]],Table1_1[[Employee No.]:[Shift]],9,FALSE)</f>
        <v>SHIFT C</v>
      </c>
      <c r="H724" s="25">
        <v>1</v>
      </c>
      <c r="I724" s="25">
        <v>1</v>
      </c>
      <c r="J724" s="25">
        <v>1</v>
      </c>
      <c r="K724" s="25">
        <v>1</v>
      </c>
      <c r="L724" s="25">
        <v>1</v>
      </c>
      <c r="M724" s="25">
        <v>0</v>
      </c>
      <c r="P724" s="25"/>
    </row>
    <row r="725" spans="3:16">
      <c r="C725" s="22" t="s">
        <v>3264</v>
      </c>
      <c r="D725" t="str">
        <f>VLOOKUP(Table3[[#This Row],[Employee No.]],Table1_1[[Employee No.]:[Employee Name]],2,FALSE)</f>
        <v>IRMA MARLINA</v>
      </c>
      <c r="E725" t="str">
        <f>VLOOKUP(Table3[[#This Row],[Employee No.]],Table1_1[[Employee No.]:[Department]],6,FALSE)</f>
        <v>CHAMFER</v>
      </c>
      <c r="F725" t="str">
        <f>VLOOKUP(Table3[[#This Row],[Employee No.]],Table1_1[[Employee No.]:[Gender]],7,FALSE)</f>
        <v>F</v>
      </c>
      <c r="G725" t="str">
        <f>VLOOKUP(Table3[[#This Row],[Employee No.]],Table1_1[[Employee No.]:[Shift]],9,FALSE)</f>
        <v>SHIFT C</v>
      </c>
      <c r="H725" s="25">
        <v>1</v>
      </c>
      <c r="I725" s="25">
        <v>1</v>
      </c>
      <c r="J725" s="25">
        <v>1</v>
      </c>
      <c r="K725" s="25">
        <v>1</v>
      </c>
      <c r="L725" s="25">
        <v>1</v>
      </c>
      <c r="M725" s="25">
        <v>1</v>
      </c>
      <c r="P725" s="25"/>
    </row>
    <row r="726" spans="3:16">
      <c r="C726" s="22" t="s">
        <v>3266</v>
      </c>
      <c r="D726" t="str">
        <f>VLOOKUP(Table3[[#This Row],[Employee No.]],Table1_1[[Employee No.]:[Employee Name]],2,FALSE)</f>
        <v>JEREMIA MUSTIKA LUMBAN TOBING</v>
      </c>
      <c r="E726" t="str">
        <f>VLOOKUP(Table3[[#This Row],[Employee No.]],Table1_1[[Employee No.]:[Department]],6,FALSE)</f>
        <v>CHAMFER</v>
      </c>
      <c r="F726" t="str">
        <f>VLOOKUP(Table3[[#This Row],[Employee No.]],Table1_1[[Employee No.]:[Gender]],7,FALSE)</f>
        <v>F</v>
      </c>
      <c r="G726" t="str">
        <f>VLOOKUP(Table3[[#This Row],[Employee No.]],Table1_1[[Employee No.]:[Shift]],9,FALSE)</f>
        <v>SHIFT A</v>
      </c>
      <c r="H726" s="25">
        <v>1</v>
      </c>
      <c r="I726" s="25">
        <v>1</v>
      </c>
      <c r="J726" s="25">
        <v>1</v>
      </c>
      <c r="K726" s="25">
        <v>1</v>
      </c>
      <c r="L726" s="25">
        <v>1</v>
      </c>
      <c r="M726" s="25">
        <v>1</v>
      </c>
    </row>
    <row r="727" spans="3:16">
      <c r="C727" s="22" t="s">
        <v>3268</v>
      </c>
      <c r="D727" t="str">
        <f>VLOOKUP(Table3[[#This Row],[Employee No.]],Table1_1[[Employee No.]:[Employee Name]],2,FALSE)</f>
        <v>LASNIATI SIHOMBING</v>
      </c>
      <c r="E727" t="str">
        <f>VLOOKUP(Table3[[#This Row],[Employee No.]],Table1_1[[Employee No.]:[Department]],6,FALSE)</f>
        <v>DRILL</v>
      </c>
      <c r="F727" t="str">
        <f>VLOOKUP(Table3[[#This Row],[Employee No.]],Table1_1[[Employee No.]:[Gender]],7,FALSE)</f>
        <v>F</v>
      </c>
      <c r="G727" t="str">
        <f>VLOOKUP(Table3[[#This Row],[Employee No.]],Table1_1[[Employee No.]:[Shift]],9,FALSE)</f>
        <v>SHIFT A</v>
      </c>
      <c r="H727" s="25">
        <v>1</v>
      </c>
      <c r="I727" s="25">
        <v>1</v>
      </c>
      <c r="J727" s="25">
        <v>1</v>
      </c>
      <c r="K727" s="25">
        <v>1</v>
      </c>
      <c r="L727" s="25">
        <v>1</v>
      </c>
      <c r="M727" s="25">
        <v>1</v>
      </c>
    </row>
    <row r="728" spans="3:16">
      <c r="C728" s="22" t="s">
        <v>3270</v>
      </c>
      <c r="D728" t="str">
        <f>VLOOKUP(Table3[[#This Row],[Employee No.]],Table1_1[[Employee No.]:[Employee Name]],2,FALSE)</f>
        <v>MORINA SIAHAAN</v>
      </c>
      <c r="E728" t="str">
        <f>VLOOKUP(Table3[[#This Row],[Employee No.]],Table1_1[[Employee No.]:[Department]],6,FALSE)</f>
        <v>FVI</v>
      </c>
      <c r="F728" t="str">
        <f>VLOOKUP(Table3[[#This Row],[Employee No.]],Table1_1[[Employee No.]:[Gender]],7,FALSE)</f>
        <v>F</v>
      </c>
      <c r="G728" t="str">
        <f>VLOOKUP(Table3[[#This Row],[Employee No.]],Table1_1[[Employee No.]:[Shift]],9,FALSE)</f>
        <v>SHIFT C</v>
      </c>
      <c r="H728" s="25">
        <v>1</v>
      </c>
      <c r="I728" s="25">
        <v>1</v>
      </c>
      <c r="J728" s="25">
        <v>1</v>
      </c>
      <c r="K728" s="25">
        <v>1</v>
      </c>
      <c r="L728" s="25">
        <v>1</v>
      </c>
      <c r="M728" s="25">
        <v>1</v>
      </c>
      <c r="P728" s="25"/>
    </row>
    <row r="729" spans="3:16">
      <c r="C729" s="22" t="s">
        <v>3272</v>
      </c>
      <c r="D729" t="str">
        <f>VLOOKUP(Table3[[#This Row],[Employee No.]],Table1_1[[Employee No.]:[Employee Name]],2,FALSE)</f>
        <v>PRICILIA YUTAN KARLINA</v>
      </c>
      <c r="E729" t="str">
        <f>VLOOKUP(Table3[[#This Row],[Employee No.]],Table1_1[[Employee No.]:[Department]],6,FALSE)</f>
        <v>CHAMFER</v>
      </c>
      <c r="F729" t="str">
        <f>VLOOKUP(Table3[[#This Row],[Employee No.]],Table1_1[[Employee No.]:[Gender]],7,FALSE)</f>
        <v>F</v>
      </c>
      <c r="G729" t="str">
        <f>VLOOKUP(Table3[[#This Row],[Employee No.]],Table1_1[[Employee No.]:[Shift]],9,FALSE)</f>
        <v>SHIFT A</v>
      </c>
      <c r="H729" s="25">
        <v>1</v>
      </c>
      <c r="I729" s="25">
        <v>1</v>
      </c>
      <c r="J729" s="25">
        <v>1</v>
      </c>
      <c r="K729" s="25">
        <v>1</v>
      </c>
      <c r="L729" s="25">
        <v>1</v>
      </c>
      <c r="M729" s="25">
        <v>1</v>
      </c>
    </row>
    <row r="730" spans="3:16">
      <c r="C730" s="22" t="s">
        <v>3274</v>
      </c>
      <c r="D730" t="str">
        <f>VLOOKUP(Table3[[#This Row],[Employee No.]],Table1_1[[Employee No.]:[Employee Name]],2,FALSE)</f>
        <v>PUTRI MARIA GINTING</v>
      </c>
      <c r="E730" t="str">
        <f>VLOOKUP(Table3[[#This Row],[Employee No.]],Table1_1[[Employee No.]:[Department]],6,FALSE)</f>
        <v>FVI</v>
      </c>
      <c r="F730" t="str">
        <f>VLOOKUP(Table3[[#This Row],[Employee No.]],Table1_1[[Employee No.]:[Gender]],7,FALSE)</f>
        <v>F</v>
      </c>
      <c r="G730" t="str">
        <f>VLOOKUP(Table3[[#This Row],[Employee No.]],Table1_1[[Employee No.]:[Shift]],9,FALSE)</f>
        <v>SHIFT A</v>
      </c>
      <c r="H730" s="25">
        <v>1</v>
      </c>
      <c r="I730" s="25">
        <v>1</v>
      </c>
      <c r="J730" s="25">
        <v>1</v>
      </c>
      <c r="K730" s="25">
        <v>1</v>
      </c>
      <c r="L730" s="25">
        <v>1</v>
      </c>
      <c r="M730" s="25">
        <v>1</v>
      </c>
    </row>
    <row r="731" spans="3:16">
      <c r="C731" s="22" t="s">
        <v>3276</v>
      </c>
      <c r="D731" t="str">
        <f>VLOOKUP(Table3[[#This Row],[Employee No.]],Table1_1[[Employee No.]:[Employee Name]],2,FALSE)</f>
        <v>RINI MARIANI</v>
      </c>
      <c r="E731" t="str">
        <f>VLOOKUP(Table3[[#This Row],[Employee No.]],Table1_1[[Employee No.]:[Department]],6,FALSE)</f>
        <v>FVI</v>
      </c>
      <c r="F731" t="str">
        <f>VLOOKUP(Table3[[#This Row],[Employee No.]],Table1_1[[Employee No.]:[Gender]],7,FALSE)</f>
        <v>F</v>
      </c>
      <c r="G731" t="str">
        <f>VLOOKUP(Table3[[#This Row],[Employee No.]],Table1_1[[Employee No.]:[Shift]],9,FALSE)</f>
        <v>SHIFT C</v>
      </c>
      <c r="H731" s="25">
        <v>1</v>
      </c>
      <c r="I731" s="25">
        <v>1</v>
      </c>
      <c r="J731" s="25">
        <v>1</v>
      </c>
      <c r="K731" s="25">
        <v>1</v>
      </c>
      <c r="L731" s="25">
        <v>1</v>
      </c>
      <c r="M731" s="25">
        <v>1</v>
      </c>
      <c r="P731" s="25"/>
    </row>
    <row r="732" spans="3:16">
      <c r="C732" s="22" t="s">
        <v>3278</v>
      </c>
      <c r="D732" t="str">
        <f>VLOOKUP(Table3[[#This Row],[Employee No.]],Table1_1[[Employee No.]:[Employee Name]],2,FALSE)</f>
        <v>RISKA</v>
      </c>
      <c r="E732" t="str">
        <f>VLOOKUP(Table3[[#This Row],[Employee No.]],Table1_1[[Employee No.]:[Department]],6,FALSE)</f>
        <v>DRILL</v>
      </c>
      <c r="F732" t="str">
        <f>VLOOKUP(Table3[[#This Row],[Employee No.]],Table1_1[[Employee No.]:[Gender]],7,FALSE)</f>
        <v>F</v>
      </c>
      <c r="G732" t="str">
        <f>VLOOKUP(Table3[[#This Row],[Employee No.]],Table1_1[[Employee No.]:[Shift]],9,FALSE)</f>
        <v>SHIFT A</v>
      </c>
      <c r="H732" s="25">
        <v>1</v>
      </c>
      <c r="I732" s="25">
        <v>1</v>
      </c>
      <c r="J732" s="25">
        <v>1</v>
      </c>
      <c r="K732" s="25">
        <v>1</v>
      </c>
      <c r="L732" s="25">
        <v>1</v>
      </c>
      <c r="M732" s="25">
        <v>1</v>
      </c>
    </row>
    <row r="733" spans="3:16">
      <c r="C733" s="22" t="s">
        <v>3280</v>
      </c>
      <c r="D733" t="str">
        <f>VLOOKUP(Table3[[#This Row],[Employee No.]],Table1_1[[Employee No.]:[Employee Name]],2,FALSE)</f>
        <v>RIZKY PUTRI</v>
      </c>
      <c r="E733" t="str">
        <f>VLOOKUP(Table3[[#This Row],[Employee No.]],Table1_1[[Employee No.]:[Department]],6,FALSE)</f>
        <v>FVI</v>
      </c>
      <c r="F733" t="str">
        <f>VLOOKUP(Table3[[#This Row],[Employee No.]],Table1_1[[Employee No.]:[Gender]],7,FALSE)</f>
        <v>F</v>
      </c>
      <c r="G733" t="str">
        <f>VLOOKUP(Table3[[#This Row],[Employee No.]],Table1_1[[Employee No.]:[Shift]],9,FALSE)</f>
        <v>SHIFT A</v>
      </c>
      <c r="H733" s="25">
        <v>1</v>
      </c>
      <c r="I733" s="25">
        <v>1</v>
      </c>
      <c r="J733" s="25">
        <v>1</v>
      </c>
      <c r="K733" s="25">
        <v>1</v>
      </c>
      <c r="L733" s="25">
        <v>1</v>
      </c>
      <c r="M733" s="25">
        <v>1</v>
      </c>
    </row>
    <row r="734" spans="3:16">
      <c r="C734" s="22" t="s">
        <v>3282</v>
      </c>
      <c r="D734" t="str">
        <f>VLOOKUP(Table3[[#This Row],[Employee No.]],Table1_1[[Employee No.]:[Employee Name]],2,FALSE)</f>
        <v>ROSALINA SIAHAAN</v>
      </c>
      <c r="E734" t="str">
        <f>VLOOKUP(Table3[[#This Row],[Employee No.]],Table1_1[[Employee No.]:[Department]],6,FALSE)</f>
        <v>FVI</v>
      </c>
      <c r="F734" t="str">
        <f>VLOOKUP(Table3[[#This Row],[Employee No.]],Table1_1[[Employee No.]:[Gender]],7,FALSE)</f>
        <v>F</v>
      </c>
      <c r="G734" t="str">
        <f>VLOOKUP(Table3[[#This Row],[Employee No.]],Table1_1[[Employee No.]:[Shift]],9,FALSE)</f>
        <v>SHIFT A</v>
      </c>
      <c r="H734" s="25">
        <v>0</v>
      </c>
      <c r="I734" s="25">
        <v>0</v>
      </c>
      <c r="J734" s="25">
        <v>0</v>
      </c>
      <c r="K734" s="25">
        <v>0</v>
      </c>
      <c r="L734" s="25">
        <v>0</v>
      </c>
      <c r="M734" s="25">
        <v>1</v>
      </c>
    </row>
    <row r="735" spans="3:16">
      <c r="C735" s="22" t="s">
        <v>3284</v>
      </c>
      <c r="D735" t="str">
        <f>VLOOKUP(Table3[[#This Row],[Employee No.]],Table1_1[[Employee No.]:[Employee Name]],2,FALSE)</f>
        <v>SELLA OKTAVIA</v>
      </c>
      <c r="E735" t="str">
        <f>VLOOKUP(Table3[[#This Row],[Employee No.]],Table1_1[[Employee No.]:[Department]],6,FALSE)</f>
        <v>FVI</v>
      </c>
      <c r="F735" t="str">
        <f>VLOOKUP(Table3[[#This Row],[Employee No.]],Table1_1[[Employee No.]:[Gender]],7,FALSE)</f>
        <v>F</v>
      </c>
      <c r="G735" t="str">
        <f>VLOOKUP(Table3[[#This Row],[Employee No.]],Table1_1[[Employee No.]:[Shift]],9,FALSE)</f>
        <v>SHIFT A</v>
      </c>
      <c r="H735" s="25">
        <v>1</v>
      </c>
      <c r="I735" s="25">
        <v>1</v>
      </c>
      <c r="J735" s="25">
        <v>1</v>
      </c>
      <c r="K735" s="25">
        <v>1</v>
      </c>
      <c r="L735" s="25">
        <v>1</v>
      </c>
      <c r="M735" s="25">
        <v>1</v>
      </c>
    </row>
    <row r="736" spans="3:16">
      <c r="C736" s="22" t="s">
        <v>3286</v>
      </c>
      <c r="D736" t="str">
        <f>VLOOKUP(Table3[[#This Row],[Employee No.]],Table1_1[[Employee No.]:[Employee Name]],2,FALSE)</f>
        <v>SHINTA DEVI NETANIA BUTAR BUTAR</v>
      </c>
      <c r="E736" t="str">
        <f>VLOOKUP(Table3[[#This Row],[Employee No.]],Table1_1[[Employee No.]:[Department]],6,FALSE)</f>
        <v>FVI</v>
      </c>
      <c r="F736" t="str">
        <f>VLOOKUP(Table3[[#This Row],[Employee No.]],Table1_1[[Employee No.]:[Gender]],7,FALSE)</f>
        <v>F</v>
      </c>
      <c r="G736" t="str">
        <f>VLOOKUP(Table3[[#This Row],[Employee No.]],Table1_1[[Employee No.]:[Shift]],9,FALSE)</f>
        <v>SHIFT B</v>
      </c>
      <c r="H736" s="25">
        <v>1</v>
      </c>
      <c r="I736" s="25">
        <v>1</v>
      </c>
      <c r="J736" s="25">
        <v>1</v>
      </c>
      <c r="K736" s="25">
        <v>1</v>
      </c>
      <c r="L736" s="25">
        <v>1</v>
      </c>
      <c r="M736" s="25">
        <v>1</v>
      </c>
    </row>
    <row r="737" spans="3:16">
      <c r="C737" s="22" t="s">
        <v>3288</v>
      </c>
      <c r="D737" t="str">
        <f>VLOOKUP(Table3[[#This Row],[Employee No.]],Table1_1[[Employee No.]:[Employee Name]],2,FALSE)</f>
        <v>SURYA MARINTAN SIANTURI</v>
      </c>
      <c r="E737" t="str">
        <f>VLOOKUP(Table3[[#This Row],[Employee No.]],Table1_1[[Employee No.]:[Department]],6,FALSE)</f>
        <v>FVI</v>
      </c>
      <c r="F737" t="str">
        <f>VLOOKUP(Table3[[#This Row],[Employee No.]],Table1_1[[Employee No.]:[Gender]],7,FALSE)</f>
        <v>F</v>
      </c>
      <c r="G737" t="str">
        <f>VLOOKUP(Table3[[#This Row],[Employee No.]],Table1_1[[Employee No.]:[Shift]],9,FALSE)</f>
        <v>SHIFT B</v>
      </c>
      <c r="H737" s="25">
        <v>1</v>
      </c>
      <c r="I737" s="25">
        <v>1</v>
      </c>
      <c r="J737" s="25">
        <v>1</v>
      </c>
      <c r="K737" s="25">
        <v>1</v>
      </c>
      <c r="L737" s="25">
        <v>1</v>
      </c>
      <c r="M737" s="25">
        <v>1</v>
      </c>
    </row>
    <row r="738" spans="3:16">
      <c r="C738" s="22" t="s">
        <v>3290</v>
      </c>
      <c r="D738" t="str">
        <f>VLOOKUP(Table3[[#This Row],[Employee No.]],Table1_1[[Employee No.]:[Employee Name]],2,FALSE)</f>
        <v>YUHANIS MARSELA</v>
      </c>
      <c r="E738" t="str">
        <f>VLOOKUP(Table3[[#This Row],[Employee No.]],Table1_1[[Employee No.]:[Department]],6,FALSE)</f>
        <v>FVI</v>
      </c>
      <c r="F738" t="str">
        <f>VLOOKUP(Table3[[#This Row],[Employee No.]],Table1_1[[Employee No.]:[Gender]],7,FALSE)</f>
        <v>F</v>
      </c>
      <c r="G738" t="str">
        <f>VLOOKUP(Table3[[#This Row],[Employee No.]],Table1_1[[Employee No.]:[Shift]],9,FALSE)</f>
        <v>SHIFT C</v>
      </c>
      <c r="H738" s="25">
        <v>1</v>
      </c>
      <c r="I738" s="25">
        <v>1</v>
      </c>
      <c r="J738" s="25">
        <v>1</v>
      </c>
      <c r="K738" s="25">
        <v>1</v>
      </c>
      <c r="L738" s="25">
        <v>1</v>
      </c>
      <c r="M738" s="25">
        <v>1</v>
      </c>
      <c r="P738" s="25"/>
    </row>
    <row r="739" spans="3:16">
      <c r="C739" s="22" t="s">
        <v>3296</v>
      </c>
      <c r="D739" t="str">
        <f>VLOOKUP(Table3[[#This Row],[Employee No.]],Table1_1[[Employee No.]:[Employee Name]],2,FALSE)</f>
        <v>MUHAMMAD ZAINUDDIN BIN ZULKEFLI</v>
      </c>
      <c r="E739" t="str">
        <f>VLOOKUP(Table3[[#This Row],[Employee No.]],Table1_1[[Employee No.]:[Department]],6,FALSE)</f>
        <v>EQUIPMENT</v>
      </c>
      <c r="F739" t="str">
        <f>VLOOKUP(Table3[[#This Row],[Employee No.]],Table1_1[[Employee No.]:[Gender]],7,FALSE)</f>
        <v>M</v>
      </c>
      <c r="G739" t="str">
        <f>VLOOKUP(Table3[[#This Row],[Employee No.]],Table1_1[[Employee No.]:[Shift]],9,FALSE)</f>
        <v>SHIFT C</v>
      </c>
      <c r="H739" s="25">
        <v>1</v>
      </c>
      <c r="I739" s="25">
        <v>1</v>
      </c>
      <c r="J739" s="25">
        <v>1</v>
      </c>
      <c r="K739" s="25">
        <v>1</v>
      </c>
      <c r="L739" s="25">
        <v>1</v>
      </c>
      <c r="M739" s="25">
        <v>1</v>
      </c>
      <c r="P739" s="25"/>
    </row>
    <row r="740" spans="3:16">
      <c r="C740" s="22" t="s">
        <v>3300</v>
      </c>
      <c r="D740" t="str">
        <f>VLOOKUP(Table3[[#This Row],[Employee No.]],Table1_1[[Employee No.]:[Employee Name]],2,FALSE)</f>
        <v>TENGKU NABILAH NAJWA BINTI TENGKU KASIM</v>
      </c>
      <c r="E740" t="str">
        <f>VLOOKUP(Table3[[#This Row],[Employee No.]],Table1_1[[Employee No.]:[Department]],6,FALSE)</f>
        <v>PRODUCTION CONTROL</v>
      </c>
      <c r="F740" t="str">
        <f>VLOOKUP(Table3[[#This Row],[Employee No.]],Table1_1[[Employee No.]:[Gender]],7,FALSE)</f>
        <v>F</v>
      </c>
      <c r="G740" t="str">
        <f>VLOOKUP(Table3[[#This Row],[Employee No.]],Table1_1[[Employee No.]:[Shift]],9,FALSE)</f>
        <v>SHIFT C</v>
      </c>
      <c r="H740" s="25">
        <v>1</v>
      </c>
      <c r="I740" s="25">
        <v>1</v>
      </c>
      <c r="J740" s="25">
        <v>1</v>
      </c>
      <c r="K740" s="25">
        <v>1</v>
      </c>
      <c r="L740" s="25">
        <v>1</v>
      </c>
      <c r="M740" s="25">
        <v>1</v>
      </c>
      <c r="P740" s="25"/>
    </row>
    <row r="741" spans="3:16">
      <c r="C741" s="22" t="s">
        <v>3327</v>
      </c>
      <c r="D741" t="str">
        <f>VLOOKUP(Table3[[#This Row],[Employee No.]],Table1_1[[Employee No.]:[Employee Name]],2,FALSE)</f>
        <v>NUR HAFIZAH BINTI ISMAIL</v>
      </c>
      <c r="E741" t="str">
        <f>VLOOKUP(Table3[[#This Row],[Employee No.]],Table1_1[[Employee No.]:[Department]],6,FALSE)</f>
        <v>DF</v>
      </c>
      <c r="F741" t="str">
        <f>VLOOKUP(Table3[[#This Row],[Employee No.]],Table1_1[[Employee No.]:[Gender]],7,FALSE)</f>
        <v>F</v>
      </c>
      <c r="G741" t="str">
        <f>VLOOKUP(Table3[[#This Row],[Employee No.]],Table1_1[[Employee No.]:[Shift]],9,FALSE)</f>
        <v>SHIFT C</v>
      </c>
      <c r="H741" s="25">
        <v>1</v>
      </c>
      <c r="I741" s="25">
        <v>1</v>
      </c>
      <c r="J741" s="25">
        <v>1</v>
      </c>
      <c r="K741" s="25">
        <v>1</v>
      </c>
      <c r="L741" s="25">
        <v>1</v>
      </c>
      <c r="M741" s="25">
        <v>1</v>
      </c>
      <c r="P741" s="25"/>
    </row>
    <row r="742" spans="3:16">
      <c r="C742" s="22" t="s">
        <v>3338</v>
      </c>
      <c r="D742" t="str">
        <f>VLOOKUP(Table3[[#This Row],[Employee No.]],Table1_1[[Employee No.]:[Employee Name]],2,FALSE)</f>
        <v>ANIL WAIBA</v>
      </c>
      <c r="E742" t="str">
        <f>VLOOKUP(Table3[[#This Row],[Employee No.]],Table1_1[[Employee No.]:[Department]],6,FALSE)</f>
        <v>QUALITY</v>
      </c>
      <c r="F742" t="str">
        <f>VLOOKUP(Table3[[#This Row],[Employee No.]],Table1_1[[Employee No.]:[Gender]],7,FALSE)</f>
        <v>M</v>
      </c>
      <c r="G742" t="str">
        <f>VLOOKUP(Table3[[#This Row],[Employee No.]],Table1_1[[Employee No.]:[Shift]],9,FALSE)</f>
        <v>SHIFT B</v>
      </c>
      <c r="H742" s="25">
        <v>1</v>
      </c>
      <c r="I742" s="25">
        <v>1</v>
      </c>
      <c r="J742" s="25">
        <v>1</v>
      </c>
      <c r="K742" s="25">
        <v>1</v>
      </c>
      <c r="L742" s="25">
        <v>1</v>
      </c>
      <c r="M742" s="25">
        <v>1</v>
      </c>
    </row>
    <row r="743" spans="3:16">
      <c r="C743" s="22" t="s">
        <v>3340</v>
      </c>
      <c r="D743" t="str">
        <f>VLOOKUP(Table3[[#This Row],[Employee No.]],Table1_1[[Employee No.]:[Employee Name]],2,FALSE)</f>
        <v>ANISH KUMAR CHAUDHARY</v>
      </c>
      <c r="E743" t="str">
        <f>VLOOKUP(Table3[[#This Row],[Employee No.]],Table1_1[[Employee No.]:[Department]],6,FALSE)</f>
        <v>CU</v>
      </c>
      <c r="F743" t="str">
        <f>VLOOKUP(Table3[[#This Row],[Employee No.]],Table1_1[[Employee No.]:[Gender]],7,FALSE)</f>
        <v>M</v>
      </c>
      <c r="G743" t="str">
        <f>VLOOKUP(Table3[[#This Row],[Employee No.]],Table1_1[[Employee No.]:[Shift]],9,FALSE)</f>
        <v>SHIFT B</v>
      </c>
      <c r="H743" s="25">
        <v>1</v>
      </c>
      <c r="I743" s="25">
        <v>1</v>
      </c>
      <c r="J743" s="25">
        <v>1</v>
      </c>
      <c r="K743" s="25">
        <v>1</v>
      </c>
      <c r="L743" s="25">
        <v>1</v>
      </c>
      <c r="M743" s="25">
        <v>1</v>
      </c>
    </row>
    <row r="744" spans="3:16">
      <c r="C744" s="22" t="s">
        <v>3342</v>
      </c>
      <c r="D744" t="str">
        <f>VLOOKUP(Table3[[#This Row],[Employee No.]],Table1_1[[Employee No.]:[Employee Name]],2,FALSE)</f>
        <v>ARUN KUMAR KUSHWAHA</v>
      </c>
      <c r="E744" t="str">
        <f>VLOOKUP(Table3[[#This Row],[Employee No.]],Table1_1[[Employee No.]:[Department]],6,FALSE)</f>
        <v>CU</v>
      </c>
      <c r="F744" t="str">
        <f>VLOOKUP(Table3[[#This Row],[Employee No.]],Table1_1[[Employee No.]:[Gender]],7,FALSE)</f>
        <v>M</v>
      </c>
      <c r="G744" t="str">
        <f>VLOOKUP(Table3[[#This Row],[Employee No.]],Table1_1[[Employee No.]:[Shift]],9,FALSE)</f>
        <v>SHIFT A</v>
      </c>
      <c r="H744" s="25">
        <v>1</v>
      </c>
      <c r="I744" s="25">
        <v>1</v>
      </c>
      <c r="J744" s="25">
        <v>1</v>
      </c>
      <c r="K744" s="25">
        <v>1</v>
      </c>
      <c r="L744" s="25">
        <v>1</v>
      </c>
      <c r="M744" s="25">
        <v>1</v>
      </c>
    </row>
    <row r="745" spans="3:16">
      <c r="C745" s="22" t="s">
        <v>3344</v>
      </c>
      <c r="D745" t="str">
        <f>VLOOKUP(Table3[[#This Row],[Employee No.]],Table1_1[[Employee No.]:[Employee Name]],2,FALSE)</f>
        <v>ASHISH KAHAR</v>
      </c>
      <c r="E745" t="str">
        <f>VLOOKUP(Table3[[#This Row],[Employee No.]],Table1_1[[Employee No.]:[Department]],6,FALSE)</f>
        <v>QUALITY</v>
      </c>
      <c r="F745" t="str">
        <f>VLOOKUP(Table3[[#This Row],[Employee No.]],Table1_1[[Employee No.]:[Gender]],7,FALSE)</f>
        <v>M</v>
      </c>
      <c r="G745" t="str">
        <f>VLOOKUP(Table3[[#This Row],[Employee No.]],Table1_1[[Employee No.]:[Shift]],9,FALSE)</f>
        <v>SHIFT A</v>
      </c>
      <c r="H745" s="25">
        <v>1</v>
      </c>
      <c r="I745" s="25">
        <v>1</v>
      </c>
      <c r="J745" s="25">
        <v>1</v>
      </c>
      <c r="K745" s="25">
        <v>0</v>
      </c>
      <c r="L745" s="25">
        <v>0</v>
      </c>
      <c r="M745" s="25">
        <v>1</v>
      </c>
    </row>
    <row r="746" spans="3:16">
      <c r="C746" s="22" t="s">
        <v>3346</v>
      </c>
      <c r="D746" t="str">
        <f>VLOOKUP(Table3[[#This Row],[Employee No.]],Table1_1[[Employee No.]:[Employee Name]],2,FALSE)</f>
        <v>ASHOK LIMBU</v>
      </c>
      <c r="E746" t="str">
        <f>VLOOKUP(Table3[[#This Row],[Employee No.]],Table1_1[[Employee No.]:[Department]],6,FALSE)</f>
        <v>QUALITY</v>
      </c>
      <c r="F746" t="str">
        <f>VLOOKUP(Table3[[#This Row],[Employee No.]],Table1_1[[Employee No.]:[Gender]],7,FALSE)</f>
        <v>M</v>
      </c>
      <c r="G746" t="str">
        <f>VLOOKUP(Table3[[#This Row],[Employee No.]],Table1_1[[Employee No.]:[Shift]],9,FALSE)</f>
        <v>SHIFT C</v>
      </c>
      <c r="H746" s="25">
        <v>1</v>
      </c>
      <c r="I746" s="25">
        <v>1</v>
      </c>
      <c r="J746" s="25">
        <v>1</v>
      </c>
      <c r="K746" s="25">
        <v>1</v>
      </c>
      <c r="L746" s="25">
        <v>1</v>
      </c>
      <c r="M746" s="25">
        <v>1</v>
      </c>
      <c r="P746" s="25"/>
    </row>
    <row r="747" spans="3:16">
      <c r="C747" s="22" t="s">
        <v>3348</v>
      </c>
      <c r="D747" t="str">
        <f>VLOOKUP(Table3[[#This Row],[Employee No.]],Table1_1[[Employee No.]:[Employee Name]],2,FALSE)</f>
        <v>BIDEK ADHIKARI</v>
      </c>
      <c r="E747" t="str">
        <f>VLOOKUP(Table3[[#This Row],[Employee No.]],Table1_1[[Employee No.]:[Department]],6,FALSE)</f>
        <v>QUALITY</v>
      </c>
      <c r="F747" t="str">
        <f>VLOOKUP(Table3[[#This Row],[Employee No.]],Table1_1[[Employee No.]:[Gender]],7,FALSE)</f>
        <v>M</v>
      </c>
      <c r="G747" t="str">
        <f>VLOOKUP(Table3[[#This Row],[Employee No.]],Table1_1[[Employee No.]:[Shift]],9,FALSE)</f>
        <v>SHIFT C</v>
      </c>
      <c r="H747" s="25">
        <v>1</v>
      </c>
      <c r="I747" s="25">
        <v>1</v>
      </c>
      <c r="J747" s="25">
        <v>1</v>
      </c>
      <c r="K747" s="25">
        <v>1</v>
      </c>
      <c r="L747" s="25">
        <v>1</v>
      </c>
      <c r="M747" s="25">
        <v>1</v>
      </c>
    </row>
    <row r="748" spans="3:16">
      <c r="C748" s="22" t="s">
        <v>3350</v>
      </c>
      <c r="D748" t="str">
        <f>VLOOKUP(Table3[[#This Row],[Employee No.]],Table1_1[[Employee No.]:[Employee Name]],2,FALSE)</f>
        <v>CHANDAN KUMAR SAH</v>
      </c>
      <c r="E748" t="str">
        <f>VLOOKUP(Table3[[#This Row],[Employee No.]],Table1_1[[Employee No.]:[Department]],6,FALSE)</f>
        <v>QUALITY</v>
      </c>
      <c r="F748" t="str">
        <f>VLOOKUP(Table3[[#This Row],[Employee No.]],Table1_1[[Employee No.]:[Gender]],7,FALSE)</f>
        <v>M</v>
      </c>
      <c r="G748" t="str">
        <f>VLOOKUP(Table3[[#This Row],[Employee No.]],Table1_1[[Employee No.]:[Shift]],9,FALSE)</f>
        <v>SHIFT B</v>
      </c>
      <c r="H748" s="25">
        <v>1</v>
      </c>
      <c r="I748" s="25">
        <v>1</v>
      </c>
      <c r="J748" s="25">
        <v>1</v>
      </c>
      <c r="K748" s="25">
        <v>1</v>
      </c>
      <c r="L748" s="25">
        <v>1</v>
      </c>
      <c r="M748" s="25">
        <v>1</v>
      </c>
    </row>
    <row r="749" spans="3:16">
      <c r="C749" s="22" t="s">
        <v>3352</v>
      </c>
      <c r="D749" t="str">
        <f>VLOOKUP(Table3[[#This Row],[Employee No.]],Table1_1[[Employee No.]:[Employee Name]],2,FALSE)</f>
        <v>DILIP KUMAR MANDAL</v>
      </c>
      <c r="E749" t="str">
        <f>VLOOKUP(Table3[[#This Row],[Employee No.]],Table1_1[[Employee No.]:[Department]],6,FALSE)</f>
        <v>AOI</v>
      </c>
      <c r="F749" t="str">
        <f>VLOOKUP(Table3[[#This Row],[Employee No.]],Table1_1[[Employee No.]:[Gender]],7,FALSE)</f>
        <v>M</v>
      </c>
      <c r="G749" t="str">
        <f>VLOOKUP(Table3[[#This Row],[Employee No.]],Table1_1[[Employee No.]:[Shift]],9,FALSE)</f>
        <v>SHIFT B</v>
      </c>
      <c r="H749" s="25">
        <v>1</v>
      </c>
      <c r="I749" s="25">
        <v>1</v>
      </c>
      <c r="J749" s="25">
        <v>1</v>
      </c>
      <c r="K749" s="25">
        <v>1</v>
      </c>
      <c r="L749" s="25">
        <v>1</v>
      </c>
      <c r="M749" s="25">
        <v>1</v>
      </c>
    </row>
    <row r="750" spans="3:16">
      <c r="C750" s="22" t="s">
        <v>3354</v>
      </c>
      <c r="D750" t="str">
        <f>VLOOKUP(Table3[[#This Row],[Employee No.]],Table1_1[[Employee No.]:[Employee Name]],2,FALSE)</f>
        <v>DIPAK KUMAR RAM</v>
      </c>
      <c r="E750" t="str">
        <f>VLOOKUP(Table3[[#This Row],[Employee No.]],Table1_1[[Employee No.]:[Department]],6,FALSE)</f>
        <v>FVI</v>
      </c>
      <c r="F750" t="str">
        <f>VLOOKUP(Table3[[#This Row],[Employee No.]],Table1_1[[Employee No.]:[Gender]],7,FALSE)</f>
        <v>M</v>
      </c>
      <c r="G750" t="str">
        <f>VLOOKUP(Table3[[#This Row],[Employee No.]],Table1_1[[Employee No.]:[Shift]],9,FALSE)</f>
        <v>SHIFT A</v>
      </c>
      <c r="H750" s="25">
        <v>1</v>
      </c>
      <c r="I750" s="25">
        <v>1</v>
      </c>
      <c r="J750" s="25">
        <v>1</v>
      </c>
      <c r="K750" s="25">
        <v>1</v>
      </c>
      <c r="L750" s="25">
        <v>1</v>
      </c>
      <c r="M750" s="25">
        <v>1</v>
      </c>
    </row>
    <row r="751" spans="3:16">
      <c r="C751" s="22" t="s">
        <v>3356</v>
      </c>
      <c r="D751" t="str">
        <f>VLOOKUP(Table3[[#This Row],[Employee No.]],Table1_1[[Employee No.]:[Employee Name]],2,FALSE)</f>
        <v>DIPENDRA KUMAR MAHATO</v>
      </c>
      <c r="E751" t="str">
        <f>VLOOKUP(Table3[[#This Row],[Employee No.]],Table1_1[[Employee No.]:[Department]],6,FALSE)</f>
        <v>QUALITY</v>
      </c>
      <c r="F751" t="str">
        <f>VLOOKUP(Table3[[#This Row],[Employee No.]],Table1_1[[Employee No.]:[Gender]],7,FALSE)</f>
        <v>M</v>
      </c>
      <c r="G751" t="str">
        <f>VLOOKUP(Table3[[#This Row],[Employee No.]],Table1_1[[Employee No.]:[Shift]],9,FALSE)</f>
        <v>SHIFT C</v>
      </c>
      <c r="H751" s="25">
        <v>1</v>
      </c>
      <c r="I751" s="25">
        <v>1</v>
      </c>
      <c r="J751" s="25">
        <v>1</v>
      </c>
      <c r="K751" s="25">
        <v>1</v>
      </c>
      <c r="L751" s="25">
        <v>1</v>
      </c>
      <c r="M751" s="25">
        <v>1</v>
      </c>
      <c r="P751" s="25"/>
    </row>
    <row r="752" spans="3:16">
      <c r="C752" s="22" t="s">
        <v>3358</v>
      </c>
      <c r="D752" t="str">
        <f>VLOOKUP(Table3[[#This Row],[Employee No.]],Table1_1[[Employee No.]:[Employee Name]],2,FALSE)</f>
        <v>GOVINDA BAHADUR SARUGHARTI</v>
      </c>
      <c r="E752" t="str">
        <f>VLOOKUP(Table3[[#This Row],[Employee No.]],Table1_1[[Employee No.]:[Department]],6,FALSE)</f>
        <v>CU</v>
      </c>
      <c r="F752" t="str">
        <f>VLOOKUP(Table3[[#This Row],[Employee No.]],Table1_1[[Employee No.]:[Gender]],7,FALSE)</f>
        <v>M</v>
      </c>
      <c r="G752" t="str">
        <f>VLOOKUP(Table3[[#This Row],[Employee No.]],Table1_1[[Employee No.]:[Shift]],9,FALSE)</f>
        <v>SHIFT A</v>
      </c>
      <c r="H752" s="25">
        <v>1</v>
      </c>
      <c r="I752" s="25">
        <v>1</v>
      </c>
      <c r="J752" s="25">
        <v>1</v>
      </c>
      <c r="K752" s="25">
        <v>1</v>
      </c>
      <c r="L752" s="25">
        <v>1</v>
      </c>
      <c r="M752" s="25">
        <v>1</v>
      </c>
    </row>
    <row r="753" spans="3:16">
      <c r="C753" s="22" t="s">
        <v>3360</v>
      </c>
      <c r="D753" t="str">
        <f>VLOOKUP(Table3[[#This Row],[Employee No.]],Table1_1[[Employee No.]:[Employee Name]],2,FALSE)</f>
        <v>JANAM GURUNG</v>
      </c>
      <c r="E753" t="str">
        <f>VLOOKUP(Table3[[#This Row],[Employee No.]],Table1_1[[Employee No.]:[Department]],6,FALSE)</f>
        <v>DRILL</v>
      </c>
      <c r="F753" t="str">
        <f>VLOOKUP(Table3[[#This Row],[Employee No.]],Table1_1[[Employee No.]:[Gender]],7,FALSE)</f>
        <v>M</v>
      </c>
      <c r="G753" t="str">
        <f>VLOOKUP(Table3[[#This Row],[Employee No.]],Table1_1[[Employee No.]:[Shift]],9,FALSE)</f>
        <v>SHIFT C</v>
      </c>
      <c r="H753" s="25">
        <v>1</v>
      </c>
      <c r="I753" s="25">
        <v>1</v>
      </c>
      <c r="J753" s="25">
        <v>1</v>
      </c>
      <c r="K753" s="25">
        <v>1</v>
      </c>
      <c r="L753" s="25">
        <v>1</v>
      </c>
      <c r="M753" s="25">
        <v>1</v>
      </c>
      <c r="P753" s="25"/>
    </row>
    <row r="754" spans="3:16">
      <c r="C754" s="22" t="s">
        <v>3362</v>
      </c>
      <c r="D754" t="str">
        <f>VLOOKUP(Table3[[#This Row],[Employee No.]],Table1_1[[Employee No.]:[Employee Name]],2,FALSE)</f>
        <v>JAY PRAKASH SAH</v>
      </c>
      <c r="E754" t="str">
        <f>VLOOKUP(Table3[[#This Row],[Employee No.]],Table1_1[[Employee No.]:[Department]],6,FALSE)</f>
        <v>QUALITY</v>
      </c>
      <c r="F754" t="str">
        <f>VLOOKUP(Table3[[#This Row],[Employee No.]],Table1_1[[Employee No.]:[Gender]],7,FALSE)</f>
        <v>M</v>
      </c>
      <c r="G754" t="str">
        <f>VLOOKUP(Table3[[#This Row],[Employee No.]],Table1_1[[Employee No.]:[Shift]],9,FALSE)</f>
        <v>SHIFT A</v>
      </c>
      <c r="H754" s="25">
        <v>1</v>
      </c>
      <c r="I754" s="25">
        <v>1</v>
      </c>
      <c r="J754" s="25">
        <v>1</v>
      </c>
      <c r="K754" s="25">
        <v>1</v>
      </c>
      <c r="L754" s="25">
        <v>1</v>
      </c>
      <c r="M754" s="25">
        <v>1</v>
      </c>
    </row>
    <row r="755" spans="3:16">
      <c r="C755" s="22" t="s">
        <v>3364</v>
      </c>
      <c r="D755" t="str">
        <f>VLOOKUP(Table3[[#This Row],[Employee No.]],Table1_1[[Employee No.]:[Employee Name]],2,FALSE)</f>
        <v>JIT RAM CHAUDHARY</v>
      </c>
      <c r="E755" t="str">
        <f>VLOOKUP(Table3[[#This Row],[Employee No.]],Table1_1[[Employee No.]:[Department]],6,FALSE)</f>
        <v>CU</v>
      </c>
      <c r="F755" t="str">
        <f>VLOOKUP(Table3[[#This Row],[Employee No.]],Table1_1[[Employee No.]:[Gender]],7,FALSE)</f>
        <v>M</v>
      </c>
      <c r="G755" t="str">
        <f>VLOOKUP(Table3[[#This Row],[Employee No.]],Table1_1[[Employee No.]:[Shift]],9,FALSE)</f>
        <v>SHIFT A</v>
      </c>
      <c r="H755" s="25">
        <v>1</v>
      </c>
      <c r="I755" s="25">
        <v>1</v>
      </c>
      <c r="J755" s="25">
        <v>1</v>
      </c>
      <c r="K755" s="25">
        <v>1</v>
      </c>
      <c r="L755" s="25">
        <v>1</v>
      </c>
      <c r="M755" s="25">
        <v>1</v>
      </c>
    </row>
    <row r="756" spans="3:16">
      <c r="C756" s="22" t="s">
        <v>3366</v>
      </c>
      <c r="D756" t="str">
        <f>VLOOKUP(Table3[[#This Row],[Employee No.]],Table1_1[[Employee No.]:[Employee Name]],2,FALSE)</f>
        <v>MABOHANG KHAJUM</v>
      </c>
      <c r="E756" t="str">
        <f>VLOOKUP(Table3[[#This Row],[Employee No.]],Table1_1[[Employee No.]:[Department]],6,FALSE)</f>
        <v>QUALITY</v>
      </c>
      <c r="F756" t="str">
        <f>VLOOKUP(Table3[[#This Row],[Employee No.]],Table1_1[[Employee No.]:[Gender]],7,FALSE)</f>
        <v>M</v>
      </c>
      <c r="G756" t="str">
        <f>VLOOKUP(Table3[[#This Row],[Employee No.]],Table1_1[[Employee No.]:[Shift]],9,FALSE)</f>
        <v>SHIFT C</v>
      </c>
      <c r="H756" s="25">
        <v>1</v>
      </c>
      <c r="I756" s="25">
        <v>1</v>
      </c>
      <c r="J756" s="25">
        <v>1</v>
      </c>
      <c r="K756" s="25">
        <v>1</v>
      </c>
      <c r="L756" s="25">
        <v>1</v>
      </c>
      <c r="M756" s="25">
        <v>1</v>
      </c>
      <c r="P756" s="25"/>
    </row>
    <row r="757" spans="3:16">
      <c r="C757" s="22" t="s">
        <v>3368</v>
      </c>
      <c r="D757" t="str">
        <f>VLOOKUP(Table3[[#This Row],[Employee No.]],Table1_1[[Employee No.]:[Employee Name]],2,FALSE)</f>
        <v>MANSING MAJHI</v>
      </c>
      <c r="E757" t="str">
        <f>VLOOKUP(Table3[[#This Row],[Employee No.]],Table1_1[[Employee No.]:[Department]],6,FALSE)</f>
        <v>QUALITY</v>
      </c>
      <c r="F757" t="str">
        <f>VLOOKUP(Table3[[#This Row],[Employee No.]],Table1_1[[Employee No.]:[Gender]],7,FALSE)</f>
        <v>M</v>
      </c>
      <c r="G757" t="str">
        <f>VLOOKUP(Table3[[#This Row],[Employee No.]],Table1_1[[Employee No.]:[Shift]],9,FALSE)</f>
        <v>SHIFT B</v>
      </c>
      <c r="H757" s="25">
        <v>1</v>
      </c>
      <c r="I757" s="25">
        <v>1</v>
      </c>
      <c r="J757" s="25">
        <v>1</v>
      </c>
      <c r="K757" s="25">
        <v>1</v>
      </c>
      <c r="L757" s="25">
        <v>1</v>
      </c>
      <c r="M757" s="25">
        <v>1</v>
      </c>
    </row>
    <row r="758" spans="3:16">
      <c r="C758" s="22" t="s">
        <v>3370</v>
      </c>
      <c r="D758" t="str">
        <f>VLOOKUP(Table3[[#This Row],[Employee No.]],Table1_1[[Employee No.]:[Employee Name]],2,FALSE)</f>
        <v>MEGNATH GUPTA</v>
      </c>
      <c r="E758" t="str">
        <f>VLOOKUP(Table3[[#This Row],[Employee No.]],Table1_1[[Employee No.]:[Department]],6,FALSE)</f>
        <v>DF</v>
      </c>
      <c r="F758" t="str">
        <f>VLOOKUP(Table3[[#This Row],[Employee No.]],Table1_1[[Employee No.]:[Gender]],7,FALSE)</f>
        <v>M</v>
      </c>
      <c r="G758" t="str">
        <f>VLOOKUP(Table3[[#This Row],[Employee No.]],Table1_1[[Employee No.]:[Shift]],9,FALSE)</f>
        <v>SHIFT C</v>
      </c>
      <c r="H758" s="25">
        <v>1</v>
      </c>
      <c r="I758" s="25">
        <v>1</v>
      </c>
      <c r="J758" s="25">
        <v>1</v>
      </c>
      <c r="K758" s="25">
        <v>1</v>
      </c>
      <c r="L758" s="25">
        <v>1</v>
      </c>
      <c r="M758" s="25">
        <v>1</v>
      </c>
      <c r="P758" s="25"/>
    </row>
    <row r="759" spans="3:16">
      <c r="C759" s="22" t="s">
        <v>3372</v>
      </c>
      <c r="D759" t="str">
        <f>VLOOKUP(Table3[[#This Row],[Employee No.]],Table1_1[[Employee No.]:[Employee Name]],2,FALSE)</f>
        <v>NABARAJ GHIMIRE</v>
      </c>
      <c r="E759" t="str">
        <f>VLOOKUP(Table3[[#This Row],[Employee No.]],Table1_1[[Employee No.]:[Department]],6,FALSE)</f>
        <v>QUALITY</v>
      </c>
      <c r="F759" t="str">
        <f>VLOOKUP(Table3[[#This Row],[Employee No.]],Table1_1[[Employee No.]:[Gender]],7,FALSE)</f>
        <v>M</v>
      </c>
      <c r="G759" t="str">
        <f>VLOOKUP(Table3[[#This Row],[Employee No.]],Table1_1[[Employee No.]:[Shift]],9,FALSE)</f>
        <v>SHIFT B</v>
      </c>
      <c r="H759" s="25">
        <v>1</v>
      </c>
      <c r="I759" s="25">
        <v>1</v>
      </c>
      <c r="J759" s="25">
        <v>1</v>
      </c>
      <c r="K759" s="25">
        <v>1</v>
      </c>
      <c r="L759" s="25">
        <v>1</v>
      </c>
      <c r="M759" s="25">
        <v>1</v>
      </c>
    </row>
    <row r="760" spans="3:16">
      <c r="C760" s="22" t="s">
        <v>3374</v>
      </c>
      <c r="D760" t="str">
        <f>VLOOKUP(Table3[[#This Row],[Employee No.]],Table1_1[[Employee No.]:[Employee Name]],2,FALSE)</f>
        <v>NIRAJ KAUCHA</v>
      </c>
      <c r="E760" t="str">
        <f>VLOOKUP(Table3[[#This Row],[Employee No.]],Table1_1[[Employee No.]:[Department]],6,FALSE)</f>
        <v>SM</v>
      </c>
      <c r="F760" t="str">
        <f>VLOOKUP(Table3[[#This Row],[Employee No.]],Table1_1[[Employee No.]:[Gender]],7,FALSE)</f>
        <v>M</v>
      </c>
      <c r="G760" t="str">
        <f>VLOOKUP(Table3[[#This Row],[Employee No.]],Table1_1[[Employee No.]:[Shift]],9,FALSE)</f>
        <v>SHIFT B</v>
      </c>
      <c r="H760" s="25">
        <v>1</v>
      </c>
      <c r="I760" s="25">
        <v>1</v>
      </c>
      <c r="J760" s="25">
        <v>1</v>
      </c>
      <c r="K760" s="25">
        <v>1</v>
      </c>
      <c r="L760" s="25">
        <v>1</v>
      </c>
      <c r="M760" s="25">
        <v>1</v>
      </c>
    </row>
    <row r="761" spans="3:16">
      <c r="C761" s="22" t="s">
        <v>3376</v>
      </c>
      <c r="D761" t="str">
        <f>VLOOKUP(Table3[[#This Row],[Employee No.]],Table1_1[[Employee No.]:[Employee Name]],2,FALSE)</f>
        <v>PADAM BAHADUR SUNAR</v>
      </c>
      <c r="E761" t="str">
        <f>VLOOKUP(Table3[[#This Row],[Employee No.]],Table1_1[[Employee No.]:[Department]],6,FALSE)</f>
        <v>CU</v>
      </c>
      <c r="F761" t="str">
        <f>VLOOKUP(Table3[[#This Row],[Employee No.]],Table1_1[[Employee No.]:[Gender]],7,FALSE)</f>
        <v>M</v>
      </c>
      <c r="G761" t="str">
        <f>VLOOKUP(Table3[[#This Row],[Employee No.]],Table1_1[[Employee No.]:[Shift]],9,FALSE)</f>
        <v>SHIFT C</v>
      </c>
      <c r="H761" s="25">
        <v>1</v>
      </c>
      <c r="I761" s="25">
        <v>1</v>
      </c>
      <c r="J761" s="25">
        <v>1</v>
      </c>
      <c r="K761" s="25">
        <v>1</v>
      </c>
      <c r="L761" s="25">
        <v>1</v>
      </c>
      <c r="M761" s="25">
        <v>1</v>
      </c>
      <c r="P761" s="25"/>
    </row>
    <row r="762" spans="3:16">
      <c r="C762" s="22" t="s">
        <v>3378</v>
      </c>
      <c r="D762" t="str">
        <f>VLOOKUP(Table3[[#This Row],[Employee No.]],Table1_1[[Employee No.]:[Employee Name]],2,FALSE)</f>
        <v>RABI KUMAR JHA</v>
      </c>
      <c r="E762" t="str">
        <f>VLOOKUP(Table3[[#This Row],[Employee No.]],Table1_1[[Employee No.]:[Department]],6,FALSE)</f>
        <v>BBT</v>
      </c>
      <c r="F762" t="str">
        <f>VLOOKUP(Table3[[#This Row],[Employee No.]],Table1_1[[Employee No.]:[Gender]],7,FALSE)</f>
        <v>M</v>
      </c>
      <c r="G762" t="str">
        <f>VLOOKUP(Table3[[#This Row],[Employee No.]],Table1_1[[Employee No.]:[Shift]],9,FALSE)</f>
        <v>SHIFT A</v>
      </c>
      <c r="H762" s="25">
        <v>1</v>
      </c>
      <c r="I762" s="25">
        <v>1</v>
      </c>
      <c r="J762" s="25">
        <v>1</v>
      </c>
      <c r="K762" s="25">
        <v>1</v>
      </c>
      <c r="L762" s="25">
        <v>1</v>
      </c>
      <c r="M762" s="25">
        <v>1</v>
      </c>
    </row>
    <row r="763" spans="3:16">
      <c r="C763" s="22" t="s">
        <v>3380</v>
      </c>
      <c r="D763" t="str">
        <f>VLOOKUP(Table3[[#This Row],[Employee No.]],Table1_1[[Employee No.]:[Employee Name]],2,FALSE)</f>
        <v>RAJIV KUMAR MANDAL</v>
      </c>
      <c r="E763" t="str">
        <f>VLOOKUP(Table3[[#This Row],[Employee No.]],Table1_1[[Employee No.]:[Department]],6,FALSE)</f>
        <v>QUALITY</v>
      </c>
      <c r="F763" t="str">
        <f>VLOOKUP(Table3[[#This Row],[Employee No.]],Table1_1[[Employee No.]:[Gender]],7,FALSE)</f>
        <v>M</v>
      </c>
      <c r="G763" t="str">
        <f>VLOOKUP(Table3[[#This Row],[Employee No.]],Table1_1[[Employee No.]:[Shift]],9,FALSE)</f>
        <v>SHIFT A</v>
      </c>
      <c r="H763" s="25">
        <v>1</v>
      </c>
      <c r="I763" s="25">
        <v>1</v>
      </c>
      <c r="J763" s="25">
        <v>1</v>
      </c>
      <c r="K763" s="25">
        <v>1</v>
      </c>
      <c r="L763" s="25">
        <v>1</v>
      </c>
      <c r="M763" s="25">
        <v>1</v>
      </c>
    </row>
    <row r="764" spans="3:16">
      <c r="C764" s="22" t="s">
        <v>3382</v>
      </c>
      <c r="D764" t="str">
        <f>VLOOKUP(Table3[[#This Row],[Employee No.]],Table1_1[[Employee No.]:[Employee Name]],2,FALSE)</f>
        <v>REBAT KHADKA</v>
      </c>
      <c r="E764" t="str">
        <f>VLOOKUP(Table3[[#This Row],[Employee No.]],Table1_1[[Employee No.]:[Department]],6,FALSE)</f>
        <v>CU</v>
      </c>
      <c r="F764" t="str">
        <f>VLOOKUP(Table3[[#This Row],[Employee No.]],Table1_1[[Employee No.]:[Gender]],7,FALSE)</f>
        <v>M</v>
      </c>
      <c r="G764" t="str">
        <f>VLOOKUP(Table3[[#This Row],[Employee No.]],Table1_1[[Employee No.]:[Shift]],9,FALSE)</f>
        <v>SHIFT C</v>
      </c>
      <c r="H764" s="25">
        <v>1</v>
      </c>
      <c r="I764" s="25">
        <v>1</v>
      </c>
      <c r="J764" s="25">
        <v>1</v>
      </c>
      <c r="K764" s="25">
        <v>1</v>
      </c>
      <c r="L764" s="25">
        <v>1</v>
      </c>
      <c r="M764" s="25">
        <v>1</v>
      </c>
      <c r="P764" s="25"/>
    </row>
    <row r="765" spans="3:16">
      <c r="C765" s="22" t="s">
        <v>3384</v>
      </c>
      <c r="D765" t="str">
        <f>VLOOKUP(Table3[[#This Row],[Employee No.]],Table1_1[[Employee No.]:[Employee Name]],2,FALSE)</f>
        <v>RUPESH KUMAR SAH</v>
      </c>
      <c r="E765" t="str">
        <f>VLOOKUP(Table3[[#This Row],[Employee No.]],Table1_1[[Employee No.]:[Department]],6,FALSE)</f>
        <v>DF</v>
      </c>
      <c r="F765" t="str">
        <f>VLOOKUP(Table3[[#This Row],[Employee No.]],Table1_1[[Employee No.]:[Gender]],7,FALSE)</f>
        <v>M</v>
      </c>
      <c r="G765" t="str">
        <f>VLOOKUP(Table3[[#This Row],[Employee No.]],Table1_1[[Employee No.]:[Shift]],9,FALSE)</f>
        <v>SHIFT B</v>
      </c>
      <c r="H765" s="25">
        <v>1</v>
      </c>
      <c r="I765" s="25">
        <v>1</v>
      </c>
      <c r="J765" s="25">
        <v>1</v>
      </c>
      <c r="K765" s="25">
        <v>1</v>
      </c>
      <c r="L765" s="25">
        <v>1</v>
      </c>
      <c r="M765" s="25">
        <v>1</v>
      </c>
    </row>
    <row r="766" spans="3:16">
      <c r="C766" s="22" t="s">
        <v>3386</v>
      </c>
      <c r="D766" t="str">
        <f>VLOOKUP(Table3[[#This Row],[Employee No.]],Table1_1[[Employee No.]:[Employee Name]],2,FALSE)</f>
        <v>SANJIP KUMAR MAHATO</v>
      </c>
      <c r="E766" t="str">
        <f>VLOOKUP(Table3[[#This Row],[Employee No.]],Table1_1[[Employee No.]:[Department]],6,FALSE)</f>
        <v>MLB</v>
      </c>
      <c r="F766" t="str">
        <f>VLOOKUP(Table3[[#This Row],[Employee No.]],Table1_1[[Employee No.]:[Gender]],7,FALSE)</f>
        <v>M</v>
      </c>
      <c r="G766" t="str">
        <f>VLOOKUP(Table3[[#This Row],[Employee No.]],Table1_1[[Employee No.]:[Shift]],9,FALSE)</f>
        <v>SHIFT C</v>
      </c>
      <c r="H766" s="25">
        <v>1</v>
      </c>
      <c r="I766" s="25">
        <v>1</v>
      </c>
      <c r="J766" s="25">
        <v>1</v>
      </c>
      <c r="K766" s="25">
        <v>1</v>
      </c>
      <c r="L766" s="25">
        <v>1</v>
      </c>
      <c r="M766" s="25">
        <v>1</v>
      </c>
      <c r="P766" s="25"/>
    </row>
    <row r="767" spans="3:16">
      <c r="C767" s="22" t="s">
        <v>3388</v>
      </c>
      <c r="D767" t="str">
        <f>VLOOKUP(Table3[[#This Row],[Employee No.]],Table1_1[[Employee No.]:[Employee Name]],2,FALSE)</f>
        <v>SANTOSH NEPALI</v>
      </c>
      <c r="E767" t="str">
        <f>VLOOKUP(Table3[[#This Row],[Employee No.]],Table1_1[[Employee No.]:[Department]],6,FALSE)</f>
        <v>DF</v>
      </c>
      <c r="F767" t="str">
        <f>VLOOKUP(Table3[[#This Row],[Employee No.]],Table1_1[[Employee No.]:[Gender]],7,FALSE)</f>
        <v>M</v>
      </c>
      <c r="G767" t="str">
        <f>VLOOKUP(Table3[[#This Row],[Employee No.]],Table1_1[[Employee No.]:[Shift]],9,FALSE)</f>
        <v>SHIFT A</v>
      </c>
      <c r="H767" s="25">
        <v>1</v>
      </c>
      <c r="I767" s="25">
        <v>1</v>
      </c>
      <c r="J767" s="25">
        <v>1</v>
      </c>
      <c r="K767" s="25">
        <v>1</v>
      </c>
      <c r="L767" s="25">
        <v>1</v>
      </c>
      <c r="M767" s="25">
        <v>1</v>
      </c>
    </row>
    <row r="768" spans="3:16">
      <c r="C768" s="22" t="s">
        <v>3390</v>
      </c>
      <c r="D768" t="str">
        <f>VLOOKUP(Table3[[#This Row],[Employee No.]],Table1_1[[Employee No.]:[Employee Name]],2,FALSE)</f>
        <v>SANTOSH ROKA</v>
      </c>
      <c r="E768" t="str">
        <f>VLOOKUP(Table3[[#This Row],[Employee No.]],Table1_1[[Employee No.]:[Department]],6,FALSE)</f>
        <v>DF</v>
      </c>
      <c r="F768" t="str">
        <f>VLOOKUP(Table3[[#This Row],[Employee No.]],Table1_1[[Employee No.]:[Gender]],7,FALSE)</f>
        <v>M</v>
      </c>
      <c r="G768" t="str">
        <f>VLOOKUP(Table3[[#This Row],[Employee No.]],Table1_1[[Employee No.]:[Shift]],9,FALSE)</f>
        <v>SHIFT B</v>
      </c>
      <c r="H768" s="25">
        <v>1</v>
      </c>
      <c r="I768" s="25">
        <v>1</v>
      </c>
      <c r="J768" s="25">
        <v>1</v>
      </c>
      <c r="K768" s="25">
        <v>1</v>
      </c>
      <c r="L768" s="25">
        <v>1</v>
      </c>
      <c r="M768" s="25">
        <v>1</v>
      </c>
    </row>
    <row r="769" spans="3:16">
      <c r="C769" s="22" t="s">
        <v>3392</v>
      </c>
      <c r="D769" t="str">
        <f>VLOOKUP(Table3[[#This Row],[Employee No.]],Table1_1[[Employee No.]:[Employee Name]],2,FALSE)</f>
        <v>SHIV KUMAR MAHATO</v>
      </c>
      <c r="E769" t="str">
        <f>VLOOKUP(Table3[[#This Row],[Employee No.]],Table1_1[[Employee No.]:[Department]],6,FALSE)</f>
        <v>QUALITY</v>
      </c>
      <c r="F769" t="str">
        <f>VLOOKUP(Table3[[#This Row],[Employee No.]],Table1_1[[Employee No.]:[Gender]],7,FALSE)</f>
        <v>M</v>
      </c>
      <c r="G769" t="str">
        <f>VLOOKUP(Table3[[#This Row],[Employee No.]],Table1_1[[Employee No.]:[Shift]],9,FALSE)</f>
        <v>SHIFT B</v>
      </c>
      <c r="H769" s="25">
        <v>1</v>
      </c>
      <c r="I769" s="25">
        <v>1</v>
      </c>
      <c r="J769" s="25">
        <v>1</v>
      </c>
      <c r="K769" s="25">
        <v>1</v>
      </c>
      <c r="L769" s="25">
        <v>1</v>
      </c>
      <c r="M769" s="25">
        <v>1</v>
      </c>
    </row>
    <row r="770" spans="3:16">
      <c r="C770" s="22" t="s">
        <v>3394</v>
      </c>
      <c r="D770" t="str">
        <f>VLOOKUP(Table3[[#This Row],[Employee No.]],Table1_1[[Employee No.]:[Employee Name]],2,FALSE)</f>
        <v>SURENDRA PUTUWAR</v>
      </c>
      <c r="E770" t="str">
        <f>VLOOKUP(Table3[[#This Row],[Employee No.]],Table1_1[[Employee No.]:[Department]],6,FALSE)</f>
        <v>QUALITY</v>
      </c>
      <c r="F770" t="str">
        <f>VLOOKUP(Table3[[#This Row],[Employee No.]],Table1_1[[Employee No.]:[Gender]],7,FALSE)</f>
        <v>M</v>
      </c>
      <c r="G770" t="str">
        <f>VLOOKUP(Table3[[#This Row],[Employee No.]],Table1_1[[Employee No.]:[Shift]],9,FALSE)</f>
        <v>SHIFT A</v>
      </c>
      <c r="H770" s="25">
        <v>0</v>
      </c>
      <c r="I770" s="25">
        <v>0</v>
      </c>
      <c r="J770" s="25">
        <v>1</v>
      </c>
      <c r="K770" s="25">
        <v>1</v>
      </c>
      <c r="L770" s="25">
        <v>1</v>
      </c>
      <c r="M770" s="25">
        <v>1</v>
      </c>
    </row>
    <row r="771" spans="3:16">
      <c r="C771" s="22" t="s">
        <v>3396</v>
      </c>
      <c r="D771" t="str">
        <f>VLOOKUP(Table3[[#This Row],[Employee No.]],Table1_1[[Employee No.]:[Employee Name]],2,FALSE)</f>
        <v>YOGENDRA ANGDEMBE</v>
      </c>
      <c r="E771" t="str">
        <f>VLOOKUP(Table3[[#This Row],[Employee No.]],Table1_1[[Employee No.]:[Department]],6,FALSE)</f>
        <v>QUALITY</v>
      </c>
      <c r="F771" t="str">
        <f>VLOOKUP(Table3[[#This Row],[Employee No.]],Table1_1[[Employee No.]:[Gender]],7,FALSE)</f>
        <v>M</v>
      </c>
      <c r="G771" t="str">
        <f>VLOOKUP(Table3[[#This Row],[Employee No.]],Table1_1[[Employee No.]:[Shift]],9,FALSE)</f>
        <v>SHIFT C</v>
      </c>
      <c r="H771" s="25">
        <v>1</v>
      </c>
      <c r="I771" s="25">
        <v>1</v>
      </c>
      <c r="J771" s="25">
        <v>1</v>
      </c>
      <c r="K771" s="25">
        <v>1</v>
      </c>
      <c r="L771" s="25">
        <v>1</v>
      </c>
      <c r="M771" s="25">
        <v>1</v>
      </c>
      <c r="P771" s="25"/>
    </row>
    <row r="772" spans="3:16">
      <c r="C772" s="22" t="s">
        <v>3401</v>
      </c>
      <c r="D772" t="str">
        <f>VLOOKUP(Table3[[#This Row],[Employee No.]],Table1_1[[Employee No.]:[Employee Name]],2,FALSE)</f>
        <v>MUHAMMAD NAJIB BIN NAZARI</v>
      </c>
      <c r="E772" t="str">
        <f>VLOOKUP(Table3[[#This Row],[Employee No.]],Table1_1[[Employee No.]:[Department]],6,FALSE)</f>
        <v>EQUIPMENT</v>
      </c>
      <c r="F772" t="str">
        <f>VLOOKUP(Table3[[#This Row],[Employee No.]],Table1_1[[Employee No.]:[Gender]],7,FALSE)</f>
        <v>M</v>
      </c>
      <c r="G772" t="str">
        <f>VLOOKUP(Table3[[#This Row],[Employee No.]],Table1_1[[Employee No.]:[Shift]],9,FALSE)</f>
        <v>SHIFT A</v>
      </c>
      <c r="H772" s="25">
        <v>1</v>
      </c>
      <c r="I772" s="25">
        <v>1</v>
      </c>
      <c r="J772" s="25">
        <v>1</v>
      </c>
      <c r="K772" s="25">
        <v>1</v>
      </c>
      <c r="L772" s="25">
        <v>1</v>
      </c>
      <c r="M772" s="25">
        <v>1</v>
      </c>
    </row>
    <row r="773" spans="3:16">
      <c r="C773" s="22" t="s">
        <v>3405</v>
      </c>
      <c r="D773" t="str">
        <f>VLOOKUP(Table3[[#This Row],[Employee No.]],Table1_1[[Employee No.]:[Employee Name]],2,FALSE)</f>
        <v>RUDY IRWAN BIN YAHAYA</v>
      </c>
      <c r="E773" t="str">
        <f>VLOOKUP(Table3[[#This Row],[Employee No.]],Table1_1[[Employee No.]:[Department]],6,FALSE)</f>
        <v>HS</v>
      </c>
      <c r="F773" t="str">
        <f>VLOOKUP(Table3[[#This Row],[Employee No.]],Table1_1[[Employee No.]:[Gender]],7,FALSE)</f>
        <v>M</v>
      </c>
      <c r="G773" t="str">
        <f>VLOOKUP(Table3[[#This Row],[Employee No.]],Table1_1[[Employee No.]:[Shift]],9,FALSE)</f>
        <v>SHIFT B</v>
      </c>
      <c r="H773" s="25">
        <v>1</v>
      </c>
      <c r="I773" s="25">
        <v>1</v>
      </c>
      <c r="J773" s="25">
        <v>1</v>
      </c>
      <c r="K773" s="25">
        <v>1</v>
      </c>
      <c r="L773" s="25">
        <v>1</v>
      </c>
      <c r="M773" s="25">
        <v>1</v>
      </c>
    </row>
    <row r="774" spans="3:16">
      <c r="C774" s="22" t="s">
        <v>3409</v>
      </c>
      <c r="D774" t="str">
        <f>VLOOKUP(Table3[[#This Row],[Employee No.]],Table1_1[[Employee No.]:[Employee Name]],2,FALSE)</f>
        <v>MOHD QUSAIMI BIN ALIAS</v>
      </c>
      <c r="E774" t="str">
        <f>VLOOKUP(Table3[[#This Row],[Employee No.]],Table1_1[[Employee No.]:[Department]],6,FALSE)</f>
        <v>FACILITY</v>
      </c>
      <c r="F774" t="str">
        <f>VLOOKUP(Table3[[#This Row],[Employee No.]],Table1_1[[Employee No.]:[Gender]],7,FALSE)</f>
        <v>M</v>
      </c>
      <c r="G774" t="str">
        <f>VLOOKUP(Table3[[#This Row],[Employee No.]],Table1_1[[Employee No.]:[Shift]],9,FALSE)</f>
        <v>SHIFT C</v>
      </c>
      <c r="H774" s="25">
        <v>1</v>
      </c>
      <c r="I774" s="25">
        <v>1</v>
      </c>
      <c r="J774" s="25">
        <v>1</v>
      </c>
      <c r="K774" s="25">
        <v>1</v>
      </c>
      <c r="L774" s="25">
        <v>1</v>
      </c>
      <c r="M774" s="25">
        <v>1</v>
      </c>
      <c r="P774" s="25"/>
    </row>
    <row r="775" spans="3:16">
      <c r="C775" s="22" t="s">
        <v>3417</v>
      </c>
      <c r="D775" t="str">
        <f>VLOOKUP(Table3[[#This Row],[Employee No.]],Table1_1[[Employee No.]:[Employee Name]],2,FALSE)</f>
        <v>MUHAMMAD IMAN NURHAKIM BIN ABDUL HADI</v>
      </c>
      <c r="E775" t="str">
        <f>VLOOKUP(Table3[[#This Row],[Employee No.]],Table1_1[[Employee No.]:[Department]],6,FALSE)</f>
        <v>BBT</v>
      </c>
      <c r="F775" t="str">
        <f>VLOOKUP(Table3[[#This Row],[Employee No.]],Table1_1[[Employee No.]:[Gender]],7,FALSE)</f>
        <v>M</v>
      </c>
      <c r="G775" t="str">
        <f>VLOOKUP(Table3[[#This Row],[Employee No.]],Table1_1[[Employee No.]:[Shift]],9,FALSE)</f>
        <v>SHIFT C</v>
      </c>
      <c r="H775" s="25">
        <v>1</v>
      </c>
      <c r="I775" s="25">
        <v>1</v>
      </c>
      <c r="J775" s="25">
        <v>1</v>
      </c>
      <c r="K775" s="25">
        <v>1</v>
      </c>
      <c r="L775" s="25">
        <v>1</v>
      </c>
      <c r="M775" s="25">
        <v>1</v>
      </c>
      <c r="P775" s="25"/>
    </row>
    <row r="776" spans="3:16">
      <c r="C776" s="22" t="s">
        <v>3420</v>
      </c>
      <c r="D776" t="str">
        <f>VLOOKUP(Table3[[#This Row],[Employee No.]],Table1_1[[Employee No.]:[Employee Name]],2,FALSE)</f>
        <v>MOHAMAD AKHIR BIN ABD HADZRI</v>
      </c>
      <c r="E776" t="str">
        <f>VLOOKUP(Table3[[#This Row],[Employee No.]],Table1_1[[Employee No.]:[Department]],6,FALSE)</f>
        <v>PRODUCTION CONTROL</v>
      </c>
      <c r="F776" t="str">
        <f>VLOOKUP(Table3[[#This Row],[Employee No.]],Table1_1[[Employee No.]:[Gender]],7,FALSE)</f>
        <v>M</v>
      </c>
      <c r="G776" t="str">
        <f>VLOOKUP(Table3[[#This Row],[Employee No.]],Table1_1[[Employee No.]:[Shift]],9,FALSE)</f>
        <v>SHIFT A</v>
      </c>
      <c r="H776" s="25">
        <v>1</v>
      </c>
      <c r="I776" s="25">
        <v>1</v>
      </c>
      <c r="J776" s="25">
        <v>1</v>
      </c>
      <c r="K776" s="25">
        <v>1</v>
      </c>
      <c r="L776" s="25">
        <v>1</v>
      </c>
      <c r="M776" s="25">
        <v>0</v>
      </c>
    </row>
    <row r="777" spans="3:16">
      <c r="C777" s="22" t="s">
        <v>3423</v>
      </c>
      <c r="D777" t="str">
        <f>VLOOKUP(Table3[[#This Row],[Employee No.]],Table1_1[[Employee No.]:[Employee Name]],2,FALSE)</f>
        <v>MOHAMAD SYAHRIL BIN JAAFAR</v>
      </c>
      <c r="E777" t="str">
        <f>VLOOKUP(Table3[[#This Row],[Employee No.]],Table1_1[[Employee No.]:[Department]],6,FALSE)</f>
        <v>ROUTER</v>
      </c>
      <c r="F777" t="str">
        <f>VLOOKUP(Table3[[#This Row],[Employee No.]],Table1_1[[Employee No.]:[Gender]],7,FALSE)</f>
        <v>M</v>
      </c>
      <c r="G777" t="str">
        <f>VLOOKUP(Table3[[#This Row],[Employee No.]],Table1_1[[Employee No.]:[Shift]],9,FALSE)</f>
        <v>SHIFT C</v>
      </c>
      <c r="H777" s="25">
        <v>1</v>
      </c>
      <c r="I777" s="25">
        <v>1</v>
      </c>
      <c r="J777" s="25">
        <v>1</v>
      </c>
      <c r="K777" s="25">
        <v>1</v>
      </c>
      <c r="L777" s="25">
        <v>1</v>
      </c>
      <c r="M777" s="25">
        <v>1</v>
      </c>
      <c r="P777" s="25"/>
    </row>
    <row r="778" spans="3:16">
      <c r="C778" s="22" t="s">
        <v>3427</v>
      </c>
      <c r="D778" t="str">
        <f>VLOOKUP(Table3[[#This Row],[Employee No.]],Table1_1[[Employee No.]:[Employee Name]],2,FALSE)</f>
        <v>MEOR FIKRI BIN ABD RAZAK</v>
      </c>
      <c r="E778" t="str">
        <f>VLOOKUP(Table3[[#This Row],[Employee No.]],Table1_1[[Employee No.]:[Department]],6,FALSE)</f>
        <v>WAREHOUSE</v>
      </c>
      <c r="F778" t="str">
        <f>VLOOKUP(Table3[[#This Row],[Employee No.]],Table1_1[[Employee No.]:[Gender]],7,FALSE)</f>
        <v>M</v>
      </c>
      <c r="G778" t="str">
        <f>VLOOKUP(Table3[[#This Row],[Employee No.]],Table1_1[[Employee No.]:[Shift]],9,FALSE)</f>
        <v>SHIFT B</v>
      </c>
      <c r="H778" s="25">
        <v>1</v>
      </c>
      <c r="I778" s="25">
        <v>1</v>
      </c>
      <c r="J778" s="25">
        <v>1</v>
      </c>
      <c r="K778" s="25">
        <v>1</v>
      </c>
      <c r="L778" s="25">
        <v>1</v>
      </c>
      <c r="M778" s="25">
        <v>0</v>
      </c>
    </row>
    <row r="779" spans="3:16">
      <c r="C779" s="22" t="s">
        <v>3431</v>
      </c>
      <c r="D779" t="str">
        <f>VLOOKUP(Table3[[#This Row],[Employee No.]],Table1_1[[Employee No.]:[Employee Name]],2,FALSE)</f>
        <v>MUHAMMAD ISHAM AQIL BIN MARZUKI</v>
      </c>
      <c r="E779" t="str">
        <f>VLOOKUP(Table3[[#This Row],[Employee No.]],Table1_1[[Employee No.]:[Department]],6,FALSE)</f>
        <v>QUALITY</v>
      </c>
      <c r="F779" t="str">
        <f>VLOOKUP(Table3[[#This Row],[Employee No.]],Table1_1[[Employee No.]:[Gender]],7,FALSE)</f>
        <v>M</v>
      </c>
      <c r="G779" t="str">
        <f>VLOOKUP(Table3[[#This Row],[Employee No.]],Table1_1[[Employee No.]:[Shift]],9,FALSE)</f>
        <v>SHIFT B</v>
      </c>
      <c r="H779" s="25">
        <v>1</v>
      </c>
      <c r="I779" s="25">
        <v>1</v>
      </c>
      <c r="J779" s="25">
        <v>1</v>
      </c>
      <c r="K779" s="25">
        <v>1</v>
      </c>
      <c r="L779" s="25">
        <v>1</v>
      </c>
      <c r="M779" s="25">
        <v>1</v>
      </c>
    </row>
    <row r="780" spans="3:16">
      <c r="C780" s="22" t="s">
        <v>3435</v>
      </c>
      <c r="D780" t="str">
        <f>VLOOKUP(Table3[[#This Row],[Employee No.]],Table1_1[[Employee No.]:[Employee Name]],2,FALSE)</f>
        <v>ATIFA NAJWA BINTI ADNAN</v>
      </c>
      <c r="E780" t="str">
        <f>VLOOKUP(Table3[[#This Row],[Employee No.]],Table1_1[[Employee No.]:[Department]],6,FALSE)</f>
        <v>FVI</v>
      </c>
      <c r="F780" t="str">
        <f>VLOOKUP(Table3[[#This Row],[Employee No.]],Table1_1[[Employee No.]:[Gender]],7,FALSE)</f>
        <v>F</v>
      </c>
      <c r="G780" t="str">
        <f>VLOOKUP(Table3[[#This Row],[Employee No.]],Table1_1[[Employee No.]:[Shift]],9,FALSE)</f>
        <v>SHIFT C</v>
      </c>
      <c r="H780" s="25">
        <v>1</v>
      </c>
      <c r="I780" s="25">
        <v>1</v>
      </c>
      <c r="J780" s="25">
        <v>1</v>
      </c>
      <c r="K780" s="25">
        <v>1</v>
      </c>
      <c r="L780" s="25">
        <v>1</v>
      </c>
      <c r="M780" s="25">
        <v>1</v>
      </c>
      <c r="P780" s="25"/>
    </row>
    <row r="781" spans="3:16">
      <c r="C781" s="22" t="s">
        <v>3439</v>
      </c>
      <c r="D781" t="str">
        <f>VLOOKUP(Table3[[#This Row],[Employee No.]],Table1_1[[Employee No.]:[Employee Name]],2,FALSE)</f>
        <v>GABRIEL ALLEN SMITH ANAK ARREY</v>
      </c>
      <c r="E781" t="str">
        <f>VLOOKUP(Table3[[#This Row],[Employee No.]],Table1_1[[Employee No.]:[Department]],6,FALSE)</f>
        <v>BBT</v>
      </c>
      <c r="F781" t="str">
        <f>VLOOKUP(Table3[[#This Row],[Employee No.]],Table1_1[[Employee No.]:[Gender]],7,FALSE)</f>
        <v>M</v>
      </c>
      <c r="G781" t="str">
        <f>VLOOKUP(Table3[[#This Row],[Employee No.]],Table1_1[[Employee No.]:[Shift]],9,FALSE)</f>
        <v>SHIFT A</v>
      </c>
      <c r="H781" s="25">
        <v>1</v>
      </c>
      <c r="I781" s="25">
        <v>1</v>
      </c>
      <c r="J781" s="25">
        <v>1</v>
      </c>
      <c r="K781" s="25">
        <v>1</v>
      </c>
      <c r="L781" s="25">
        <v>1</v>
      </c>
      <c r="M781" s="25">
        <v>1</v>
      </c>
    </row>
    <row r="782" spans="3:16">
      <c r="C782" s="22" t="s">
        <v>3443</v>
      </c>
      <c r="D782" t="str">
        <f>VLOOKUP(Table3[[#This Row],[Employee No.]],Table1_1[[Employee No.]:[Employee Name]],2,FALSE)</f>
        <v>ARIFF EIKMAL BIN MD ZAHIR</v>
      </c>
      <c r="E782" t="str">
        <f>VLOOKUP(Table3[[#This Row],[Employee No.]],Table1_1[[Employee No.]:[Department]],6,FALSE)</f>
        <v>PACKING</v>
      </c>
      <c r="F782" t="str">
        <f>VLOOKUP(Table3[[#This Row],[Employee No.]],Table1_1[[Employee No.]:[Gender]],7,FALSE)</f>
        <v>M</v>
      </c>
      <c r="G782" t="str">
        <f>VLOOKUP(Table3[[#This Row],[Employee No.]],Table1_1[[Employee No.]:[Shift]],9,FALSE)</f>
        <v>SHIFT A</v>
      </c>
      <c r="H782" s="25">
        <v>1</v>
      </c>
      <c r="I782" s="25">
        <v>1</v>
      </c>
      <c r="J782" s="25">
        <v>1</v>
      </c>
      <c r="K782" s="25">
        <v>1</v>
      </c>
      <c r="L782" s="25">
        <v>1</v>
      </c>
      <c r="M782" s="25">
        <v>1</v>
      </c>
    </row>
    <row r="783" spans="3:16">
      <c r="C783" s="22" t="s">
        <v>3447</v>
      </c>
      <c r="D783" t="str">
        <f>VLOOKUP(Table3[[#This Row],[Employee No.]],Table1_1[[Employee No.]:[Employee Name]],2,FALSE)</f>
        <v>MOHAMAD FIRDAUS BIN RAHIM</v>
      </c>
      <c r="E783" t="str">
        <f>VLOOKUP(Table3[[#This Row],[Employee No.]],Table1_1[[Employee No.]:[Department]],6,FALSE)</f>
        <v>DF</v>
      </c>
      <c r="F783" t="str">
        <f>VLOOKUP(Table3[[#This Row],[Employee No.]],Table1_1[[Employee No.]:[Gender]],7,FALSE)</f>
        <v>M</v>
      </c>
      <c r="G783" t="str">
        <f>VLOOKUP(Table3[[#This Row],[Employee No.]],Table1_1[[Employee No.]:[Shift]],9,FALSE)</f>
        <v>SHIFT A</v>
      </c>
      <c r="H783" s="25">
        <v>1</v>
      </c>
      <c r="I783" s="25">
        <v>1</v>
      </c>
      <c r="J783" s="25">
        <v>1</v>
      </c>
      <c r="K783" s="25">
        <v>1</v>
      </c>
      <c r="L783" s="25">
        <v>1</v>
      </c>
      <c r="M783" s="25">
        <v>1</v>
      </c>
    </row>
    <row r="784" spans="3:16">
      <c r="C784" s="22" t="s">
        <v>3451</v>
      </c>
      <c r="D784" t="str">
        <f>VLOOKUP(Table3[[#This Row],[Employee No.]],Table1_1[[Employee No.]:[Employee Name]],2,FALSE)</f>
        <v>ZAWANIS BINTI MAT DESA</v>
      </c>
      <c r="E784" t="str">
        <f>VLOOKUP(Table3[[#This Row],[Employee No.]],Table1_1[[Employee No.]:[Department]],6,FALSE)</f>
        <v>FVI</v>
      </c>
      <c r="F784" t="str">
        <f>VLOOKUP(Table3[[#This Row],[Employee No.]],Table1_1[[Employee No.]:[Gender]],7,FALSE)</f>
        <v>F</v>
      </c>
      <c r="G784" t="str">
        <f>VLOOKUP(Table3[[#This Row],[Employee No.]],Table1_1[[Employee No.]:[Shift]],9,FALSE)</f>
        <v>SHIFT A</v>
      </c>
      <c r="H784" s="25">
        <v>1</v>
      </c>
      <c r="I784" s="25">
        <v>1</v>
      </c>
      <c r="J784" s="25">
        <v>0</v>
      </c>
      <c r="K784" s="25">
        <v>1</v>
      </c>
      <c r="L784" s="25">
        <v>1</v>
      </c>
      <c r="M784" s="25">
        <v>1</v>
      </c>
    </row>
    <row r="785" spans="3:16">
      <c r="C785" s="22" t="s">
        <v>3455</v>
      </c>
      <c r="D785" t="str">
        <f>VLOOKUP(Table3[[#This Row],[Employee No.]],Table1_1[[Employee No.]:[Employee Name]],2,FALSE)</f>
        <v>PRISCA BINTI MAJI</v>
      </c>
      <c r="E785" t="str">
        <f>VLOOKUP(Table3[[#This Row],[Employee No.]],Table1_1[[Employee No.]:[Department]],6,FALSE)</f>
        <v>AOI</v>
      </c>
      <c r="F785" t="str">
        <f>VLOOKUP(Table3[[#This Row],[Employee No.]],Table1_1[[Employee No.]:[Gender]],7,FALSE)</f>
        <v>F</v>
      </c>
      <c r="G785" t="str">
        <f>VLOOKUP(Table3[[#This Row],[Employee No.]],Table1_1[[Employee No.]:[Shift]],9,FALSE)</f>
        <v>SHIFT A</v>
      </c>
      <c r="H785" s="25">
        <v>1</v>
      </c>
      <c r="I785" s="25">
        <v>1</v>
      </c>
      <c r="J785" s="25">
        <v>1</v>
      </c>
      <c r="K785" s="25">
        <v>1</v>
      </c>
      <c r="L785" s="25">
        <v>1</v>
      </c>
      <c r="M785" s="25">
        <v>1</v>
      </c>
    </row>
    <row r="786" spans="3:16">
      <c r="C786" s="22" t="s">
        <v>3459</v>
      </c>
      <c r="D786" t="str">
        <f>VLOOKUP(Table3[[#This Row],[Employee No.]],Table1_1[[Employee No.]:[Employee Name]],2,FALSE)</f>
        <v>MOHAMAD ARIF AKMAL BIN MAZLIN</v>
      </c>
      <c r="E786" t="str">
        <f>VLOOKUP(Table3[[#This Row],[Employee No.]],Table1_1[[Employee No.]:[Department]],6,FALSE)</f>
        <v>BBT</v>
      </c>
      <c r="F786" t="str">
        <f>VLOOKUP(Table3[[#This Row],[Employee No.]],Table1_1[[Employee No.]:[Gender]],7,FALSE)</f>
        <v>M</v>
      </c>
      <c r="G786" t="str">
        <f>VLOOKUP(Table3[[#This Row],[Employee No.]],Table1_1[[Employee No.]:[Shift]],9,FALSE)</f>
        <v>SHIFT B</v>
      </c>
      <c r="H786" s="25">
        <v>1</v>
      </c>
      <c r="I786" s="25">
        <v>1</v>
      </c>
      <c r="J786" s="25">
        <v>1</v>
      </c>
      <c r="K786" s="25">
        <v>1</v>
      </c>
      <c r="L786" s="25">
        <v>1</v>
      </c>
      <c r="M786" s="25">
        <v>1</v>
      </c>
    </row>
    <row r="787" spans="3:16">
      <c r="C787" s="22" t="s">
        <v>3463</v>
      </c>
      <c r="D787" t="str">
        <f>VLOOKUP(Table3[[#This Row],[Employee No.]],Table1_1[[Employee No.]:[Employee Name]],2,FALSE)</f>
        <v>NUR AZILA BINTI MD ARSHAD</v>
      </c>
      <c r="E787" t="str">
        <f>VLOOKUP(Table3[[#This Row],[Employee No.]],Table1_1[[Employee No.]:[Department]],6,FALSE)</f>
        <v>FVI</v>
      </c>
      <c r="F787" t="str">
        <f>VLOOKUP(Table3[[#This Row],[Employee No.]],Table1_1[[Employee No.]:[Gender]],7,FALSE)</f>
        <v>F</v>
      </c>
      <c r="G787" t="str">
        <f>VLOOKUP(Table3[[#This Row],[Employee No.]],Table1_1[[Employee No.]:[Shift]],9,FALSE)</f>
        <v>SHIFT C</v>
      </c>
      <c r="H787" s="25">
        <v>1</v>
      </c>
      <c r="I787" s="25">
        <v>1</v>
      </c>
      <c r="J787" s="25">
        <v>1</v>
      </c>
      <c r="K787" s="25">
        <v>1</v>
      </c>
      <c r="L787" s="25">
        <v>1</v>
      </c>
      <c r="M787" s="25">
        <v>1</v>
      </c>
      <c r="P787" s="25"/>
    </row>
    <row r="788" spans="3:16">
      <c r="C788" s="22" t="s">
        <v>3467</v>
      </c>
      <c r="D788" t="str">
        <f>VLOOKUP(Table3[[#This Row],[Employee No.]],Table1_1[[Employee No.]:[Employee Name]],2,FALSE)</f>
        <v>MOHAMMAD FAREEZ BIN MOHD RADZUAN</v>
      </c>
      <c r="E788" t="str">
        <f>VLOOKUP(Table3[[#This Row],[Employee No.]],Table1_1[[Employee No.]:[Department]],6,FALSE)</f>
        <v>QUALITY</v>
      </c>
      <c r="F788" t="str">
        <f>VLOOKUP(Table3[[#This Row],[Employee No.]],Table1_1[[Employee No.]:[Gender]],7,FALSE)</f>
        <v>M</v>
      </c>
      <c r="G788" t="str">
        <f>VLOOKUP(Table3[[#This Row],[Employee No.]],Table1_1[[Employee No.]:[Shift]],9,FALSE)</f>
        <v>SHIFT C</v>
      </c>
      <c r="H788" s="25">
        <v>1</v>
      </c>
      <c r="I788" s="25">
        <v>1</v>
      </c>
      <c r="J788" s="25">
        <v>1</v>
      </c>
      <c r="K788" s="25">
        <v>1</v>
      </c>
      <c r="L788" s="25">
        <v>1</v>
      </c>
      <c r="M788" s="25">
        <v>1</v>
      </c>
      <c r="P788" s="25"/>
    </row>
    <row r="789" spans="3:16">
      <c r="C789" s="22" t="s">
        <v>3471</v>
      </c>
      <c r="D789" t="str">
        <f>VLOOKUP(Table3[[#This Row],[Employee No.]],Table1_1[[Employee No.]:[Employee Name]],2,FALSE)</f>
        <v>NOOR BAHIYATUN BINTI ABU BAKAR</v>
      </c>
      <c r="E789" t="str">
        <f>VLOOKUP(Table3[[#This Row],[Employee No.]],Table1_1[[Employee No.]:[Department]],6,FALSE)</f>
        <v>DRILL</v>
      </c>
      <c r="F789" t="str">
        <f>VLOOKUP(Table3[[#This Row],[Employee No.]],Table1_1[[Employee No.]:[Gender]],7,FALSE)</f>
        <v>F</v>
      </c>
      <c r="G789" t="str">
        <f>VLOOKUP(Table3[[#This Row],[Employee No.]],Table1_1[[Employee No.]:[Shift]],9,FALSE)</f>
        <v>SHIFT A</v>
      </c>
      <c r="H789" s="25">
        <v>1</v>
      </c>
      <c r="I789" s="25">
        <v>1</v>
      </c>
      <c r="J789" s="25">
        <v>1</v>
      </c>
      <c r="K789" s="25">
        <v>1</v>
      </c>
      <c r="L789" s="25">
        <v>1</v>
      </c>
      <c r="M789" s="25">
        <v>1</v>
      </c>
    </row>
    <row r="790" spans="3:16">
      <c r="C790" s="22" t="s">
        <v>3475</v>
      </c>
      <c r="D790" t="str">
        <f>VLOOKUP(Table3[[#This Row],[Employee No.]],Table1_1[[Employee No.]:[Employee Name]],2,FALSE)</f>
        <v>NOR ZURAINI BINTI MOHAMAD SALLEH</v>
      </c>
      <c r="E790" t="str">
        <f>VLOOKUP(Table3[[#This Row],[Employee No.]],Table1_1[[Employee No.]:[Department]],6,FALSE)</f>
        <v>FVI</v>
      </c>
      <c r="F790" t="str">
        <f>VLOOKUP(Table3[[#This Row],[Employee No.]],Table1_1[[Employee No.]:[Gender]],7,FALSE)</f>
        <v>F</v>
      </c>
      <c r="G790" t="str">
        <f>VLOOKUP(Table3[[#This Row],[Employee No.]],Table1_1[[Employee No.]:[Shift]],9,FALSE)</f>
        <v>SHIFT B</v>
      </c>
      <c r="H790" s="25">
        <v>1</v>
      </c>
      <c r="I790" s="25">
        <v>1</v>
      </c>
      <c r="J790" s="25">
        <v>1</v>
      </c>
      <c r="K790" s="25">
        <v>1</v>
      </c>
      <c r="L790" s="25">
        <v>1</v>
      </c>
      <c r="M790" s="25">
        <v>1</v>
      </c>
    </row>
    <row r="791" spans="3:16">
      <c r="C791" s="22" t="s">
        <v>3479</v>
      </c>
      <c r="D791" t="str">
        <f>VLOOKUP(Table3[[#This Row],[Employee No.]],Table1_1[[Employee No.]:[Employee Name]],2,FALSE)</f>
        <v>NUR SYAFIQAH BINTI MOHD ROSHIDI</v>
      </c>
      <c r="E791" t="str">
        <f>VLOOKUP(Table3[[#This Row],[Employee No.]],Table1_1[[Employee No.]:[Department]],6,FALSE)</f>
        <v>CHAMFER</v>
      </c>
      <c r="F791" t="str">
        <f>VLOOKUP(Table3[[#This Row],[Employee No.]],Table1_1[[Employee No.]:[Gender]],7,FALSE)</f>
        <v>F</v>
      </c>
      <c r="G791" t="str">
        <f>VLOOKUP(Table3[[#This Row],[Employee No.]],Table1_1[[Employee No.]:[Shift]],9,FALSE)</f>
        <v>SHIFT B</v>
      </c>
      <c r="H791" s="25">
        <v>1</v>
      </c>
      <c r="I791" s="25">
        <v>1</v>
      </c>
      <c r="J791" s="25">
        <v>1</v>
      </c>
      <c r="K791" s="25">
        <v>1</v>
      </c>
      <c r="L791" s="25">
        <v>1</v>
      </c>
      <c r="M791" s="25">
        <v>1</v>
      </c>
    </row>
    <row r="792" spans="3:16">
      <c r="C792" s="22" t="s">
        <v>3483</v>
      </c>
      <c r="D792" t="str">
        <f>VLOOKUP(Table3[[#This Row],[Employee No.]],Table1_1[[Employee No.]:[Employee Name]],2,FALSE)</f>
        <v>NOR HAFIZAH BINTI MOHAMAD REJAB</v>
      </c>
      <c r="E792" t="str">
        <f>VLOOKUP(Table3[[#This Row],[Employee No.]],Table1_1[[Employee No.]:[Department]],6,FALSE)</f>
        <v>MLB</v>
      </c>
      <c r="F792" t="str">
        <f>VLOOKUP(Table3[[#This Row],[Employee No.]],Table1_1[[Employee No.]:[Gender]],7,FALSE)</f>
        <v>F</v>
      </c>
      <c r="G792" t="str">
        <f>VLOOKUP(Table3[[#This Row],[Employee No.]],Table1_1[[Employee No.]:[Shift]],9,FALSE)</f>
        <v>SHIFT B</v>
      </c>
      <c r="H792" s="25">
        <v>1</v>
      </c>
      <c r="I792" s="25">
        <v>1</v>
      </c>
      <c r="J792" s="25">
        <v>1</v>
      </c>
      <c r="K792" s="25">
        <v>1</v>
      </c>
      <c r="L792" s="25">
        <v>1</v>
      </c>
      <c r="M792" s="25">
        <v>1</v>
      </c>
    </row>
    <row r="793" spans="3:16">
      <c r="C793" s="22" t="s">
        <v>3486</v>
      </c>
      <c r="D793" t="str">
        <f>VLOOKUP(Table3[[#This Row],[Employee No.]],Table1_1[[Employee No.]:[Employee Name]],2,FALSE)</f>
        <v>MUHAMMAD ARIF AMIRUL BIN MASHHOR</v>
      </c>
      <c r="E793" t="str">
        <f>VLOOKUP(Table3[[#This Row],[Employee No.]],Table1_1[[Employee No.]:[Department]],6,FALSE)</f>
        <v>BBT</v>
      </c>
      <c r="F793" t="str">
        <f>VLOOKUP(Table3[[#This Row],[Employee No.]],Table1_1[[Employee No.]:[Gender]],7,FALSE)</f>
        <v>M</v>
      </c>
      <c r="G793" t="str">
        <f>VLOOKUP(Table3[[#This Row],[Employee No.]],Table1_1[[Employee No.]:[Shift]],9,FALSE)</f>
        <v>SHIFT C</v>
      </c>
      <c r="H793" s="25">
        <v>1</v>
      </c>
      <c r="I793" s="25">
        <v>1</v>
      </c>
      <c r="J793" s="25">
        <v>1</v>
      </c>
      <c r="K793" s="25">
        <v>1</v>
      </c>
      <c r="L793" s="25">
        <v>1</v>
      </c>
      <c r="M793" s="25">
        <v>1</v>
      </c>
      <c r="P793" s="25"/>
    </row>
    <row r="794" spans="3:16">
      <c r="C794" s="22" t="s">
        <v>3489</v>
      </c>
      <c r="D794" t="str">
        <f>VLOOKUP(Table3[[#This Row],[Employee No.]],Table1_1[[Employee No.]:[Employee Name]],2,FALSE)</f>
        <v>MOHAMAD RUZAIMI BIN ABU OSMAN</v>
      </c>
      <c r="E794" t="str">
        <f>VLOOKUP(Table3[[#This Row],[Employee No.]],Table1_1[[Employee No.]:[Department]],6,FALSE)</f>
        <v>DRILL</v>
      </c>
      <c r="F794" t="str">
        <f>VLOOKUP(Table3[[#This Row],[Employee No.]],Table1_1[[Employee No.]:[Gender]],7,FALSE)</f>
        <v>M</v>
      </c>
      <c r="G794" t="str">
        <f>VLOOKUP(Table3[[#This Row],[Employee No.]],Table1_1[[Employee No.]:[Shift]],9,FALSE)</f>
        <v>SHIFT B</v>
      </c>
      <c r="H794" s="25">
        <v>1</v>
      </c>
      <c r="I794" s="25">
        <v>1</v>
      </c>
      <c r="J794" s="25">
        <v>1</v>
      </c>
      <c r="K794" s="25">
        <v>1</v>
      </c>
      <c r="L794" s="25">
        <v>1</v>
      </c>
      <c r="M794" s="25">
        <v>1</v>
      </c>
    </row>
    <row r="795" spans="3:16">
      <c r="C795" s="22" t="s">
        <v>3492</v>
      </c>
      <c r="D795" t="str">
        <f>VLOOKUP(Table3[[#This Row],[Employee No.]],Table1_1[[Employee No.]:[Employee Name]],2,FALSE)</f>
        <v>NOR SYAHIRAH BINTI ABD MALEK</v>
      </c>
      <c r="E795" t="str">
        <f>VLOOKUP(Table3[[#This Row],[Employee No.]],Table1_1[[Employee No.]:[Department]],6,FALSE)</f>
        <v>DESIGN</v>
      </c>
      <c r="F795" t="str">
        <f>VLOOKUP(Table3[[#This Row],[Employee No.]],Table1_1[[Employee No.]:[Gender]],7,FALSE)</f>
        <v>F</v>
      </c>
      <c r="G795" t="str">
        <f>VLOOKUP(Table3[[#This Row],[Employee No.]],Table1_1[[Employee No.]:[Shift]],9,FALSE)</f>
        <v>SHIFT C</v>
      </c>
      <c r="H795" s="25">
        <v>1</v>
      </c>
      <c r="I795" s="25">
        <v>1</v>
      </c>
      <c r="J795" s="25">
        <v>1</v>
      </c>
      <c r="K795" s="25">
        <v>1</v>
      </c>
      <c r="L795" s="25">
        <v>1</v>
      </c>
      <c r="M795" s="25">
        <v>1</v>
      </c>
      <c r="P795" s="25"/>
    </row>
    <row r="796" spans="3:16">
      <c r="C796" s="22" t="s">
        <v>3496</v>
      </c>
      <c r="D796" t="str">
        <f>VLOOKUP(Table3[[#This Row],[Employee No.]],Table1_1[[Employee No.]:[Employee Name]],2,FALSE)</f>
        <v>SITI NURSHAHIRA BINTI MOHD ABU</v>
      </c>
      <c r="E796" t="str">
        <f>VLOOKUP(Table3[[#This Row],[Employee No.]],Table1_1[[Employee No.]:[Department]],6,FALSE)</f>
        <v>CHAMFER</v>
      </c>
      <c r="F796" t="str">
        <f>VLOOKUP(Table3[[#This Row],[Employee No.]],Table1_1[[Employee No.]:[Gender]],7,FALSE)</f>
        <v>F</v>
      </c>
      <c r="G796" t="str">
        <f>VLOOKUP(Table3[[#This Row],[Employee No.]],Table1_1[[Employee No.]:[Shift]],9,FALSE)</f>
        <v>SHIFT A</v>
      </c>
      <c r="H796" s="25">
        <v>1</v>
      </c>
      <c r="I796" s="25">
        <v>1</v>
      </c>
      <c r="J796" s="25">
        <v>1</v>
      </c>
      <c r="K796" s="25">
        <v>1</v>
      </c>
      <c r="L796" s="25">
        <v>1</v>
      </c>
      <c r="M796" s="25">
        <v>1</v>
      </c>
    </row>
    <row r="797" spans="3:16">
      <c r="C797" s="22" t="s">
        <v>3499</v>
      </c>
      <c r="D797" t="str">
        <f>VLOOKUP(Table3[[#This Row],[Employee No.]],Table1_1[[Employee No.]:[Employee Name]],2,FALSE)</f>
        <v>SITI MAHAYU BINTI MOHD HUSSIN</v>
      </c>
      <c r="E797" t="str">
        <f>VLOOKUP(Table3[[#This Row],[Employee No.]],Table1_1[[Employee No.]:[Department]],6,FALSE)</f>
        <v>FVI</v>
      </c>
      <c r="F797" t="str">
        <f>VLOOKUP(Table3[[#This Row],[Employee No.]],Table1_1[[Employee No.]:[Gender]],7,FALSE)</f>
        <v>F</v>
      </c>
      <c r="G797" t="str">
        <f>VLOOKUP(Table3[[#This Row],[Employee No.]],Table1_1[[Employee No.]:[Shift]],9,FALSE)</f>
        <v>SHIFT A</v>
      </c>
      <c r="H797" s="25">
        <v>1</v>
      </c>
      <c r="I797" s="25">
        <v>1</v>
      </c>
      <c r="J797" s="25">
        <v>1</v>
      </c>
      <c r="K797" s="25">
        <v>1</v>
      </c>
      <c r="L797" s="25">
        <v>1</v>
      </c>
      <c r="M797" s="25">
        <v>1</v>
      </c>
    </row>
    <row r="798" spans="3:16">
      <c r="C798" s="22" t="s">
        <v>3502</v>
      </c>
      <c r="D798" t="str">
        <f>VLOOKUP(Table3[[#This Row],[Employee No.]],Table1_1[[Employee No.]:[Employee Name]],2,FALSE)</f>
        <v>MOHAMAD ZARIN IZWAN BIN MOHAMAD</v>
      </c>
      <c r="E798" t="str">
        <f>VLOOKUP(Table3[[#This Row],[Employee No.]],Table1_1[[Employee No.]:[Department]],6,FALSE)</f>
        <v>DF</v>
      </c>
      <c r="F798" t="str">
        <f>VLOOKUP(Table3[[#This Row],[Employee No.]],Table1_1[[Employee No.]:[Gender]],7,FALSE)</f>
        <v>M</v>
      </c>
      <c r="G798" t="str">
        <f>VLOOKUP(Table3[[#This Row],[Employee No.]],Table1_1[[Employee No.]:[Shift]],9,FALSE)</f>
        <v>SHIFT A</v>
      </c>
      <c r="H798" s="25">
        <v>1</v>
      </c>
      <c r="I798" s="25">
        <v>1</v>
      </c>
      <c r="J798" s="25">
        <v>1</v>
      </c>
      <c r="K798" s="25">
        <v>0</v>
      </c>
      <c r="L798" s="25">
        <v>0</v>
      </c>
      <c r="M798" s="25">
        <v>1</v>
      </c>
    </row>
    <row r="799" spans="3:16">
      <c r="C799" s="22" t="s">
        <v>3505</v>
      </c>
      <c r="D799" t="str">
        <f>VLOOKUP(Table3[[#This Row],[Employee No.]],Table1_1[[Employee No.]:[Employee Name]],2,FALSE)</f>
        <v>MOHAMAD ROHAIME BIN MOHAMMAD</v>
      </c>
      <c r="E799" t="str">
        <f>VLOOKUP(Table3[[#This Row],[Employee No.]],Table1_1[[Employee No.]:[Department]],6,FALSE)</f>
        <v>FVI</v>
      </c>
      <c r="F799" t="str">
        <f>VLOOKUP(Table3[[#This Row],[Employee No.]],Table1_1[[Employee No.]:[Gender]],7,FALSE)</f>
        <v>M</v>
      </c>
      <c r="G799" t="str">
        <f>VLOOKUP(Table3[[#This Row],[Employee No.]],Table1_1[[Employee No.]:[Shift]],9,FALSE)</f>
        <v>SHIFT A</v>
      </c>
      <c r="H799" s="25">
        <v>1</v>
      </c>
      <c r="I799" s="25">
        <v>1</v>
      </c>
      <c r="J799" s="25">
        <v>1</v>
      </c>
      <c r="K799" s="25">
        <v>1</v>
      </c>
      <c r="L799" s="25">
        <v>1</v>
      </c>
      <c r="M799" s="25">
        <v>1</v>
      </c>
    </row>
    <row r="800" spans="3:16">
      <c r="C800" s="22" t="s">
        <v>3509</v>
      </c>
      <c r="D800" t="str">
        <f>VLOOKUP(Table3[[#This Row],[Employee No.]],Table1_1[[Employee No.]:[Employee Name]],2,FALSE)</f>
        <v>SITI NOR WAHIDAH BINTI MOHAMAD RIDZWAN</v>
      </c>
      <c r="E800" t="str">
        <f>VLOOKUP(Table3[[#This Row],[Employee No.]],Table1_1[[Employee No.]:[Department]],6,FALSE)</f>
        <v>FVI</v>
      </c>
      <c r="F800" t="str">
        <f>VLOOKUP(Table3[[#This Row],[Employee No.]],Table1_1[[Employee No.]:[Gender]],7,FALSE)</f>
        <v>F</v>
      </c>
      <c r="G800" t="str">
        <f>VLOOKUP(Table3[[#This Row],[Employee No.]],Table1_1[[Employee No.]:[Shift]],9,FALSE)</f>
        <v>SHIFT A</v>
      </c>
      <c r="H800" s="25">
        <v>1</v>
      </c>
      <c r="I800" s="25">
        <v>1</v>
      </c>
      <c r="J800" s="25">
        <v>1</v>
      </c>
      <c r="K800" s="25">
        <v>1</v>
      </c>
      <c r="L800" s="25">
        <v>1</v>
      </c>
      <c r="M800" s="25">
        <v>1</v>
      </c>
    </row>
    <row r="801" spans="3:16">
      <c r="C801" s="22" t="s">
        <v>3512</v>
      </c>
      <c r="D801" t="str">
        <f>VLOOKUP(Table3[[#This Row],[Employee No.]],Table1_1[[Employee No.]:[Employee Name]],2,FALSE)</f>
        <v>MOHAMMAD FIRDAUS BIN ALIAS</v>
      </c>
      <c r="E801" t="str">
        <f>VLOOKUP(Table3[[#This Row],[Employee No.]],Table1_1[[Employee No.]:[Department]],6,FALSE)</f>
        <v>QUALITY</v>
      </c>
      <c r="F801" t="str">
        <f>VLOOKUP(Table3[[#This Row],[Employee No.]],Table1_1[[Employee No.]:[Gender]],7,FALSE)</f>
        <v>M</v>
      </c>
      <c r="G801" t="str">
        <f>VLOOKUP(Table3[[#This Row],[Employee No.]],Table1_1[[Employee No.]:[Shift]],9,FALSE)</f>
        <v>SHIFT C</v>
      </c>
      <c r="H801" s="25">
        <v>1</v>
      </c>
      <c r="I801" s="25">
        <v>1</v>
      </c>
      <c r="J801" s="25">
        <v>1</v>
      </c>
      <c r="K801" s="25">
        <v>1</v>
      </c>
      <c r="L801" s="25">
        <v>1</v>
      </c>
      <c r="M801" s="25">
        <v>1</v>
      </c>
      <c r="P801" s="25"/>
    </row>
    <row r="802" spans="3:16">
      <c r="C802" s="22" t="s">
        <v>3516</v>
      </c>
      <c r="D802" t="str">
        <f>VLOOKUP(Table3[[#This Row],[Employee No.]],Table1_1[[Employee No.]:[Employee Name]],2,FALSE)</f>
        <v>ILI ARDILLA BINTI ABDUL MALEK</v>
      </c>
      <c r="E802" t="str">
        <f>VLOOKUP(Table3[[#This Row],[Employee No.]],Table1_1[[Employee No.]:[Department]],6,FALSE)</f>
        <v>DESIGN</v>
      </c>
      <c r="F802" t="str">
        <f>VLOOKUP(Table3[[#This Row],[Employee No.]],Table1_1[[Employee No.]:[Gender]],7,FALSE)</f>
        <v>F</v>
      </c>
      <c r="G802" t="str">
        <f>VLOOKUP(Table3[[#This Row],[Employee No.]],Table1_1[[Employee No.]:[Shift]],9,FALSE)</f>
        <v>SHIFT C</v>
      </c>
      <c r="H802" s="25">
        <v>1</v>
      </c>
      <c r="I802" s="25">
        <v>1</v>
      </c>
      <c r="J802" s="25">
        <v>1</v>
      </c>
      <c r="K802" s="25">
        <v>1</v>
      </c>
      <c r="L802" s="25">
        <v>1</v>
      </c>
      <c r="M802" s="25">
        <v>1</v>
      </c>
      <c r="P802" s="25"/>
    </row>
    <row r="803" spans="3:16">
      <c r="C803" s="22" t="s">
        <v>3520</v>
      </c>
      <c r="D803" t="str">
        <f>VLOOKUP(Table3[[#This Row],[Employee No.]],Table1_1[[Employee No.]:[Employee Name]],2,FALSE)</f>
        <v>HAZWANI IZZATI BINTI GHAZALI</v>
      </c>
      <c r="E803" t="str">
        <f>VLOOKUP(Table3[[#This Row],[Employee No.]],Table1_1[[Employee No.]:[Department]],6,FALSE)</f>
        <v>QUALITY</v>
      </c>
      <c r="F803" t="str">
        <f>VLOOKUP(Table3[[#This Row],[Employee No.]],Table1_1[[Employee No.]:[Gender]],7,FALSE)</f>
        <v>F</v>
      </c>
      <c r="G803" t="str">
        <f>VLOOKUP(Table3[[#This Row],[Employee No.]],Table1_1[[Employee No.]:[Shift]],9,FALSE)</f>
        <v>SHIFT C</v>
      </c>
      <c r="H803" s="25">
        <v>1</v>
      </c>
      <c r="I803" s="25">
        <v>1</v>
      </c>
      <c r="J803" s="25">
        <v>1</v>
      </c>
      <c r="K803" s="25">
        <v>1</v>
      </c>
      <c r="L803" s="25">
        <v>1</v>
      </c>
      <c r="M803" s="25">
        <v>1</v>
      </c>
      <c r="P803" s="25"/>
    </row>
    <row r="804" spans="3:16">
      <c r="C804" s="22" t="s">
        <v>3523</v>
      </c>
      <c r="D804" t="str">
        <f>VLOOKUP(Table3[[#This Row],[Employee No.]],Table1_1[[Employee No.]:[Employee Name]],2,FALSE)</f>
        <v>MOHAMAD AZMIN AMIRUL BIN AZMI</v>
      </c>
      <c r="E804" t="str">
        <f>VLOOKUP(Table3[[#This Row],[Employee No.]],Table1_1[[Employee No.]:[Department]],6,FALSE)</f>
        <v>PACKING</v>
      </c>
      <c r="F804" t="str">
        <f>VLOOKUP(Table3[[#This Row],[Employee No.]],Table1_1[[Employee No.]:[Gender]],7,FALSE)</f>
        <v>M</v>
      </c>
      <c r="G804" t="str">
        <f>VLOOKUP(Table3[[#This Row],[Employee No.]],Table1_1[[Employee No.]:[Shift]],9,FALSE)</f>
        <v>SHIFT C</v>
      </c>
      <c r="H804" s="25">
        <v>1</v>
      </c>
      <c r="I804" s="25">
        <v>1</v>
      </c>
      <c r="J804" s="25">
        <v>1</v>
      </c>
      <c r="K804" s="25">
        <v>1</v>
      </c>
      <c r="L804" s="25">
        <v>1</v>
      </c>
      <c r="M804" s="25">
        <v>1</v>
      </c>
      <c r="P804" s="25"/>
    </row>
    <row r="805" spans="3:16">
      <c r="C805" s="22" t="s">
        <v>3526</v>
      </c>
      <c r="D805" t="str">
        <f>VLOOKUP(Table3[[#This Row],[Employee No.]],Table1_1[[Employee No.]:[Employee Name]],2,FALSE)</f>
        <v>NURSYAZWANI BINTI MOHD SHAARI</v>
      </c>
      <c r="E805" t="str">
        <f>VLOOKUP(Table3[[#This Row],[Employee No.]],Table1_1[[Employee No.]:[Department]],6,FALSE)</f>
        <v>WAREHOUSE</v>
      </c>
      <c r="F805" t="str">
        <f>VLOOKUP(Table3[[#This Row],[Employee No.]],Table1_1[[Employee No.]:[Gender]],7,FALSE)</f>
        <v>F</v>
      </c>
      <c r="G805" t="str">
        <f>VLOOKUP(Table3[[#This Row],[Employee No.]],Table1_1[[Employee No.]:[Shift]],9,FALSE)</f>
        <v>SHIFT B</v>
      </c>
      <c r="H805" s="25">
        <v>1</v>
      </c>
      <c r="I805" s="25">
        <v>1</v>
      </c>
      <c r="J805" s="25">
        <v>1</v>
      </c>
      <c r="K805" s="25">
        <v>1</v>
      </c>
      <c r="L805" s="25">
        <v>1</v>
      </c>
      <c r="M805" s="25">
        <v>0</v>
      </c>
    </row>
    <row r="806" spans="3:16">
      <c r="C806" s="22" t="s">
        <v>3529</v>
      </c>
      <c r="D806" t="str">
        <f>VLOOKUP(Table3[[#This Row],[Employee No.]],Table1_1[[Employee No.]:[Employee Name]],2,FALSE)</f>
        <v>NURUL ASHIKIN BINTI SHAFIE</v>
      </c>
      <c r="E806" t="str">
        <f>VLOOKUP(Table3[[#This Row],[Employee No.]],Table1_1[[Employee No.]:[Department]],6,FALSE)</f>
        <v>FVI</v>
      </c>
      <c r="F806" t="str">
        <f>VLOOKUP(Table3[[#This Row],[Employee No.]],Table1_1[[Employee No.]:[Gender]],7,FALSE)</f>
        <v>F</v>
      </c>
      <c r="G806" t="str">
        <f>VLOOKUP(Table3[[#This Row],[Employee No.]],Table1_1[[Employee No.]:[Shift]],9,FALSE)</f>
        <v>SHIFT C</v>
      </c>
      <c r="H806" s="25">
        <v>1</v>
      </c>
      <c r="I806" s="25">
        <v>1</v>
      </c>
      <c r="J806" s="25">
        <v>1</v>
      </c>
      <c r="K806" s="25">
        <v>1</v>
      </c>
      <c r="L806" s="25">
        <v>1</v>
      </c>
      <c r="M806" s="25">
        <v>1</v>
      </c>
      <c r="P806" s="25"/>
    </row>
    <row r="807" spans="3:16">
      <c r="C807" s="22" t="s">
        <v>3532</v>
      </c>
      <c r="D807" t="str">
        <f>VLOOKUP(Table3[[#This Row],[Employee No.]],Table1_1[[Employee No.]:[Employee Name]],2,FALSE)</f>
        <v>NUR SYAHIRAH BINTI ABDULLAH</v>
      </c>
      <c r="E807" t="str">
        <f>VLOOKUP(Table3[[#This Row],[Employee No.]],Table1_1[[Employee No.]:[Department]],6,FALSE)</f>
        <v>FVI</v>
      </c>
      <c r="F807" t="str">
        <f>VLOOKUP(Table3[[#This Row],[Employee No.]],Table1_1[[Employee No.]:[Gender]],7,FALSE)</f>
        <v>F</v>
      </c>
      <c r="G807" t="str">
        <f>VLOOKUP(Table3[[#This Row],[Employee No.]],Table1_1[[Employee No.]:[Shift]],9,FALSE)</f>
        <v>SHIFT B</v>
      </c>
      <c r="H807" s="25">
        <v>1</v>
      </c>
      <c r="I807" s="25">
        <v>1</v>
      </c>
      <c r="J807" s="25">
        <v>1</v>
      </c>
      <c r="K807" s="25">
        <v>1</v>
      </c>
      <c r="L807" s="25">
        <v>1</v>
      </c>
      <c r="M807" s="25">
        <v>1</v>
      </c>
    </row>
    <row r="808" spans="3:16">
      <c r="C808" s="22" t="s">
        <v>3535</v>
      </c>
      <c r="D808" t="str">
        <f>VLOOKUP(Table3[[#This Row],[Employee No.]],Table1_1[[Employee No.]:[Employee Name]],2,FALSE)</f>
        <v>ARIF FAHMI BIN RAZALI</v>
      </c>
      <c r="E808" t="str">
        <f>VLOOKUP(Table3[[#This Row],[Employee No.]],Table1_1[[Employee No.]:[Department]],6,FALSE)</f>
        <v>BBT</v>
      </c>
      <c r="F808" t="str">
        <f>VLOOKUP(Table3[[#This Row],[Employee No.]],Table1_1[[Employee No.]:[Gender]],7,FALSE)</f>
        <v>M</v>
      </c>
      <c r="G808" t="str">
        <f>VLOOKUP(Table3[[#This Row],[Employee No.]],Table1_1[[Employee No.]:[Shift]],9,FALSE)</f>
        <v>SHIFT E</v>
      </c>
      <c r="H808" s="25">
        <v>0</v>
      </c>
      <c r="I808" s="25">
        <v>1</v>
      </c>
      <c r="J808" s="25">
        <v>1</v>
      </c>
      <c r="K808" s="25">
        <v>1</v>
      </c>
      <c r="L808" s="25">
        <v>1</v>
      </c>
      <c r="M808" s="25">
        <v>1</v>
      </c>
    </row>
    <row r="809" spans="3:16">
      <c r="C809" s="22" t="s">
        <v>3539</v>
      </c>
      <c r="D809" t="str">
        <f>VLOOKUP(Table3[[#This Row],[Employee No.]],Table1_1[[Employee No.]:[Employee Name]],2,FALSE)</f>
        <v>JIVA PRIYA A/P KUMERASEN</v>
      </c>
      <c r="E809" t="str">
        <f>VLOOKUP(Table3[[#This Row],[Employee No.]],Table1_1[[Employee No.]:[Department]],6,FALSE)</f>
        <v>HS</v>
      </c>
      <c r="F809" t="str">
        <f>VLOOKUP(Table3[[#This Row],[Employee No.]],Table1_1[[Employee No.]:[Gender]],7,FALSE)</f>
        <v>F</v>
      </c>
      <c r="G809" t="str">
        <f>VLOOKUP(Table3[[#This Row],[Employee No.]],Table1_1[[Employee No.]:[Shift]],9,FALSE)</f>
        <v>SHIFT A</v>
      </c>
      <c r="H809" s="25">
        <v>1</v>
      </c>
      <c r="I809" s="25">
        <v>1</v>
      </c>
      <c r="J809" s="25">
        <v>1</v>
      </c>
      <c r="K809" s="25">
        <v>1</v>
      </c>
      <c r="L809" s="25">
        <v>1</v>
      </c>
      <c r="M809" s="25">
        <v>0</v>
      </c>
    </row>
    <row r="810" spans="3:16">
      <c r="C810" s="22" t="s">
        <v>3543</v>
      </c>
      <c r="D810" t="str">
        <f>VLOOKUP(Table3[[#This Row],[Employee No.]],Table1_1[[Employee No.]:[Employee Name]],2,FALSE)</f>
        <v>MUHAMMAD ZULFAIZ BIN MOHD ZAHIR</v>
      </c>
      <c r="E810" t="str">
        <f>VLOOKUP(Table3[[#This Row],[Employee No.]],Table1_1[[Employee No.]:[Department]],6,FALSE)</f>
        <v>EQUIPMENT</v>
      </c>
      <c r="F810" t="str">
        <f>VLOOKUP(Table3[[#This Row],[Employee No.]],Table1_1[[Employee No.]:[Gender]],7,FALSE)</f>
        <v>M</v>
      </c>
      <c r="G810" t="str">
        <f>VLOOKUP(Table3[[#This Row],[Employee No.]],Table1_1[[Employee No.]:[Shift]],9,FALSE)</f>
        <v>SHIFT B</v>
      </c>
      <c r="H810" s="25">
        <v>1</v>
      </c>
      <c r="I810" s="25">
        <v>1</v>
      </c>
      <c r="J810" s="25">
        <v>1</v>
      </c>
      <c r="K810" s="25">
        <v>1</v>
      </c>
      <c r="L810" s="25">
        <v>1</v>
      </c>
      <c r="M810" s="25">
        <v>0</v>
      </c>
    </row>
    <row r="811" spans="3:16">
      <c r="C811" s="22" t="s">
        <v>3547</v>
      </c>
      <c r="D811" t="str">
        <f>VLOOKUP(Table3[[#This Row],[Employee No.]],Table1_1[[Employee No.]:[Employee Name]],2,FALSE)</f>
        <v>HELMY QAIYUUM BIN RAMLEE</v>
      </c>
      <c r="E811" t="str">
        <f>VLOOKUP(Table3[[#This Row],[Employee No.]],Table1_1[[Employee No.]:[Department]],6,FALSE)</f>
        <v>CU</v>
      </c>
      <c r="F811" t="str">
        <f>VLOOKUP(Table3[[#This Row],[Employee No.]],Table1_1[[Employee No.]:[Gender]],7,FALSE)</f>
        <v>M</v>
      </c>
      <c r="G811" t="str">
        <f>VLOOKUP(Table3[[#This Row],[Employee No.]],Table1_1[[Employee No.]:[Shift]],9,FALSE)</f>
        <v>SHIFT A</v>
      </c>
      <c r="H811" s="25">
        <v>1</v>
      </c>
      <c r="I811" s="25">
        <v>1</v>
      </c>
      <c r="J811" s="25">
        <v>1</v>
      </c>
      <c r="K811" s="25">
        <v>1</v>
      </c>
      <c r="L811" s="25">
        <v>1</v>
      </c>
      <c r="M811" s="25">
        <v>0</v>
      </c>
    </row>
    <row r="812" spans="3:16">
      <c r="C812" s="22" t="s">
        <v>3576</v>
      </c>
      <c r="D812" t="str">
        <f>VLOOKUP(Table3[[#This Row],[Employee No.]],Table1_1[[Employee No.]:[Employee Name]],2,FALSE)</f>
        <v>MUHAMMAD SYAUQI BIN ZAIDI</v>
      </c>
      <c r="E812" t="str">
        <f>VLOOKUP(Table3[[#This Row],[Employee No.]],Table1_1[[Employee No.]:[Department]],6,FALSE)</f>
        <v>EQUIPMENT</v>
      </c>
      <c r="F812" t="str">
        <f>VLOOKUP(Table3[[#This Row],[Employee No.]],Table1_1[[Employee No.]:[Gender]],7,FALSE)</f>
        <v>M</v>
      </c>
      <c r="G812" t="str">
        <f>VLOOKUP(Table3[[#This Row],[Employee No.]],Table1_1[[Employee No.]:[Shift]],9,FALSE)</f>
        <v>SHIFT A</v>
      </c>
      <c r="H812" s="25">
        <v>1</v>
      </c>
      <c r="I812" s="25">
        <v>1</v>
      </c>
      <c r="J812" s="25">
        <v>1</v>
      </c>
      <c r="K812" s="25">
        <v>1</v>
      </c>
      <c r="L812" s="25">
        <v>1</v>
      </c>
      <c r="M812" s="25">
        <v>1</v>
      </c>
    </row>
    <row r="813" spans="3:16">
      <c r="C813" s="22" t="s">
        <v>3580</v>
      </c>
      <c r="D813" t="str">
        <f>VLOOKUP(Table3[[#This Row],[Employee No.]],Table1_1[[Employee No.]:[Employee Name]],2,FALSE)</f>
        <v>IZZAD SHUKRYEN BIN SARIF</v>
      </c>
      <c r="E813" t="str">
        <f>VLOOKUP(Table3[[#This Row],[Employee No.]],Table1_1[[Employee No.]:[Department]],6,FALSE)</f>
        <v>HS</v>
      </c>
      <c r="F813" t="str">
        <f>VLOOKUP(Table3[[#This Row],[Employee No.]],Table1_1[[Employee No.]:[Gender]],7,FALSE)</f>
        <v>M</v>
      </c>
      <c r="G813" t="str">
        <f>VLOOKUP(Table3[[#This Row],[Employee No.]],Table1_1[[Employee No.]:[Shift]],9,FALSE)</f>
        <v>SHIFT B</v>
      </c>
      <c r="H813" s="25">
        <v>1</v>
      </c>
      <c r="I813" s="25">
        <v>1</v>
      </c>
      <c r="J813" s="25">
        <v>1</v>
      </c>
      <c r="K813" s="25">
        <v>1</v>
      </c>
      <c r="L813" s="25">
        <v>1</v>
      </c>
      <c r="M813" s="25">
        <v>1</v>
      </c>
    </row>
    <row r="814" spans="3:16">
      <c r="C814" s="22" t="s">
        <v>3584</v>
      </c>
      <c r="D814" t="str">
        <f>VLOOKUP(Table3[[#This Row],[Employee No.]],Table1_1[[Employee No.]:[Employee Name]],2,FALSE)</f>
        <v>MOHAMAD SAIFUL ZAINI BIN MAT PIAH</v>
      </c>
      <c r="E814" t="str">
        <f>VLOOKUP(Table3[[#This Row],[Employee No.]],Table1_1[[Employee No.]:[Department]],6,FALSE)</f>
        <v>HS</v>
      </c>
      <c r="F814" t="str">
        <f>VLOOKUP(Table3[[#This Row],[Employee No.]],Table1_1[[Employee No.]:[Gender]],7,FALSE)</f>
        <v>M</v>
      </c>
      <c r="G814" t="str">
        <f>VLOOKUP(Table3[[#This Row],[Employee No.]],Table1_1[[Employee No.]:[Shift]],9,FALSE)</f>
        <v>SHIFT A</v>
      </c>
      <c r="H814" s="25">
        <v>1</v>
      </c>
      <c r="I814" s="25">
        <v>1</v>
      </c>
      <c r="J814" s="25">
        <v>0</v>
      </c>
      <c r="K814" s="25">
        <v>1</v>
      </c>
      <c r="L814" s="25">
        <v>1</v>
      </c>
      <c r="M814" s="25">
        <v>0</v>
      </c>
    </row>
    <row r="815" spans="3:16">
      <c r="C815" s="22" t="s">
        <v>3592</v>
      </c>
      <c r="D815" t="str">
        <f>VLOOKUP(Table3[[#This Row],[Employee No.]],Table1_1[[Employee No.]:[Employee Name]],2,FALSE)</f>
        <v>MOHD SHAFARID IQBAL BIN SHEHIDAN</v>
      </c>
      <c r="E815" t="str">
        <f>VLOOKUP(Table3[[#This Row],[Employee No.]],Table1_1[[Employee No.]:[Department]],6,FALSE)</f>
        <v>HS</v>
      </c>
      <c r="F815" t="str">
        <f>VLOOKUP(Table3[[#This Row],[Employee No.]],Table1_1[[Employee No.]:[Gender]],7,FALSE)</f>
        <v>M</v>
      </c>
      <c r="G815" t="str">
        <f>VLOOKUP(Table3[[#This Row],[Employee No.]],Table1_1[[Employee No.]:[Shift]],9,FALSE)</f>
        <v>SHIFT C</v>
      </c>
      <c r="H815" s="25">
        <v>1</v>
      </c>
      <c r="I815" s="25">
        <v>1</v>
      </c>
      <c r="J815" s="25">
        <v>1</v>
      </c>
      <c r="K815" s="25">
        <v>1</v>
      </c>
      <c r="L815" s="25">
        <v>1</v>
      </c>
      <c r="M815" s="25">
        <v>1</v>
      </c>
      <c r="P815" s="25"/>
    </row>
    <row r="816" spans="3:16">
      <c r="C816" s="22" t="s">
        <v>3637</v>
      </c>
      <c r="D816" t="str">
        <f>VLOOKUP(Table3[[#This Row],[Employee No.]],Table1_1[[Employee No.]:[Employee Name]],2,FALSE)</f>
        <v>MUHAMMAD SOLIHIN BIN MANGSOR</v>
      </c>
      <c r="E816" t="str">
        <f>VLOOKUP(Table3[[#This Row],[Employee No.]],Table1_1[[Employee No.]:[Department]],6,FALSE)</f>
        <v>EQUIPMENT</v>
      </c>
      <c r="F816" t="str">
        <f>VLOOKUP(Table3[[#This Row],[Employee No.]],Table1_1[[Employee No.]:[Gender]],7,FALSE)</f>
        <v>M</v>
      </c>
      <c r="G816" t="str">
        <f>VLOOKUP(Table3[[#This Row],[Employee No.]],Table1_1[[Employee No.]:[Shift]],9,FALSE)</f>
        <v>SHIFT O</v>
      </c>
      <c r="H816" s="25">
        <v>0</v>
      </c>
      <c r="I816" s="25">
        <v>1</v>
      </c>
      <c r="J816" s="25">
        <v>1</v>
      </c>
      <c r="K816" s="25">
        <v>1</v>
      </c>
      <c r="L816" s="25">
        <v>1</v>
      </c>
      <c r="M816" s="25">
        <v>0</v>
      </c>
    </row>
    <row r="817" spans="3:16">
      <c r="C817" s="22" t="s">
        <v>3649</v>
      </c>
      <c r="D817" t="str">
        <f>VLOOKUP(Table3[[#This Row],[Employee No.]],Table1_1[[Employee No.]:[Employee Name]],2,FALSE)</f>
        <v>MOHAMAD RIDHWAN BIN AYUB</v>
      </c>
      <c r="E817" t="str">
        <f>VLOOKUP(Table3[[#This Row],[Employee No.]],Table1_1[[Employee No.]:[Department]],6,FALSE)</f>
        <v>DF</v>
      </c>
      <c r="F817" t="str">
        <f>VLOOKUP(Table3[[#This Row],[Employee No.]],Table1_1[[Employee No.]:[Gender]],7,FALSE)</f>
        <v>M</v>
      </c>
      <c r="G817" t="str">
        <f>VLOOKUP(Table3[[#This Row],[Employee No.]],Table1_1[[Employee No.]:[Shift]],9,FALSE)</f>
        <v>SHIFT A</v>
      </c>
      <c r="H817" s="25">
        <v>1</v>
      </c>
      <c r="I817" s="25">
        <v>1</v>
      </c>
      <c r="J817" s="25">
        <v>1</v>
      </c>
      <c r="K817" s="25">
        <v>0</v>
      </c>
      <c r="L817" s="25">
        <v>0</v>
      </c>
      <c r="M817" s="25">
        <v>1</v>
      </c>
    </row>
    <row r="818" spans="3:16">
      <c r="C818" s="22" t="s">
        <v>3652</v>
      </c>
      <c r="D818" t="str">
        <f>VLOOKUP(Table3[[#This Row],[Employee No.]],Table1_1[[Employee No.]:[Employee Name]],2,FALSE)</f>
        <v>MUHAMMAD SYAZWAN BIN SUHAIMI</v>
      </c>
      <c r="E818" t="str">
        <f>VLOOKUP(Table3[[#This Row],[Employee No.]],Table1_1[[Employee No.]:[Department]],6,FALSE)</f>
        <v>EQUIPMENT</v>
      </c>
      <c r="F818" t="str">
        <f>VLOOKUP(Table3[[#This Row],[Employee No.]],Table1_1[[Employee No.]:[Gender]],7,FALSE)</f>
        <v>M</v>
      </c>
      <c r="G818" t="str">
        <f>VLOOKUP(Table3[[#This Row],[Employee No.]],Table1_1[[Employee No.]:[Shift]],9,FALSE)</f>
        <v>SHIFT C</v>
      </c>
      <c r="H818" s="25">
        <v>1</v>
      </c>
      <c r="I818" s="25">
        <v>1</v>
      </c>
      <c r="J818" s="25">
        <v>1</v>
      </c>
      <c r="K818" s="25">
        <v>1</v>
      </c>
      <c r="L818" s="25">
        <v>1</v>
      </c>
      <c r="M818" s="25">
        <v>1</v>
      </c>
      <c r="P818" s="25"/>
    </row>
    <row r="819" spans="3:16">
      <c r="C819" s="22" t="s">
        <v>3656</v>
      </c>
      <c r="D819" t="str">
        <f>VLOOKUP(Table3[[#This Row],[Employee No.]],Table1_1[[Employee No.]:[Employee Name]],2,FALSE)</f>
        <v>MUHAMMAD AMIRUL SYAFIQ BIN MOHAMAD RUSHDI</v>
      </c>
      <c r="E819" t="str">
        <f>VLOOKUP(Table3[[#This Row],[Employee No.]],Table1_1[[Employee No.]:[Department]],6,FALSE)</f>
        <v>EQUIPMENT</v>
      </c>
      <c r="F819" t="str">
        <f>VLOOKUP(Table3[[#This Row],[Employee No.]],Table1_1[[Employee No.]:[Gender]],7,FALSE)</f>
        <v>M</v>
      </c>
      <c r="G819" t="str">
        <f>VLOOKUP(Table3[[#This Row],[Employee No.]],Table1_1[[Employee No.]:[Shift]],9,FALSE)</f>
        <v>SHIFT B</v>
      </c>
      <c r="H819" s="25">
        <v>1</v>
      </c>
      <c r="I819" s="25">
        <v>1</v>
      </c>
      <c r="J819" s="25">
        <v>1</v>
      </c>
      <c r="K819" s="25">
        <v>1</v>
      </c>
      <c r="L819" s="25">
        <v>1</v>
      </c>
      <c r="M819" s="25">
        <v>0</v>
      </c>
    </row>
    <row r="820" spans="3:16">
      <c r="C820" s="22" t="s">
        <v>3660</v>
      </c>
      <c r="D820" t="str">
        <f>VLOOKUP(Table3[[#This Row],[Employee No.]],Table1_1[[Employee No.]:[Employee Name]],2,FALSE)</f>
        <v>MOHAMAD HANIS BIN DESA</v>
      </c>
      <c r="E820" t="str">
        <f>VLOOKUP(Table3[[#This Row],[Employee No.]],Table1_1[[Employee No.]:[Department]],6,FALSE)</f>
        <v>EQUIPMENT</v>
      </c>
      <c r="F820" t="str">
        <f>VLOOKUP(Table3[[#This Row],[Employee No.]],Table1_1[[Employee No.]:[Gender]],7,FALSE)</f>
        <v>M</v>
      </c>
      <c r="G820" t="str">
        <f>VLOOKUP(Table3[[#This Row],[Employee No.]],Table1_1[[Employee No.]:[Shift]],9,FALSE)</f>
        <v>SHIFT B</v>
      </c>
      <c r="H820" s="25">
        <v>1</v>
      </c>
      <c r="I820" s="25">
        <v>1</v>
      </c>
      <c r="J820" s="25">
        <v>1</v>
      </c>
      <c r="K820" s="25">
        <v>1</v>
      </c>
      <c r="L820" s="25">
        <v>1</v>
      </c>
      <c r="M820" s="25">
        <v>0</v>
      </c>
    </row>
    <row r="821" spans="3:16">
      <c r="C821" s="22" t="s">
        <v>3664</v>
      </c>
      <c r="D821" t="str">
        <f>VLOOKUP(Table3[[#This Row],[Employee No.]],Table1_1[[Employee No.]:[Employee Name]],2,FALSE)</f>
        <v>MUHAMMAD FAHIM BIN MOHD FAUZI</v>
      </c>
      <c r="E821" t="str">
        <f>VLOOKUP(Table3[[#This Row],[Employee No.]],Table1_1[[Employee No.]:[Department]],6,FALSE)</f>
        <v>ENVIRONMENT</v>
      </c>
      <c r="F821" t="str">
        <f>VLOOKUP(Table3[[#This Row],[Employee No.]],Table1_1[[Employee No.]:[Gender]],7,FALSE)</f>
        <v>M</v>
      </c>
      <c r="G821" t="str">
        <f>VLOOKUP(Table3[[#This Row],[Employee No.]],Table1_1[[Employee No.]:[Shift]],9,FALSE)</f>
        <v>SHIFT C</v>
      </c>
      <c r="H821" s="25">
        <v>0</v>
      </c>
      <c r="I821" s="25">
        <v>0</v>
      </c>
      <c r="J821" s="25">
        <v>1</v>
      </c>
      <c r="K821" s="25">
        <v>1</v>
      </c>
      <c r="L821" s="25">
        <v>1</v>
      </c>
      <c r="M821" s="25">
        <v>1</v>
      </c>
      <c r="P821" s="25"/>
    </row>
    <row r="822" spans="3:16">
      <c r="C822" s="22" t="s">
        <v>3696</v>
      </c>
      <c r="D822" t="str">
        <f>VLOOKUP(Table3[[#This Row],[Employee No.]],Table1_1[[Employee No.]:[Employee Name]],2,FALSE)</f>
        <v>ABDUL SAMAD BIN MOHD MYDIN</v>
      </c>
      <c r="E822" t="str">
        <f>VLOOKUP(Table3[[#This Row],[Employee No.]],Table1_1[[Employee No.]:[Department]],6,FALSE)</f>
        <v>DRILL</v>
      </c>
      <c r="F822" t="str">
        <f>VLOOKUP(Table3[[#This Row],[Employee No.]],Table1_1[[Employee No.]:[Gender]],7,FALSE)</f>
        <v>M</v>
      </c>
      <c r="G822" t="str">
        <f>VLOOKUP(Table3[[#This Row],[Employee No.]],Table1_1[[Employee No.]:[Shift]],9,FALSE)</f>
        <v>SHIFT C</v>
      </c>
      <c r="H822" s="25">
        <v>1</v>
      </c>
      <c r="I822" s="25">
        <v>1</v>
      </c>
      <c r="J822" s="25">
        <v>1</v>
      </c>
      <c r="K822" s="25">
        <v>1</v>
      </c>
      <c r="L822" s="25">
        <v>1</v>
      </c>
      <c r="M822" s="25">
        <v>1</v>
      </c>
      <c r="P822" s="25"/>
    </row>
    <row r="823" spans="3:16">
      <c r="C823" s="22" t="s">
        <v>3699</v>
      </c>
      <c r="D823" t="str">
        <f>VLOOKUP(Table3[[#This Row],[Employee No.]],Table1_1[[Employee No.]:[Employee Name]],2,FALSE)</f>
        <v>MUHAMMAD ZARIF BIN RAMAN</v>
      </c>
      <c r="E823" t="str">
        <f>VLOOKUP(Table3[[#This Row],[Employee No.]],Table1_1[[Employee No.]:[Department]],6,FALSE)</f>
        <v>ENVIRONMENT</v>
      </c>
      <c r="F823" t="str">
        <f>VLOOKUP(Table3[[#This Row],[Employee No.]],Table1_1[[Employee No.]:[Gender]],7,FALSE)</f>
        <v>M</v>
      </c>
      <c r="G823" t="str">
        <f>VLOOKUP(Table3[[#This Row],[Employee No.]],Table1_1[[Employee No.]:[Shift]],9,FALSE)</f>
        <v>SHIFT A</v>
      </c>
      <c r="H823" s="25">
        <v>1</v>
      </c>
      <c r="I823" s="25">
        <v>1</v>
      </c>
      <c r="J823" s="25">
        <v>1</v>
      </c>
      <c r="K823" s="25">
        <v>1</v>
      </c>
      <c r="L823" s="25">
        <v>1</v>
      </c>
      <c r="M823" s="25">
        <v>1</v>
      </c>
    </row>
    <row r="824" spans="3:16">
      <c r="C824" s="22" t="s">
        <v>3703</v>
      </c>
      <c r="D824" t="str">
        <f>VLOOKUP(Table3[[#This Row],[Employee No.]],Table1_1[[Employee No.]:[Employee Name]],2,FALSE)</f>
        <v>MUHAMMAD ADAM BIN ABDUL LATIFF</v>
      </c>
      <c r="E824" t="str">
        <f>VLOOKUP(Table3[[#This Row],[Employee No.]],Table1_1[[Employee No.]:[Department]],6,FALSE)</f>
        <v>ENVIRONMENT</v>
      </c>
      <c r="F824" t="str">
        <f>VLOOKUP(Table3[[#This Row],[Employee No.]],Table1_1[[Employee No.]:[Gender]],7,FALSE)</f>
        <v>M</v>
      </c>
      <c r="G824" t="str">
        <f>VLOOKUP(Table3[[#This Row],[Employee No.]],Table1_1[[Employee No.]:[Shift]],9,FALSE)</f>
        <v>SHIFT B</v>
      </c>
      <c r="H824" s="25">
        <v>1</v>
      </c>
      <c r="I824" s="25">
        <v>1</v>
      </c>
      <c r="J824" s="25">
        <v>1</v>
      </c>
      <c r="K824" s="25">
        <v>1</v>
      </c>
      <c r="L824" s="25">
        <v>1</v>
      </c>
      <c r="M824" s="25">
        <v>1</v>
      </c>
    </row>
    <row r="825" spans="3:16">
      <c r="C825" s="22" t="s">
        <v>3711</v>
      </c>
      <c r="D825" t="str">
        <f>VLOOKUP(Table3[[#This Row],[Employee No.]],Table1_1[[Employee No.]:[Employee Name]],2,FALSE)</f>
        <v>MUHAMMAD NAZIRUL MUBIN BIN MOHD RAMZI</v>
      </c>
      <c r="E825" t="str">
        <f>VLOOKUP(Table3[[#This Row],[Employee No.]],Table1_1[[Employee No.]:[Department]],6,FALSE)</f>
        <v>DF</v>
      </c>
      <c r="F825" t="str">
        <f>VLOOKUP(Table3[[#This Row],[Employee No.]],Table1_1[[Employee No.]:[Gender]],7,FALSE)</f>
        <v>M</v>
      </c>
      <c r="G825" t="str">
        <f>VLOOKUP(Table3[[#This Row],[Employee No.]],Table1_1[[Employee No.]:[Shift]],9,FALSE)</f>
        <v>SHIFT B</v>
      </c>
      <c r="H825" s="25">
        <v>1</v>
      </c>
      <c r="I825" s="25">
        <v>1</v>
      </c>
      <c r="J825" s="25">
        <v>1</v>
      </c>
      <c r="K825" s="25">
        <v>1</v>
      </c>
      <c r="L825" s="25">
        <v>1</v>
      </c>
      <c r="M825" s="25">
        <v>1</v>
      </c>
    </row>
    <row r="826" spans="3:16">
      <c r="C826" s="22" t="s">
        <v>3714</v>
      </c>
      <c r="D826" t="str">
        <f>VLOOKUP(Table3[[#This Row],[Employee No.]],Table1_1[[Employee No.]:[Employee Name]],2,FALSE)</f>
        <v>MOHD AKMAL BIN MOHD ROSLAN</v>
      </c>
      <c r="E826" t="str">
        <f>VLOOKUP(Table3[[#This Row],[Employee No.]],Table1_1[[Employee No.]:[Department]],6,FALSE)</f>
        <v>EQUIPMENT</v>
      </c>
      <c r="F826" t="str">
        <f>VLOOKUP(Table3[[#This Row],[Employee No.]],Table1_1[[Employee No.]:[Gender]],7,FALSE)</f>
        <v>M</v>
      </c>
      <c r="G826" t="str">
        <f>VLOOKUP(Table3[[#This Row],[Employee No.]],Table1_1[[Employee No.]:[Shift]],9,FALSE)</f>
        <v>SHIFT O</v>
      </c>
      <c r="H826" s="25">
        <v>0</v>
      </c>
      <c r="I826" s="25">
        <v>1</v>
      </c>
      <c r="J826" s="25">
        <v>1</v>
      </c>
      <c r="K826" s="25">
        <v>1</v>
      </c>
      <c r="L826" s="25">
        <v>1</v>
      </c>
      <c r="M826" s="25">
        <v>0</v>
      </c>
    </row>
    <row r="827" spans="3:16">
      <c r="C827" s="22" t="s">
        <v>3718</v>
      </c>
      <c r="D827" t="str">
        <f>VLOOKUP(Table3[[#This Row],[Employee No.]],Table1_1[[Employee No.]:[Employee Name]],2,FALSE)</f>
        <v>AMIR SAZRIL BIN IBRAHIM</v>
      </c>
      <c r="E827" t="str">
        <f>VLOOKUP(Table3[[#This Row],[Employee No.]],Table1_1[[Employee No.]:[Department]],6,FALSE)</f>
        <v>EQUIPMENT</v>
      </c>
      <c r="F827" t="str">
        <f>VLOOKUP(Table3[[#This Row],[Employee No.]],Table1_1[[Employee No.]:[Gender]],7,FALSE)</f>
        <v>M</v>
      </c>
      <c r="G827" t="str">
        <f>VLOOKUP(Table3[[#This Row],[Employee No.]],Table1_1[[Employee No.]:[Shift]],9,FALSE)</f>
        <v>SHIFT O</v>
      </c>
      <c r="H827" s="25">
        <v>0</v>
      </c>
      <c r="I827" s="25">
        <v>1</v>
      </c>
      <c r="J827" s="25">
        <v>1</v>
      </c>
      <c r="K827" s="25">
        <v>1</v>
      </c>
      <c r="L827" s="25">
        <v>1</v>
      </c>
      <c r="M827" s="25">
        <v>0</v>
      </c>
    </row>
    <row r="828" spans="3:16">
      <c r="C828" s="22" t="s">
        <v>3722</v>
      </c>
      <c r="D828" t="str">
        <f>VLOOKUP(Table3[[#This Row],[Employee No.]],Table1_1[[Employee No.]:[Employee Name]],2,FALSE)</f>
        <v>MOHAMAD SYAHRUL ANWAR BIN SHA'ARI</v>
      </c>
      <c r="E828" t="str">
        <f>VLOOKUP(Table3[[#This Row],[Employee No.]],Table1_1[[Employee No.]:[Department]],6,FALSE)</f>
        <v>EQUIPMENT</v>
      </c>
      <c r="F828" t="str">
        <f>VLOOKUP(Table3[[#This Row],[Employee No.]],Table1_1[[Employee No.]:[Gender]],7,FALSE)</f>
        <v>M</v>
      </c>
      <c r="G828" t="str">
        <f>VLOOKUP(Table3[[#This Row],[Employee No.]],Table1_1[[Employee No.]:[Shift]],9,FALSE)</f>
        <v>SHIFT O</v>
      </c>
      <c r="H828" s="25">
        <v>0</v>
      </c>
      <c r="I828" s="25">
        <v>0</v>
      </c>
      <c r="J828" s="25">
        <v>1</v>
      </c>
      <c r="K828" s="25">
        <v>1</v>
      </c>
      <c r="L828" s="25">
        <v>1</v>
      </c>
      <c r="M828" s="25">
        <v>0</v>
      </c>
    </row>
    <row r="829" spans="3:16">
      <c r="C829" s="22" t="s">
        <v>3726</v>
      </c>
      <c r="D829" t="str">
        <f>VLOOKUP(Table3[[#This Row],[Employee No.]],Table1_1[[Employee No.]:[Employee Name]],2,FALSE)</f>
        <v>HAZRIQ HELMI HAFEZEE BIN AZHAR</v>
      </c>
      <c r="E829" t="str">
        <f>VLOOKUP(Table3[[#This Row],[Employee No.]],Table1_1[[Employee No.]:[Department]],6,FALSE)</f>
        <v>EQUIPMENT</v>
      </c>
      <c r="F829" t="str">
        <f>VLOOKUP(Table3[[#This Row],[Employee No.]],Table1_1[[Employee No.]:[Gender]],7,FALSE)</f>
        <v>M</v>
      </c>
      <c r="G829" t="str">
        <f>VLOOKUP(Table3[[#This Row],[Employee No.]],Table1_1[[Employee No.]:[Shift]],9,FALSE)</f>
        <v>SHIFT O</v>
      </c>
      <c r="H829" s="25">
        <v>0</v>
      </c>
      <c r="I829" s="25">
        <v>1</v>
      </c>
      <c r="J829" s="25">
        <v>1</v>
      </c>
      <c r="K829" s="25">
        <v>1</v>
      </c>
      <c r="L829" s="25">
        <v>1</v>
      </c>
      <c r="M829" s="25">
        <v>0</v>
      </c>
    </row>
    <row r="830" spans="3:16">
      <c r="C830" s="22" t="s">
        <v>3741</v>
      </c>
      <c r="D830" t="str">
        <f>VLOOKUP(Table3[[#This Row],[Employee No.]],Table1_1[[Employee No.]:[Employee Name]],2,FALSE)</f>
        <v>MOHAMAD ASYRAF AMIR BIN ZULKHIMI</v>
      </c>
      <c r="E830" t="str">
        <f>VLOOKUP(Table3[[#This Row],[Employee No.]],Table1_1[[Employee No.]:[Department]],6,FALSE)</f>
        <v>DESIGN</v>
      </c>
      <c r="F830" t="str">
        <f>VLOOKUP(Table3[[#This Row],[Employee No.]],Table1_1[[Employee No.]:[Gender]],7,FALSE)</f>
        <v>M</v>
      </c>
      <c r="G830" t="str">
        <f>VLOOKUP(Table3[[#This Row],[Employee No.]],Table1_1[[Employee No.]:[Shift]],9,FALSE)</f>
        <v>SHIFT C</v>
      </c>
      <c r="H830" s="25">
        <v>1</v>
      </c>
      <c r="I830" s="25">
        <v>1</v>
      </c>
      <c r="J830" s="25">
        <v>1</v>
      </c>
      <c r="K830" s="25">
        <v>1</v>
      </c>
      <c r="L830" s="25">
        <v>1</v>
      </c>
      <c r="M830" s="25">
        <v>1</v>
      </c>
      <c r="P830" s="25"/>
    </row>
    <row r="831" spans="3:16">
      <c r="C831" s="22" t="s">
        <v>3745</v>
      </c>
      <c r="D831" t="str">
        <f>VLOOKUP(Table3[[#This Row],[Employee No.]],Table1_1[[Employee No.]:[Employee Name]],2,FALSE)</f>
        <v>MUHAMMAD FAKNIRUSHAIRIE BIN SHAFIAI</v>
      </c>
      <c r="E831" t="str">
        <f>VLOOKUP(Table3[[#This Row],[Employee No.]],Table1_1[[Employee No.]:[Department]],6,FALSE)</f>
        <v>QUALITY</v>
      </c>
      <c r="F831" t="str">
        <f>VLOOKUP(Table3[[#This Row],[Employee No.]],Table1_1[[Employee No.]:[Gender]],7,FALSE)</f>
        <v>M</v>
      </c>
      <c r="G831" t="str">
        <f>VLOOKUP(Table3[[#This Row],[Employee No.]],Table1_1[[Employee No.]:[Shift]],9,FALSE)</f>
        <v>SHIFT A</v>
      </c>
      <c r="H831" s="25">
        <v>1</v>
      </c>
      <c r="I831" s="25">
        <v>1</v>
      </c>
      <c r="J831" s="25">
        <v>1</v>
      </c>
      <c r="K831" s="25">
        <v>1</v>
      </c>
      <c r="L831" s="25">
        <v>1</v>
      </c>
      <c r="M831" s="25">
        <v>1</v>
      </c>
    </row>
    <row r="832" spans="3:16">
      <c r="C832" s="22" t="s">
        <v>3749</v>
      </c>
      <c r="D832" t="str">
        <f>VLOOKUP(Table3[[#This Row],[Employee No.]],Table1_1[[Employee No.]:[Employee Name]],2,FALSE)</f>
        <v>MUHAMMAD AIMAN NAIM BIN INDERA</v>
      </c>
      <c r="E832" t="str">
        <f>VLOOKUP(Table3[[#This Row],[Employee No.]],Table1_1[[Employee No.]:[Department]],6,FALSE)</f>
        <v>SM</v>
      </c>
      <c r="F832" t="str">
        <f>VLOOKUP(Table3[[#This Row],[Employee No.]],Table1_1[[Employee No.]:[Gender]],7,FALSE)</f>
        <v>M</v>
      </c>
      <c r="G832" t="str">
        <f>VLOOKUP(Table3[[#This Row],[Employee No.]],Table1_1[[Employee No.]:[Shift]],9,FALSE)</f>
        <v>SHIFT O</v>
      </c>
      <c r="H832" s="25">
        <v>0</v>
      </c>
      <c r="I832" s="25">
        <v>1</v>
      </c>
      <c r="J832" s="25">
        <v>0</v>
      </c>
      <c r="K832" s="25">
        <v>1</v>
      </c>
      <c r="L832" s="25">
        <v>1</v>
      </c>
      <c r="M832" s="25">
        <v>0</v>
      </c>
    </row>
    <row r="833" spans="3:16">
      <c r="C833" s="22" t="s">
        <v>3753</v>
      </c>
      <c r="D833" t="str">
        <f>VLOOKUP(Table3[[#This Row],[Employee No.]],Table1_1[[Employee No.]:[Employee Name]],2,FALSE)</f>
        <v>NUR NAJWA BINTI MOHD NAZRIN</v>
      </c>
      <c r="E833" t="str">
        <f>VLOOKUP(Table3[[#This Row],[Employee No.]],Table1_1[[Employee No.]:[Department]],6,FALSE)</f>
        <v>FVI</v>
      </c>
      <c r="F833" t="str">
        <f>VLOOKUP(Table3[[#This Row],[Employee No.]],Table1_1[[Employee No.]:[Gender]],7,FALSE)</f>
        <v>F</v>
      </c>
      <c r="G833" t="str">
        <f>VLOOKUP(Table3[[#This Row],[Employee No.]],Table1_1[[Employee No.]:[Shift]],9,FALSE)</f>
        <v>SHIFT B</v>
      </c>
      <c r="H833" s="25">
        <v>1</v>
      </c>
      <c r="I833" s="25">
        <v>1</v>
      </c>
      <c r="J833" s="25">
        <v>1</v>
      </c>
      <c r="K833" s="25">
        <v>1</v>
      </c>
      <c r="L833" s="25">
        <v>1</v>
      </c>
      <c r="M833" s="25">
        <v>1</v>
      </c>
    </row>
    <row r="834" spans="3:16">
      <c r="C834" s="22" t="s">
        <v>3757</v>
      </c>
      <c r="D834" t="str">
        <f>VLOOKUP(Table3[[#This Row],[Employee No.]],Table1_1[[Employee No.]:[Employee Name]],2,FALSE)</f>
        <v>SITI HAJAR BINTI MOHAMED</v>
      </c>
      <c r="E834" t="str">
        <f>VLOOKUP(Table3[[#This Row],[Employee No.]],Table1_1[[Employee No.]:[Department]],6,FALSE)</f>
        <v>FVI</v>
      </c>
      <c r="F834" t="str">
        <f>VLOOKUP(Table3[[#This Row],[Employee No.]],Table1_1[[Employee No.]:[Gender]],7,FALSE)</f>
        <v>F</v>
      </c>
      <c r="G834" t="str">
        <f>VLOOKUP(Table3[[#This Row],[Employee No.]],Table1_1[[Employee No.]:[Shift]],9,FALSE)</f>
        <v>SHIFT B</v>
      </c>
      <c r="H834" s="25">
        <v>1</v>
      </c>
      <c r="I834" s="25">
        <v>1</v>
      </c>
      <c r="J834" s="25">
        <v>1</v>
      </c>
      <c r="K834" s="25">
        <v>1</v>
      </c>
      <c r="L834" s="25">
        <v>1</v>
      </c>
      <c r="M834" s="25">
        <v>1</v>
      </c>
    </row>
    <row r="835" spans="3:16">
      <c r="C835" s="22" t="s">
        <v>3761</v>
      </c>
      <c r="D835" t="str">
        <f>VLOOKUP(Table3[[#This Row],[Employee No.]],Table1_1[[Employee No.]:[Employee Name]],2,FALSE)</f>
        <v>NUR SYAZMIRA IZWANY BINTI MOHD SOFFEE</v>
      </c>
      <c r="E835" t="str">
        <f>VLOOKUP(Table3[[#This Row],[Employee No.]],Table1_1[[Employee No.]:[Department]],6,FALSE)</f>
        <v>FVI</v>
      </c>
      <c r="F835" t="str">
        <f>VLOOKUP(Table3[[#This Row],[Employee No.]],Table1_1[[Employee No.]:[Gender]],7,FALSE)</f>
        <v>F</v>
      </c>
      <c r="G835" t="str">
        <f>VLOOKUP(Table3[[#This Row],[Employee No.]],Table1_1[[Employee No.]:[Shift]],9,FALSE)</f>
        <v>SHIFT B</v>
      </c>
      <c r="H835" s="25">
        <v>1</v>
      </c>
      <c r="I835" s="25">
        <v>1</v>
      </c>
      <c r="J835" s="25">
        <v>1</v>
      </c>
      <c r="K835" s="25">
        <v>1</v>
      </c>
      <c r="L835" s="25">
        <v>1</v>
      </c>
      <c r="M835" s="25">
        <v>1</v>
      </c>
    </row>
    <row r="836" spans="3:16">
      <c r="C836" s="22" t="s">
        <v>3765</v>
      </c>
      <c r="D836" t="str">
        <f>VLOOKUP(Table3[[#This Row],[Employee No.]],Table1_1[[Employee No.]:[Employee Name]],2,FALSE)</f>
        <v>FATIN FARISHA BINTI SHAMSUDDIN</v>
      </c>
      <c r="E836" t="str">
        <f>VLOOKUP(Table3[[#This Row],[Employee No.]],Table1_1[[Employee No.]:[Department]],6,FALSE)</f>
        <v>FVI</v>
      </c>
      <c r="F836" t="str">
        <f>VLOOKUP(Table3[[#This Row],[Employee No.]],Table1_1[[Employee No.]:[Gender]],7,FALSE)</f>
        <v>F</v>
      </c>
      <c r="G836" t="str">
        <f>VLOOKUP(Table3[[#This Row],[Employee No.]],Table1_1[[Employee No.]:[Shift]],9,FALSE)</f>
        <v>SHIFT C</v>
      </c>
      <c r="H836" s="25">
        <v>1</v>
      </c>
      <c r="I836" s="25">
        <v>1</v>
      </c>
      <c r="J836" s="25">
        <v>1</v>
      </c>
      <c r="K836" s="25">
        <v>1</v>
      </c>
      <c r="L836" s="25">
        <v>1</v>
      </c>
      <c r="M836" s="25">
        <v>1</v>
      </c>
      <c r="P836" s="25"/>
    </row>
    <row r="837" spans="3:16">
      <c r="C837" s="22" t="s">
        <v>3769</v>
      </c>
      <c r="D837" t="str">
        <f>VLOOKUP(Table3[[#This Row],[Employee No.]],Table1_1[[Employee No.]:[Employee Name]],2,FALSE)</f>
        <v>MUHAMMAD AMIRUL FIKRI BIN SUHAIMI</v>
      </c>
      <c r="E837" t="str">
        <f>VLOOKUP(Table3[[#This Row],[Employee No.]],Table1_1[[Employee No.]:[Department]],6,FALSE)</f>
        <v>QUALITY</v>
      </c>
      <c r="F837" t="str">
        <f>VLOOKUP(Table3[[#This Row],[Employee No.]],Table1_1[[Employee No.]:[Gender]],7,FALSE)</f>
        <v>M</v>
      </c>
      <c r="G837" t="str">
        <f>VLOOKUP(Table3[[#This Row],[Employee No.]],Table1_1[[Employee No.]:[Shift]],9,FALSE)</f>
        <v>SHIFT B</v>
      </c>
      <c r="H837" s="25">
        <v>1</v>
      </c>
      <c r="I837" s="25">
        <v>1</v>
      </c>
      <c r="J837" s="25">
        <v>1</v>
      </c>
      <c r="K837" s="25">
        <v>1</v>
      </c>
      <c r="L837" s="25">
        <v>1</v>
      </c>
      <c r="M837" s="25">
        <v>1</v>
      </c>
    </row>
    <row r="838" spans="3:16">
      <c r="C838" s="22" t="s">
        <v>3773</v>
      </c>
      <c r="D838" t="str">
        <f>VLOOKUP(Table3[[#This Row],[Employee No.]],Table1_1[[Employee No.]:[Employee Name]],2,FALSE)</f>
        <v>NUR NADIAH BINTI AMINARASID</v>
      </c>
      <c r="E838" t="str">
        <f>VLOOKUP(Table3[[#This Row],[Employee No.]],Table1_1[[Employee No.]:[Department]],6,FALSE)</f>
        <v>FVI</v>
      </c>
      <c r="F838" t="str">
        <f>VLOOKUP(Table3[[#This Row],[Employee No.]],Table1_1[[Employee No.]:[Gender]],7,FALSE)</f>
        <v>F</v>
      </c>
      <c r="G838" t="str">
        <f>VLOOKUP(Table3[[#This Row],[Employee No.]],Table1_1[[Employee No.]:[Shift]],9,FALSE)</f>
        <v>SHIFT C</v>
      </c>
      <c r="H838" s="25">
        <v>1</v>
      </c>
      <c r="I838" s="25">
        <v>1</v>
      </c>
      <c r="J838" s="25">
        <v>1</v>
      </c>
      <c r="K838" s="25">
        <v>1</v>
      </c>
      <c r="L838" s="25">
        <v>1</v>
      </c>
      <c r="M838" s="25">
        <v>1</v>
      </c>
      <c r="P838" s="25"/>
    </row>
    <row r="839" spans="3:16">
      <c r="C839" s="22" t="s">
        <v>3777</v>
      </c>
      <c r="D839" t="str">
        <f>VLOOKUP(Table3[[#This Row],[Employee No.]],Table1_1[[Employee No.]:[Employee Name]],2,FALSE)</f>
        <v>MOHAMAD SYAMER BIN MOKHTAR</v>
      </c>
      <c r="E839" t="str">
        <f>VLOOKUP(Table3[[#This Row],[Employee No.]],Table1_1[[Employee No.]:[Department]],6,FALSE)</f>
        <v>SM</v>
      </c>
      <c r="F839" t="str">
        <f>VLOOKUP(Table3[[#This Row],[Employee No.]],Table1_1[[Employee No.]:[Gender]],7,FALSE)</f>
        <v>M</v>
      </c>
      <c r="G839" t="str">
        <f>VLOOKUP(Table3[[#This Row],[Employee No.]],Table1_1[[Employee No.]:[Shift]],9,FALSE)</f>
        <v>SHIFT A</v>
      </c>
      <c r="H839" s="25">
        <v>1</v>
      </c>
      <c r="I839" s="25">
        <v>1</v>
      </c>
      <c r="J839" s="25">
        <v>1</v>
      </c>
      <c r="K839" s="25">
        <v>1</v>
      </c>
      <c r="L839" s="25">
        <v>1</v>
      </c>
      <c r="M839" s="25">
        <v>1</v>
      </c>
    </row>
    <row r="840" spans="3:16">
      <c r="C840" s="22" t="s">
        <v>3781</v>
      </c>
      <c r="D840" t="str">
        <f>VLOOKUP(Table3[[#This Row],[Employee No.]],Table1_1[[Employee No.]:[Employee Name]],2,FALSE)</f>
        <v>NUR ASHIKIN BINTI MOHAMED YUSUFF</v>
      </c>
      <c r="E840" t="str">
        <f>VLOOKUP(Table3[[#This Row],[Employee No.]],Table1_1[[Employee No.]:[Department]],6,FALSE)</f>
        <v>FVI</v>
      </c>
      <c r="F840" t="str">
        <f>VLOOKUP(Table3[[#This Row],[Employee No.]],Table1_1[[Employee No.]:[Gender]],7,FALSE)</f>
        <v>F</v>
      </c>
      <c r="G840" t="str">
        <f>VLOOKUP(Table3[[#This Row],[Employee No.]],Table1_1[[Employee No.]:[Shift]],9,FALSE)</f>
        <v>SHIFT A</v>
      </c>
      <c r="H840" s="25">
        <v>1</v>
      </c>
      <c r="I840" s="25">
        <v>1</v>
      </c>
      <c r="J840" s="25">
        <v>1</v>
      </c>
      <c r="K840" s="25">
        <v>1</v>
      </c>
      <c r="L840" s="25">
        <v>1</v>
      </c>
      <c r="M840" s="25">
        <v>1</v>
      </c>
    </row>
    <row r="841" spans="3:16">
      <c r="C841" s="22" t="s">
        <v>3785</v>
      </c>
      <c r="D841" t="str">
        <f>VLOOKUP(Table3[[#This Row],[Employee No.]],Table1_1[[Employee No.]:[Employee Name]],2,FALSE)</f>
        <v>ELLINYANI SYAFIQAH BINTI ABU BAKAR</v>
      </c>
      <c r="E841" t="str">
        <f>VLOOKUP(Table3[[#This Row],[Employee No.]],Table1_1[[Employee No.]:[Department]],6,FALSE)</f>
        <v>FVI</v>
      </c>
      <c r="F841" t="str">
        <f>VLOOKUP(Table3[[#This Row],[Employee No.]],Table1_1[[Employee No.]:[Gender]],7,FALSE)</f>
        <v>F</v>
      </c>
      <c r="G841" t="str">
        <f>VLOOKUP(Table3[[#This Row],[Employee No.]],Table1_1[[Employee No.]:[Shift]],9,FALSE)</f>
        <v>SHIFT C</v>
      </c>
      <c r="H841" s="25">
        <v>1</v>
      </c>
      <c r="I841" s="25">
        <v>1</v>
      </c>
      <c r="J841" s="25">
        <v>1</v>
      </c>
      <c r="K841" s="25">
        <v>1</v>
      </c>
      <c r="L841" s="25">
        <v>1</v>
      </c>
      <c r="M841" s="25">
        <v>1</v>
      </c>
      <c r="P841" s="25"/>
    </row>
    <row r="842" spans="3:16">
      <c r="C842" s="22" t="s">
        <v>3789</v>
      </c>
      <c r="D842" t="str">
        <f>VLOOKUP(Table3[[#This Row],[Employee No.]],Table1_1[[Employee No.]:[Employee Name]],2,FALSE)</f>
        <v>KUMUTAMOLI A/P PARASURAMAN</v>
      </c>
      <c r="E842" t="str">
        <f>VLOOKUP(Table3[[#This Row],[Employee No.]],Table1_1[[Employee No.]:[Department]],6,FALSE)</f>
        <v>AOI</v>
      </c>
      <c r="F842" t="str">
        <f>VLOOKUP(Table3[[#This Row],[Employee No.]],Table1_1[[Employee No.]:[Gender]],7,FALSE)</f>
        <v>F</v>
      </c>
      <c r="G842" t="str">
        <f>VLOOKUP(Table3[[#This Row],[Employee No.]],Table1_1[[Employee No.]:[Shift]],9,FALSE)</f>
        <v>SHIFT E</v>
      </c>
      <c r="H842" s="25">
        <v>0</v>
      </c>
      <c r="I842" s="25">
        <v>1</v>
      </c>
      <c r="J842" s="25">
        <v>1</v>
      </c>
      <c r="K842" s="25">
        <v>1</v>
      </c>
      <c r="L842" s="25">
        <v>1</v>
      </c>
      <c r="M842" s="25">
        <v>1</v>
      </c>
    </row>
    <row r="843" spans="3:16">
      <c r="C843" s="22" t="s">
        <v>3793</v>
      </c>
      <c r="D843" t="str">
        <f>VLOOKUP(Table3[[#This Row],[Employee No.]],Table1_1[[Employee No.]:[Employee Name]],2,FALSE)</f>
        <v>MUHAMMAD ADLI BIN S.DAUD</v>
      </c>
      <c r="E843" t="str">
        <f>VLOOKUP(Table3[[#This Row],[Employee No.]],Table1_1[[Employee No.]:[Department]],6,FALSE)</f>
        <v>DF</v>
      </c>
      <c r="F843" t="str">
        <f>VLOOKUP(Table3[[#This Row],[Employee No.]],Table1_1[[Employee No.]:[Gender]],7,FALSE)</f>
        <v>M</v>
      </c>
      <c r="G843" t="str">
        <f>VLOOKUP(Table3[[#This Row],[Employee No.]],Table1_1[[Employee No.]:[Shift]],9,FALSE)</f>
        <v>SHIFT C</v>
      </c>
      <c r="H843" s="25">
        <v>1</v>
      </c>
      <c r="I843" s="25">
        <v>1</v>
      </c>
      <c r="J843" s="25">
        <v>1</v>
      </c>
      <c r="K843" s="25">
        <v>1</v>
      </c>
      <c r="L843" s="25">
        <v>1</v>
      </c>
      <c r="M843" s="25">
        <v>1</v>
      </c>
      <c r="P843" s="25"/>
    </row>
    <row r="844" spans="3:16">
      <c r="C844" s="22" t="s">
        <v>3797</v>
      </c>
      <c r="D844" t="str">
        <f>VLOOKUP(Table3[[#This Row],[Employee No.]],Table1_1[[Employee No.]:[Employee Name]],2,FALSE)</f>
        <v>AHMAD IKQBAL BIN ZAINUDDIN</v>
      </c>
      <c r="E844" t="str">
        <f>VLOOKUP(Table3[[#This Row],[Employee No.]],Table1_1[[Employee No.]:[Department]],6,FALSE)</f>
        <v>QUALITY</v>
      </c>
      <c r="F844" t="str">
        <f>VLOOKUP(Table3[[#This Row],[Employee No.]],Table1_1[[Employee No.]:[Gender]],7,FALSE)</f>
        <v>M</v>
      </c>
      <c r="G844" t="str">
        <f>VLOOKUP(Table3[[#This Row],[Employee No.]],Table1_1[[Employee No.]:[Shift]],9,FALSE)</f>
        <v>SHIFT O</v>
      </c>
      <c r="H844" s="25">
        <v>0</v>
      </c>
      <c r="I844" s="25">
        <v>1</v>
      </c>
      <c r="J844" s="25">
        <v>1</v>
      </c>
      <c r="K844" s="25">
        <v>1</v>
      </c>
      <c r="L844" s="25">
        <v>1</v>
      </c>
      <c r="M844" s="25">
        <v>0</v>
      </c>
    </row>
    <row r="845" spans="3:16">
      <c r="C845" s="22" t="s">
        <v>3801</v>
      </c>
      <c r="D845" t="str">
        <f>VLOOKUP(Table3[[#This Row],[Employee No.]],Table1_1[[Employee No.]:[Employee Name]],2,FALSE)</f>
        <v>AYU BADILLAH BINTI BURHAN</v>
      </c>
      <c r="E845" t="str">
        <f>VLOOKUP(Table3[[#This Row],[Employee No.]],Table1_1[[Employee No.]:[Department]],6,FALSE)</f>
        <v>QUALITY</v>
      </c>
      <c r="F845" t="str">
        <f>VLOOKUP(Table3[[#This Row],[Employee No.]],Table1_1[[Employee No.]:[Gender]],7,FALSE)</f>
        <v>F</v>
      </c>
      <c r="G845" t="str">
        <f>VLOOKUP(Table3[[#This Row],[Employee No.]],Table1_1[[Employee No.]:[Shift]],9,FALSE)</f>
        <v>SHIFT A</v>
      </c>
      <c r="H845" s="25">
        <v>1</v>
      </c>
      <c r="I845" s="25">
        <v>1</v>
      </c>
      <c r="J845" s="25">
        <v>1</v>
      </c>
      <c r="K845" s="25">
        <v>1</v>
      </c>
      <c r="L845" s="25">
        <v>1</v>
      </c>
      <c r="M845" s="25">
        <v>1</v>
      </c>
    </row>
    <row r="846" spans="3:16">
      <c r="C846" s="22" t="s">
        <v>3805</v>
      </c>
      <c r="D846" t="str">
        <f>VLOOKUP(Table3[[#This Row],[Employee No.]],Table1_1[[Employee No.]:[Employee Name]],2,FALSE)</f>
        <v>ASRUL HASNI BIN MOHAMAD HIDAYAT</v>
      </c>
      <c r="E846" t="str">
        <f>VLOOKUP(Table3[[#This Row],[Employee No.]],Table1_1[[Employee No.]:[Department]],6,FALSE)</f>
        <v>DF</v>
      </c>
      <c r="F846" t="str">
        <f>VLOOKUP(Table3[[#This Row],[Employee No.]],Table1_1[[Employee No.]:[Gender]],7,FALSE)</f>
        <v>M</v>
      </c>
      <c r="G846" t="str">
        <f>VLOOKUP(Table3[[#This Row],[Employee No.]],Table1_1[[Employee No.]:[Shift]],9,FALSE)</f>
        <v>SHIFT B</v>
      </c>
      <c r="H846" s="25">
        <v>1</v>
      </c>
      <c r="I846" s="25">
        <v>1</v>
      </c>
      <c r="J846" s="25">
        <v>1</v>
      </c>
      <c r="K846" s="25">
        <v>1</v>
      </c>
      <c r="L846" s="25">
        <v>1</v>
      </c>
      <c r="M846" s="25">
        <v>1</v>
      </c>
    </row>
    <row r="847" spans="3:16">
      <c r="C847" s="22" t="s">
        <v>3809</v>
      </c>
      <c r="D847" t="str">
        <f>VLOOKUP(Table3[[#This Row],[Employee No.]],Table1_1[[Employee No.]:[Employee Name]],2,FALSE)</f>
        <v>MUHAMMAD HAKIMI BIN MAHADZIR</v>
      </c>
      <c r="E847" t="str">
        <f>VLOOKUP(Table3[[#This Row],[Employee No.]],Table1_1[[Employee No.]:[Department]],6,FALSE)</f>
        <v>SM</v>
      </c>
      <c r="F847" t="str">
        <f>VLOOKUP(Table3[[#This Row],[Employee No.]],Table1_1[[Employee No.]:[Gender]],7,FALSE)</f>
        <v>M</v>
      </c>
      <c r="G847" t="str">
        <f>VLOOKUP(Table3[[#This Row],[Employee No.]],Table1_1[[Employee No.]:[Shift]],9,FALSE)</f>
        <v>SHIFT B</v>
      </c>
      <c r="H847" s="25">
        <v>1</v>
      </c>
      <c r="I847" s="25">
        <v>1</v>
      </c>
      <c r="J847" s="25">
        <v>1</v>
      </c>
      <c r="K847" s="25">
        <v>1</v>
      </c>
      <c r="L847" s="25">
        <v>1</v>
      </c>
      <c r="M847" s="25">
        <v>1</v>
      </c>
    </row>
    <row r="848" spans="3:16">
      <c r="C848" s="22" t="s">
        <v>3813</v>
      </c>
      <c r="D848" t="str">
        <f>VLOOKUP(Table3[[#This Row],[Employee No.]],Table1_1[[Employee No.]:[Employee Name]],2,FALSE)</f>
        <v>MOHAMMAD MUSSANIF BIN ISMAIL</v>
      </c>
      <c r="E848" t="str">
        <f>VLOOKUP(Table3[[#This Row],[Employee No.]],Table1_1[[Employee No.]:[Department]],6,FALSE)</f>
        <v>QUALITY</v>
      </c>
      <c r="F848" t="str">
        <f>VLOOKUP(Table3[[#This Row],[Employee No.]],Table1_1[[Employee No.]:[Gender]],7,FALSE)</f>
        <v>M</v>
      </c>
      <c r="G848" t="str">
        <f>VLOOKUP(Table3[[#This Row],[Employee No.]],Table1_1[[Employee No.]:[Shift]],9,FALSE)</f>
        <v>SHIFT B</v>
      </c>
      <c r="H848" s="25">
        <v>1</v>
      </c>
      <c r="I848" s="25">
        <v>1</v>
      </c>
      <c r="J848" s="25">
        <v>1</v>
      </c>
      <c r="K848" s="25">
        <v>1</v>
      </c>
      <c r="L848" s="25">
        <v>1</v>
      </c>
      <c r="M848" s="25">
        <v>1</v>
      </c>
    </row>
    <row r="849" spans="3:16">
      <c r="C849" s="22" t="s">
        <v>3817</v>
      </c>
      <c r="D849" t="str">
        <f>VLOOKUP(Table3[[#This Row],[Employee No.]],Table1_1[[Employee No.]:[Employee Name]],2,FALSE)</f>
        <v>AHMAD IZHAM BIN AHMAD NAZRI</v>
      </c>
      <c r="E849" t="str">
        <f>VLOOKUP(Table3[[#This Row],[Employee No.]],Table1_1[[Employee No.]:[Department]],6,FALSE)</f>
        <v>QUALITY</v>
      </c>
      <c r="F849" t="str">
        <f>VLOOKUP(Table3[[#This Row],[Employee No.]],Table1_1[[Employee No.]:[Gender]],7,FALSE)</f>
        <v>M</v>
      </c>
      <c r="G849" t="str">
        <f>VLOOKUP(Table3[[#This Row],[Employee No.]],Table1_1[[Employee No.]:[Shift]],9,FALSE)</f>
        <v>SHIFT B</v>
      </c>
      <c r="H849" s="25">
        <v>1</v>
      </c>
      <c r="I849" s="25">
        <v>1</v>
      </c>
      <c r="J849" s="25">
        <v>1</v>
      </c>
      <c r="K849" s="25">
        <v>1</v>
      </c>
      <c r="L849" s="25">
        <v>1</v>
      </c>
      <c r="M849" s="25">
        <v>1</v>
      </c>
    </row>
    <row r="850" spans="3:16">
      <c r="C850" s="22" t="s">
        <v>3821</v>
      </c>
      <c r="D850" t="str">
        <f>VLOOKUP(Table3[[#This Row],[Employee No.]],Table1_1[[Employee No.]:[Employee Name]],2,FALSE)</f>
        <v>MUHAMMAD ASYRAAF FITRI BIN MOHD YUSOF</v>
      </c>
      <c r="E850" t="str">
        <f>VLOOKUP(Table3[[#This Row],[Employee No.]],Table1_1[[Employee No.]:[Department]],6,FALSE)</f>
        <v>QUALITY</v>
      </c>
      <c r="F850" t="str">
        <f>VLOOKUP(Table3[[#This Row],[Employee No.]],Table1_1[[Employee No.]:[Gender]],7,FALSE)</f>
        <v>M</v>
      </c>
      <c r="G850" t="str">
        <f>VLOOKUP(Table3[[#This Row],[Employee No.]],Table1_1[[Employee No.]:[Shift]],9,FALSE)</f>
        <v>SHIFT A</v>
      </c>
      <c r="H850" s="25">
        <v>0</v>
      </c>
      <c r="I850" s="25">
        <v>0</v>
      </c>
      <c r="J850" s="25">
        <v>1</v>
      </c>
      <c r="K850" s="25">
        <v>1</v>
      </c>
      <c r="L850" s="25">
        <v>1</v>
      </c>
      <c r="M850" s="25">
        <v>1</v>
      </c>
    </row>
    <row r="851" spans="3:16">
      <c r="C851" s="22" t="s">
        <v>3825</v>
      </c>
      <c r="D851" t="str">
        <f>VLOOKUP(Table3[[#This Row],[Employee No.]],Table1_1[[Employee No.]:[Employee Name]],2,FALSE)</f>
        <v>MUHAMMAD KHAIRUL AKMAL BIN MOHD ISA</v>
      </c>
      <c r="E851" t="str">
        <f>VLOOKUP(Table3[[#This Row],[Employee No.]],Table1_1[[Employee No.]:[Department]],6,FALSE)</f>
        <v>AOI</v>
      </c>
      <c r="F851" t="str">
        <f>VLOOKUP(Table3[[#This Row],[Employee No.]],Table1_1[[Employee No.]:[Gender]],7,FALSE)</f>
        <v>M</v>
      </c>
      <c r="G851" t="str">
        <f>VLOOKUP(Table3[[#This Row],[Employee No.]],Table1_1[[Employee No.]:[Shift]],9,FALSE)</f>
        <v>SHIFT B</v>
      </c>
      <c r="H851" s="25">
        <v>1</v>
      </c>
      <c r="I851" s="25">
        <v>1</v>
      </c>
      <c r="J851" s="25">
        <v>1</v>
      </c>
      <c r="K851" s="25">
        <v>1</v>
      </c>
      <c r="L851" s="25">
        <v>1</v>
      </c>
      <c r="M851" s="25">
        <v>1</v>
      </c>
    </row>
    <row r="852" spans="3:16">
      <c r="C852" s="22" t="s">
        <v>3828</v>
      </c>
      <c r="D852" t="str">
        <f>VLOOKUP(Table3[[#This Row],[Employee No.]],Table1_1[[Employee No.]:[Employee Name]],2,FALSE)</f>
        <v>MUHAMMAD DANIAL ISKANDAR BIN MOHD NAZIR</v>
      </c>
      <c r="E852" t="str">
        <f>VLOOKUP(Table3[[#This Row],[Employee No.]],Table1_1[[Employee No.]:[Department]],6,FALSE)</f>
        <v>ROUTER</v>
      </c>
      <c r="F852" t="str">
        <f>VLOOKUP(Table3[[#This Row],[Employee No.]],Table1_1[[Employee No.]:[Gender]],7,FALSE)</f>
        <v>M</v>
      </c>
      <c r="G852" t="str">
        <f>VLOOKUP(Table3[[#This Row],[Employee No.]],Table1_1[[Employee No.]:[Shift]],9,FALSE)</f>
        <v>SHIFT B</v>
      </c>
      <c r="H852" s="25">
        <v>1</v>
      </c>
      <c r="I852" s="25">
        <v>1</v>
      </c>
      <c r="J852" s="25">
        <v>1</v>
      </c>
      <c r="K852" s="25">
        <v>1</v>
      </c>
      <c r="L852" s="25">
        <v>1</v>
      </c>
      <c r="M852" s="25">
        <v>1</v>
      </c>
    </row>
    <row r="853" spans="3:16">
      <c r="C853" s="22" t="s">
        <v>3832</v>
      </c>
      <c r="D853" t="str">
        <f>VLOOKUP(Table3[[#This Row],[Employee No.]],Table1_1[[Employee No.]:[Employee Name]],2,FALSE)</f>
        <v>MUHAMAD ARIF BIN JAAFAR</v>
      </c>
      <c r="E853" t="str">
        <f>VLOOKUP(Table3[[#This Row],[Employee No.]],Table1_1[[Employee No.]:[Department]],6,FALSE)</f>
        <v>DRILL</v>
      </c>
      <c r="F853" t="str">
        <f>VLOOKUP(Table3[[#This Row],[Employee No.]],Table1_1[[Employee No.]:[Gender]],7,FALSE)</f>
        <v>M</v>
      </c>
      <c r="G853" t="str">
        <f>VLOOKUP(Table3[[#This Row],[Employee No.]],Table1_1[[Employee No.]:[Shift]],9,FALSE)</f>
        <v>SHIFT B</v>
      </c>
      <c r="H853" s="25">
        <v>1</v>
      </c>
      <c r="I853" s="25">
        <v>1</v>
      </c>
      <c r="J853" s="25">
        <v>1</v>
      </c>
      <c r="K853" s="25">
        <v>1</v>
      </c>
      <c r="L853" s="25">
        <v>1</v>
      </c>
      <c r="M853" s="25">
        <v>1</v>
      </c>
    </row>
    <row r="854" spans="3:16">
      <c r="C854" s="22" t="s">
        <v>3836</v>
      </c>
      <c r="D854" t="str">
        <f>VLOOKUP(Table3[[#This Row],[Employee No.]],Table1_1[[Employee No.]:[Employee Name]],2,FALSE)</f>
        <v>MUHAMMAD HANIS BIN HISHYAM ZAIME</v>
      </c>
      <c r="E854" t="str">
        <f>VLOOKUP(Table3[[#This Row],[Employee No.]],Table1_1[[Employee No.]:[Department]],6,FALSE)</f>
        <v>QUALITY</v>
      </c>
      <c r="F854" t="str">
        <f>VLOOKUP(Table3[[#This Row],[Employee No.]],Table1_1[[Employee No.]:[Gender]],7,FALSE)</f>
        <v>M</v>
      </c>
      <c r="G854" t="str">
        <f>VLOOKUP(Table3[[#This Row],[Employee No.]],Table1_1[[Employee No.]:[Shift]],9,FALSE)</f>
        <v>SHIFT C</v>
      </c>
      <c r="H854" s="25">
        <v>1</v>
      </c>
      <c r="I854" s="25">
        <v>1</v>
      </c>
      <c r="J854" s="25">
        <v>1</v>
      </c>
      <c r="K854" s="25">
        <v>1</v>
      </c>
      <c r="L854" s="25">
        <v>1</v>
      </c>
      <c r="M854" s="25">
        <v>1</v>
      </c>
      <c r="P854" s="25"/>
    </row>
    <row r="855" spans="3:16">
      <c r="C855" s="22" t="s">
        <v>3840</v>
      </c>
      <c r="D855" t="str">
        <f>VLOOKUP(Table3[[#This Row],[Employee No.]],Table1_1[[Employee No.]:[Employee Name]],2,FALSE)</f>
        <v>MUHAMAD NAJMI BIN MAHMUD</v>
      </c>
      <c r="E855" t="str">
        <f>VLOOKUP(Table3[[#This Row],[Employee No.]],Table1_1[[Employee No.]:[Department]],6,FALSE)</f>
        <v>QUALITY</v>
      </c>
      <c r="F855" t="str">
        <f>VLOOKUP(Table3[[#This Row],[Employee No.]],Table1_1[[Employee No.]:[Gender]],7,FALSE)</f>
        <v>M</v>
      </c>
      <c r="G855" t="str">
        <f>VLOOKUP(Table3[[#This Row],[Employee No.]],Table1_1[[Employee No.]:[Shift]],9,FALSE)</f>
        <v>SHIFT O</v>
      </c>
      <c r="H855" s="25">
        <v>0</v>
      </c>
      <c r="I855" s="25">
        <v>1</v>
      </c>
      <c r="J855" s="25">
        <v>1</v>
      </c>
      <c r="K855" s="25">
        <v>1</v>
      </c>
      <c r="L855" s="25">
        <v>1</v>
      </c>
      <c r="M855" s="25">
        <v>0</v>
      </c>
    </row>
    <row r="856" spans="3:16">
      <c r="C856" s="22" t="s">
        <v>3844</v>
      </c>
      <c r="D856" t="str">
        <f>VLOOKUP(Table3[[#This Row],[Employee No.]],Table1_1[[Employee No.]:[Employee Name]],2,FALSE)</f>
        <v>SHAHIRAH BINTI ROSLAN</v>
      </c>
      <c r="E856" t="str">
        <f>VLOOKUP(Table3[[#This Row],[Employee No.]],Table1_1[[Employee No.]:[Department]],6,FALSE)</f>
        <v>DESIGN</v>
      </c>
      <c r="F856" t="str">
        <f>VLOOKUP(Table3[[#This Row],[Employee No.]],Table1_1[[Employee No.]:[Gender]],7,FALSE)</f>
        <v>F</v>
      </c>
      <c r="G856" t="str">
        <f>VLOOKUP(Table3[[#This Row],[Employee No.]],Table1_1[[Employee No.]:[Shift]],9,FALSE)</f>
        <v>SHIFT B</v>
      </c>
      <c r="H856" s="25">
        <v>1</v>
      </c>
      <c r="I856" s="25">
        <v>1</v>
      </c>
      <c r="J856" s="25">
        <v>1</v>
      </c>
      <c r="K856" s="25">
        <v>1</v>
      </c>
      <c r="L856" s="25">
        <v>1</v>
      </c>
      <c r="M856" s="25">
        <v>1</v>
      </c>
    </row>
    <row r="857" spans="3:16">
      <c r="C857" s="22" t="s">
        <v>3848</v>
      </c>
      <c r="D857" t="str">
        <f>VLOOKUP(Table3[[#This Row],[Employee No.]],Table1_1[[Employee No.]:[Employee Name]],2,FALSE)</f>
        <v>NURUL ATIQAH BINTI ABDUL HAIR</v>
      </c>
      <c r="E857" t="str">
        <f>VLOOKUP(Table3[[#This Row],[Employee No.]],Table1_1[[Employee No.]:[Department]],6,FALSE)</f>
        <v>BBT</v>
      </c>
      <c r="F857" t="str">
        <f>VLOOKUP(Table3[[#This Row],[Employee No.]],Table1_1[[Employee No.]:[Gender]],7,FALSE)</f>
        <v>F</v>
      </c>
      <c r="G857" t="str">
        <f>VLOOKUP(Table3[[#This Row],[Employee No.]],Table1_1[[Employee No.]:[Shift]],9,FALSE)</f>
        <v>SHIFT B</v>
      </c>
      <c r="H857" s="25">
        <v>1</v>
      </c>
      <c r="I857" s="25">
        <v>1</v>
      </c>
      <c r="J857" s="25">
        <v>1</v>
      </c>
      <c r="K857" s="25">
        <v>1</v>
      </c>
      <c r="L857" s="25">
        <v>1</v>
      </c>
      <c r="M857" s="25">
        <v>1</v>
      </c>
    </row>
    <row r="858" spans="3:16">
      <c r="C858" s="22" t="s">
        <v>3852</v>
      </c>
      <c r="D858" t="str">
        <f>VLOOKUP(Table3[[#This Row],[Employee No.]],Table1_1[[Employee No.]:[Employee Name]],2,FALSE)</f>
        <v>AZRUL AMIN BIN ZULKIFLE</v>
      </c>
      <c r="E858" t="str">
        <f>VLOOKUP(Table3[[#This Row],[Employee No.]],Table1_1[[Employee No.]:[Department]],6,FALSE)</f>
        <v>AU</v>
      </c>
      <c r="F858" t="str">
        <f>VLOOKUP(Table3[[#This Row],[Employee No.]],Table1_1[[Employee No.]:[Gender]],7,FALSE)</f>
        <v>M</v>
      </c>
      <c r="G858" t="str">
        <f>VLOOKUP(Table3[[#This Row],[Employee No.]],Table1_1[[Employee No.]:[Shift]],9,FALSE)</f>
        <v>SHIFT C</v>
      </c>
      <c r="H858" s="25">
        <v>1</v>
      </c>
      <c r="I858" s="25">
        <v>1</v>
      </c>
      <c r="J858" s="25">
        <v>1</v>
      </c>
      <c r="K858" s="25">
        <v>1</v>
      </c>
      <c r="L858" s="25">
        <v>1</v>
      </c>
      <c r="M858" s="25">
        <v>1</v>
      </c>
      <c r="P858" s="25"/>
    </row>
    <row r="859" spans="3:16">
      <c r="C859" s="22" t="s">
        <v>3856</v>
      </c>
      <c r="D859" t="str">
        <f>VLOOKUP(Table3[[#This Row],[Employee No.]],Table1_1[[Employee No.]:[Employee Name]],2,FALSE)</f>
        <v>AZLAN BIN ABDUL GHANI</v>
      </c>
      <c r="E859" t="str">
        <f>VLOOKUP(Table3[[#This Row],[Employee No.]],Table1_1[[Employee No.]:[Department]],6,FALSE)</f>
        <v>CU</v>
      </c>
      <c r="F859" t="str">
        <f>VLOOKUP(Table3[[#This Row],[Employee No.]],Table1_1[[Employee No.]:[Gender]],7,FALSE)</f>
        <v>M</v>
      </c>
      <c r="G859" t="str">
        <f>VLOOKUP(Table3[[#This Row],[Employee No.]],Table1_1[[Employee No.]:[Shift]],9,FALSE)</f>
        <v>SHIFT A</v>
      </c>
      <c r="H859" s="25">
        <v>1</v>
      </c>
      <c r="I859" s="25">
        <v>1</v>
      </c>
      <c r="J859" s="25">
        <v>1</v>
      </c>
      <c r="K859" s="25">
        <v>1</v>
      </c>
      <c r="L859" s="25">
        <v>1</v>
      </c>
      <c r="M859" s="25">
        <v>1</v>
      </c>
    </row>
    <row r="860" spans="3:16">
      <c r="C860" s="22" t="s">
        <v>3859</v>
      </c>
      <c r="D860" t="str">
        <f>VLOOKUP(Table3[[#This Row],[Employee No.]],Table1_1[[Employee No.]:[Employee Name]],2,FALSE)</f>
        <v>MUHAMMAD SYAFIQ BIN GHAZALI</v>
      </c>
      <c r="E860" t="str">
        <f>VLOOKUP(Table3[[#This Row],[Employee No.]],Table1_1[[Employee No.]:[Department]],6,FALSE)</f>
        <v>MLB</v>
      </c>
      <c r="F860" t="str">
        <f>VLOOKUP(Table3[[#This Row],[Employee No.]],Table1_1[[Employee No.]:[Gender]],7,FALSE)</f>
        <v>M</v>
      </c>
      <c r="G860" t="str">
        <f>VLOOKUP(Table3[[#This Row],[Employee No.]],Table1_1[[Employee No.]:[Shift]],9,FALSE)</f>
        <v>SHIFT C</v>
      </c>
      <c r="H860" s="25">
        <v>1</v>
      </c>
      <c r="I860" s="25">
        <v>1</v>
      </c>
      <c r="J860" s="25">
        <v>1</v>
      </c>
      <c r="K860" s="25">
        <v>1</v>
      </c>
      <c r="L860" s="25">
        <v>1</v>
      </c>
      <c r="M860" s="25">
        <v>1</v>
      </c>
      <c r="P860" s="25"/>
    </row>
    <row r="861" spans="3:16">
      <c r="C861" s="22" t="s">
        <v>3863</v>
      </c>
      <c r="D861" t="str">
        <f>VLOOKUP(Table3[[#This Row],[Employee No.]],Table1_1[[Employee No.]:[Employee Name]],2,FALSE)</f>
        <v>MUHAMMAD AZHAR BIN ZULKIFLI</v>
      </c>
      <c r="E861" t="str">
        <f>VLOOKUP(Table3[[#This Row],[Employee No.]],Table1_1[[Employee No.]:[Department]],6,FALSE)</f>
        <v>DRILL</v>
      </c>
      <c r="F861" t="str">
        <f>VLOOKUP(Table3[[#This Row],[Employee No.]],Table1_1[[Employee No.]:[Gender]],7,FALSE)</f>
        <v>M</v>
      </c>
      <c r="G861" t="str">
        <f>VLOOKUP(Table3[[#This Row],[Employee No.]],Table1_1[[Employee No.]:[Shift]],9,FALSE)</f>
        <v>SHIFT A</v>
      </c>
      <c r="H861" s="25">
        <v>1</v>
      </c>
      <c r="I861" s="25">
        <v>1</v>
      </c>
      <c r="J861" s="25">
        <v>1</v>
      </c>
      <c r="K861" s="25">
        <v>1</v>
      </c>
      <c r="L861" s="25">
        <v>1</v>
      </c>
      <c r="M861" s="25">
        <v>1</v>
      </c>
    </row>
    <row r="862" spans="3:16">
      <c r="C862" s="22" t="s">
        <v>3867</v>
      </c>
      <c r="D862" t="str">
        <f>VLOOKUP(Table3[[#This Row],[Employee No.]],Table1_1[[Employee No.]:[Employee Name]],2,FALSE)</f>
        <v>MUHAMMAD NASIR BIN JALI</v>
      </c>
      <c r="E862" t="str">
        <f>VLOOKUP(Table3[[#This Row],[Employee No.]],Table1_1[[Employee No.]:[Department]],6,FALSE)</f>
        <v>CU</v>
      </c>
      <c r="F862" t="str">
        <f>VLOOKUP(Table3[[#This Row],[Employee No.]],Table1_1[[Employee No.]:[Gender]],7,FALSE)</f>
        <v>M</v>
      </c>
      <c r="G862" t="str">
        <f>VLOOKUP(Table3[[#This Row],[Employee No.]],Table1_1[[Employee No.]:[Shift]],9,FALSE)</f>
        <v>SHIFT C</v>
      </c>
      <c r="H862" s="25">
        <v>1</v>
      </c>
      <c r="I862" s="25">
        <v>1</v>
      </c>
      <c r="J862" s="25">
        <v>1</v>
      </c>
      <c r="K862" s="25">
        <v>1</v>
      </c>
      <c r="L862" s="25">
        <v>1</v>
      </c>
      <c r="M862" s="25">
        <v>1</v>
      </c>
      <c r="P862" s="25"/>
    </row>
    <row r="863" spans="3:16">
      <c r="C863" s="22" t="s">
        <v>3871</v>
      </c>
      <c r="D863" t="str">
        <f>VLOOKUP(Table3[[#This Row],[Employee No.]],Table1_1[[Employee No.]:[Employee Name]],2,FALSE)</f>
        <v>KIZLEEY BIN ROSLIH</v>
      </c>
      <c r="E863" t="str">
        <f>VLOOKUP(Table3[[#This Row],[Employee No.]],Table1_1[[Employee No.]:[Department]],6,FALSE)</f>
        <v>DRILL</v>
      </c>
      <c r="F863" t="str">
        <f>VLOOKUP(Table3[[#This Row],[Employee No.]],Table1_1[[Employee No.]:[Gender]],7,FALSE)</f>
        <v>M</v>
      </c>
      <c r="G863" t="str">
        <f>VLOOKUP(Table3[[#This Row],[Employee No.]],Table1_1[[Employee No.]:[Shift]],9,FALSE)</f>
        <v>SHIFT B</v>
      </c>
      <c r="H863" s="25">
        <v>1</v>
      </c>
      <c r="I863" s="25">
        <v>1</v>
      </c>
      <c r="J863" s="25">
        <v>1</v>
      </c>
      <c r="K863" s="25">
        <v>1</v>
      </c>
      <c r="L863" s="25">
        <v>1</v>
      </c>
      <c r="M863" s="25">
        <v>1</v>
      </c>
    </row>
    <row r="864" spans="3:16">
      <c r="C864" s="22" t="s">
        <v>3875</v>
      </c>
      <c r="D864" t="str">
        <f>VLOOKUP(Table3[[#This Row],[Employee No.]],Table1_1[[Employee No.]:[Employee Name]],2,FALSE)</f>
        <v>NORSHAMILA BINTI SHARIFULDIN</v>
      </c>
      <c r="E864" t="str">
        <f>VLOOKUP(Table3[[#This Row],[Employee No.]],Table1_1[[Employee No.]:[Department]],6,FALSE)</f>
        <v>DESIGN</v>
      </c>
      <c r="F864" t="str">
        <f>VLOOKUP(Table3[[#This Row],[Employee No.]],Table1_1[[Employee No.]:[Gender]],7,FALSE)</f>
        <v>F</v>
      </c>
      <c r="G864" t="str">
        <f>VLOOKUP(Table3[[#This Row],[Employee No.]],Table1_1[[Employee No.]:[Shift]],9,FALSE)</f>
        <v>SHIFT B</v>
      </c>
      <c r="H864" s="25">
        <v>1</v>
      </c>
      <c r="I864" s="25">
        <v>1</v>
      </c>
      <c r="J864" s="25">
        <v>1</v>
      </c>
      <c r="K864" s="25">
        <v>1</v>
      </c>
      <c r="L864" s="25">
        <v>1</v>
      </c>
      <c r="M864" s="25">
        <v>1</v>
      </c>
    </row>
    <row r="865" spans="3:16">
      <c r="C865" s="22" t="s">
        <v>3879</v>
      </c>
      <c r="D865" t="str">
        <f>VLOOKUP(Table3[[#This Row],[Employee No.]],Table1_1[[Employee No.]:[Employee Name]],2,FALSE)</f>
        <v>SYAMIMI IZZATI BINTI ZAINUDIN</v>
      </c>
      <c r="E865" t="str">
        <f>VLOOKUP(Table3[[#This Row],[Employee No.]],Table1_1[[Employee No.]:[Department]],6,FALSE)</f>
        <v>DRILL</v>
      </c>
      <c r="F865" t="str">
        <f>VLOOKUP(Table3[[#This Row],[Employee No.]],Table1_1[[Employee No.]:[Gender]],7,FALSE)</f>
        <v>F</v>
      </c>
      <c r="G865" t="str">
        <f>VLOOKUP(Table3[[#This Row],[Employee No.]],Table1_1[[Employee No.]:[Shift]],9,FALSE)</f>
        <v>SHIFT A</v>
      </c>
      <c r="H865" s="25">
        <v>1</v>
      </c>
      <c r="I865" s="25">
        <v>1</v>
      </c>
      <c r="J865" s="25">
        <v>1</v>
      </c>
      <c r="K865" s="25">
        <v>1</v>
      </c>
      <c r="L865" s="25">
        <v>1</v>
      </c>
      <c r="M865" s="25">
        <v>1</v>
      </c>
    </row>
    <row r="866" spans="3:16">
      <c r="C866" s="22" t="s">
        <v>3883</v>
      </c>
      <c r="D866" t="str">
        <f>VLOOKUP(Table3[[#This Row],[Employee No.]],Table1_1[[Employee No.]:[Employee Name]],2,FALSE)</f>
        <v>MUHAMMAD HARIFF BIN SETAFA</v>
      </c>
      <c r="E866" t="str">
        <f>VLOOKUP(Table3[[#This Row],[Employee No.]],Table1_1[[Employee No.]:[Department]],6,FALSE)</f>
        <v>NPI</v>
      </c>
      <c r="F866" t="str">
        <f>VLOOKUP(Table3[[#This Row],[Employee No.]],Table1_1[[Employee No.]:[Gender]],7,FALSE)</f>
        <v>M</v>
      </c>
      <c r="G866" t="str">
        <f>VLOOKUP(Table3[[#This Row],[Employee No.]],Table1_1[[Employee No.]:[Shift]],9,FALSE)</f>
        <v>SHIFT A</v>
      </c>
      <c r="H866" s="25">
        <v>1</v>
      </c>
      <c r="I866" s="25">
        <v>1</v>
      </c>
      <c r="J866" s="25">
        <v>1</v>
      </c>
      <c r="K866" s="25">
        <v>1</v>
      </c>
      <c r="L866" s="25">
        <v>1</v>
      </c>
      <c r="M866" s="25">
        <v>0</v>
      </c>
    </row>
    <row r="867" spans="3:16">
      <c r="C867" s="22" t="s">
        <v>3887</v>
      </c>
      <c r="D867" t="str">
        <f>VLOOKUP(Table3[[#This Row],[Employee No.]],Table1_1[[Employee No.]:[Employee Name]],2,FALSE)</f>
        <v>INTAN FARIHAH BINTI MOHAMAD ZAINUDIN</v>
      </c>
      <c r="E867" t="str">
        <f>VLOOKUP(Table3[[#This Row],[Employee No.]],Table1_1[[Employee No.]:[Department]],6,FALSE)</f>
        <v>QUALITY</v>
      </c>
      <c r="F867" t="str">
        <f>VLOOKUP(Table3[[#This Row],[Employee No.]],Table1_1[[Employee No.]:[Gender]],7,FALSE)</f>
        <v>F</v>
      </c>
      <c r="G867" t="str">
        <f>VLOOKUP(Table3[[#This Row],[Employee No.]],Table1_1[[Employee No.]:[Shift]],9,FALSE)</f>
        <v>SHIFT B</v>
      </c>
      <c r="H867" s="25">
        <v>1</v>
      </c>
      <c r="I867" s="25">
        <v>1</v>
      </c>
      <c r="J867" s="25">
        <v>1</v>
      </c>
      <c r="K867" s="25">
        <v>1</v>
      </c>
      <c r="L867" s="25">
        <v>1</v>
      </c>
      <c r="M867" s="25">
        <v>1</v>
      </c>
    </row>
    <row r="868" spans="3:16">
      <c r="C868" s="22" t="s">
        <v>3891</v>
      </c>
      <c r="D868" t="str">
        <f>VLOOKUP(Table3[[#This Row],[Employee No.]],Table1_1[[Employee No.]:[Employee Name]],2,FALSE)</f>
        <v>NURUL ASYIKIN BINTI JAMALUDIN</v>
      </c>
      <c r="E868" t="str">
        <f>VLOOKUP(Table3[[#This Row],[Employee No.]],Table1_1[[Employee No.]:[Department]],6,FALSE)</f>
        <v>AOI</v>
      </c>
      <c r="F868" t="str">
        <f>VLOOKUP(Table3[[#This Row],[Employee No.]],Table1_1[[Employee No.]:[Gender]],7,FALSE)</f>
        <v>F</v>
      </c>
      <c r="G868" t="str">
        <f>VLOOKUP(Table3[[#This Row],[Employee No.]],Table1_1[[Employee No.]:[Shift]],9,FALSE)</f>
        <v>SHIFT B</v>
      </c>
      <c r="H868" s="25">
        <v>1</v>
      </c>
      <c r="I868" s="25">
        <v>1</v>
      </c>
      <c r="J868" s="25">
        <v>1</v>
      </c>
      <c r="K868" s="25">
        <v>1</v>
      </c>
      <c r="L868" s="25">
        <v>1</v>
      </c>
      <c r="M868" s="25">
        <v>1</v>
      </c>
    </row>
    <row r="869" spans="3:16">
      <c r="C869" s="22" t="s">
        <v>3895</v>
      </c>
      <c r="D869" t="str">
        <f>VLOOKUP(Table3[[#This Row],[Employee No.]],Table1_1[[Employee No.]:[Employee Name]],2,FALSE)</f>
        <v>MUHAMMAD ALIF AFZAN BIN MAZLAN</v>
      </c>
      <c r="E869" t="str">
        <f>VLOOKUP(Table3[[#This Row],[Employee No.]],Table1_1[[Employee No.]:[Department]],6,FALSE)</f>
        <v>MLB</v>
      </c>
      <c r="F869" t="str">
        <f>VLOOKUP(Table3[[#This Row],[Employee No.]],Table1_1[[Employee No.]:[Gender]],7,FALSE)</f>
        <v>M</v>
      </c>
      <c r="G869" t="str">
        <f>VLOOKUP(Table3[[#This Row],[Employee No.]],Table1_1[[Employee No.]:[Shift]],9,FALSE)</f>
        <v>SHIFT C</v>
      </c>
      <c r="H869" s="25">
        <v>1</v>
      </c>
      <c r="I869" s="25">
        <v>1</v>
      </c>
      <c r="J869" s="25">
        <v>1</v>
      </c>
      <c r="K869" s="25">
        <v>1</v>
      </c>
      <c r="L869" s="25">
        <v>1</v>
      </c>
      <c r="M869" s="25">
        <v>1</v>
      </c>
      <c r="P869" s="25"/>
    </row>
    <row r="870" spans="3:16">
      <c r="C870" s="22" t="s">
        <v>3899</v>
      </c>
      <c r="D870" t="str">
        <f>VLOOKUP(Table3[[#This Row],[Employee No.]],Table1_1[[Employee No.]:[Employee Name]],2,FALSE)</f>
        <v>MUHAMAD IRSYADUDDIN BIN MURAD</v>
      </c>
      <c r="E870" t="str">
        <f>VLOOKUP(Table3[[#This Row],[Employee No.]],Table1_1[[Employee No.]:[Department]],6,FALSE)</f>
        <v>ROUTER</v>
      </c>
      <c r="F870" t="str">
        <f>VLOOKUP(Table3[[#This Row],[Employee No.]],Table1_1[[Employee No.]:[Gender]],7,FALSE)</f>
        <v>M</v>
      </c>
      <c r="G870" t="str">
        <f>VLOOKUP(Table3[[#This Row],[Employee No.]],Table1_1[[Employee No.]:[Shift]],9,FALSE)</f>
        <v>SHIFT B</v>
      </c>
      <c r="H870" s="25">
        <v>1</v>
      </c>
      <c r="I870" s="25">
        <v>1</v>
      </c>
      <c r="J870" s="25">
        <v>1</v>
      </c>
      <c r="K870" s="25">
        <v>1</v>
      </c>
      <c r="L870" s="25">
        <v>1</v>
      </c>
      <c r="M870" s="25">
        <v>1</v>
      </c>
    </row>
    <row r="871" spans="3:16">
      <c r="C871" s="22" t="s">
        <v>3903</v>
      </c>
      <c r="D871" t="str">
        <f>VLOOKUP(Table3[[#This Row],[Employee No.]],Table1_1[[Employee No.]:[Employee Name]],2,FALSE)</f>
        <v>WAN MUHAMAD HAZIM IRFAN BIN WAN AHMAD KAMAL</v>
      </c>
      <c r="E871" t="str">
        <f>VLOOKUP(Table3[[#This Row],[Employee No.]],Table1_1[[Employee No.]:[Department]],6,FALSE)</f>
        <v>DF</v>
      </c>
      <c r="F871" t="str">
        <f>VLOOKUP(Table3[[#This Row],[Employee No.]],Table1_1[[Employee No.]:[Gender]],7,FALSE)</f>
        <v>M</v>
      </c>
      <c r="G871" t="str">
        <f>VLOOKUP(Table3[[#This Row],[Employee No.]],Table1_1[[Employee No.]:[Shift]],9,FALSE)</f>
        <v>SHIFT A</v>
      </c>
      <c r="H871" s="25">
        <v>1</v>
      </c>
      <c r="I871" s="25">
        <v>1</v>
      </c>
      <c r="J871" s="25">
        <v>1</v>
      </c>
      <c r="K871" s="25">
        <v>1</v>
      </c>
      <c r="L871" s="25">
        <v>1</v>
      </c>
      <c r="M871" s="25">
        <v>1</v>
      </c>
    </row>
    <row r="872" spans="3:16">
      <c r="C872" s="22" t="s">
        <v>3907</v>
      </c>
      <c r="D872" t="str">
        <f>VLOOKUP(Table3[[#This Row],[Employee No.]],Table1_1[[Employee No.]:[Employee Name]],2,FALSE)</f>
        <v>WINNIE ANAK UCHING</v>
      </c>
      <c r="E872" t="str">
        <f>VLOOKUP(Table3[[#This Row],[Employee No.]],Table1_1[[Employee No.]:[Department]],6,FALSE)</f>
        <v>QUALITY</v>
      </c>
      <c r="F872" t="str">
        <f>VLOOKUP(Table3[[#This Row],[Employee No.]],Table1_1[[Employee No.]:[Gender]],7,FALSE)</f>
        <v>F</v>
      </c>
      <c r="G872" t="str">
        <f>VLOOKUP(Table3[[#This Row],[Employee No.]],Table1_1[[Employee No.]:[Shift]],9,FALSE)</f>
        <v>SHIFT C</v>
      </c>
      <c r="H872" s="25">
        <v>1</v>
      </c>
      <c r="I872" s="25">
        <v>1</v>
      </c>
      <c r="J872" s="25">
        <v>1</v>
      </c>
      <c r="K872" s="25">
        <v>1</v>
      </c>
      <c r="L872" s="25">
        <v>1</v>
      </c>
      <c r="M872" s="25">
        <v>1</v>
      </c>
      <c r="P872" s="25"/>
    </row>
    <row r="873" spans="3:16">
      <c r="C873" s="22" t="s">
        <v>3911</v>
      </c>
      <c r="D873" t="str">
        <f>VLOOKUP(Table3[[#This Row],[Employee No.]],Table1_1[[Employee No.]:[Employee Name]],2,FALSE)</f>
        <v>AIN NUR SYAFIQAH BINTI AHMAD</v>
      </c>
      <c r="E873" t="str">
        <f>VLOOKUP(Table3[[#This Row],[Employee No.]],Table1_1[[Employee No.]:[Department]],6,FALSE)</f>
        <v>QUALITY</v>
      </c>
      <c r="F873" t="str">
        <f>VLOOKUP(Table3[[#This Row],[Employee No.]],Table1_1[[Employee No.]:[Gender]],7,FALSE)</f>
        <v>F</v>
      </c>
      <c r="G873" t="str">
        <f>VLOOKUP(Table3[[#This Row],[Employee No.]],Table1_1[[Employee No.]:[Shift]],9,FALSE)</f>
        <v>SHIFT A</v>
      </c>
      <c r="H873" s="25">
        <v>1</v>
      </c>
      <c r="I873" s="25">
        <v>1</v>
      </c>
      <c r="J873" s="25">
        <v>1</v>
      </c>
      <c r="K873" s="25">
        <v>1</v>
      </c>
      <c r="L873" s="25">
        <v>1</v>
      </c>
      <c r="M873" s="25">
        <v>1</v>
      </c>
    </row>
    <row r="874" spans="3:16">
      <c r="C874" s="22" t="s">
        <v>3915</v>
      </c>
      <c r="D874" t="str">
        <f>VLOOKUP(Table3[[#This Row],[Employee No.]],Table1_1[[Employee No.]:[Employee Name]],2,FALSE)</f>
        <v>SITI ZULAIKHA BINTI BADLIRUS</v>
      </c>
      <c r="E874" t="str">
        <f>VLOOKUP(Table3[[#This Row],[Employee No.]],Table1_1[[Employee No.]:[Department]],6,FALSE)</f>
        <v>CHAMFER</v>
      </c>
      <c r="F874" t="str">
        <f>VLOOKUP(Table3[[#This Row],[Employee No.]],Table1_1[[Employee No.]:[Gender]],7,FALSE)</f>
        <v>F</v>
      </c>
      <c r="G874" t="str">
        <f>VLOOKUP(Table3[[#This Row],[Employee No.]],Table1_1[[Employee No.]:[Shift]],9,FALSE)</f>
        <v>SHIFT C</v>
      </c>
      <c r="H874" s="25">
        <v>1</v>
      </c>
      <c r="I874" s="25">
        <v>1</v>
      </c>
      <c r="J874" s="25">
        <v>1</v>
      </c>
      <c r="K874" s="25">
        <v>1</v>
      </c>
      <c r="L874" s="25">
        <v>1</v>
      </c>
      <c r="M874" s="25">
        <v>1</v>
      </c>
      <c r="P874" s="25"/>
    </row>
    <row r="875" spans="3:16">
      <c r="C875" s="22" t="s">
        <v>3919</v>
      </c>
      <c r="D875" t="str">
        <f>VLOOKUP(Table3[[#This Row],[Employee No.]],Table1_1[[Employee No.]:[Employee Name]],2,FALSE)</f>
        <v>NURUL SYAFIQAH BINTI AHMAD SABANI</v>
      </c>
      <c r="E875" t="str">
        <f>VLOOKUP(Table3[[#This Row],[Employee No.]],Table1_1[[Employee No.]:[Department]],6,FALSE)</f>
        <v>FVI</v>
      </c>
      <c r="F875" t="str">
        <f>VLOOKUP(Table3[[#This Row],[Employee No.]],Table1_1[[Employee No.]:[Gender]],7,FALSE)</f>
        <v>F</v>
      </c>
      <c r="G875" t="str">
        <f>VLOOKUP(Table3[[#This Row],[Employee No.]],Table1_1[[Employee No.]:[Shift]],9,FALSE)</f>
        <v>SHIFT C</v>
      </c>
      <c r="H875" s="25">
        <v>1</v>
      </c>
      <c r="I875" s="25">
        <v>1</v>
      </c>
      <c r="J875" s="25">
        <v>1</v>
      </c>
      <c r="K875" s="25">
        <v>1</v>
      </c>
      <c r="L875" s="25">
        <v>1</v>
      </c>
      <c r="M875" s="25">
        <v>1</v>
      </c>
      <c r="P875" s="25"/>
    </row>
    <row r="876" spans="3:16">
      <c r="C876" s="22" t="s">
        <v>3923</v>
      </c>
      <c r="D876" t="str">
        <f>VLOOKUP(Table3[[#This Row],[Employee No.]],Table1_1[[Employee No.]:[Employee Name]],2,FALSE)</f>
        <v>MUHAMAD ZULHELMI BIN MD ZAINI</v>
      </c>
      <c r="E876" t="str">
        <f>VLOOKUP(Table3[[#This Row],[Employee No.]],Table1_1[[Employee No.]:[Department]],6,FALSE)</f>
        <v>CHAMFER</v>
      </c>
      <c r="F876" t="str">
        <f>VLOOKUP(Table3[[#This Row],[Employee No.]],Table1_1[[Employee No.]:[Gender]],7,FALSE)</f>
        <v>M</v>
      </c>
      <c r="G876" t="str">
        <f>VLOOKUP(Table3[[#This Row],[Employee No.]],Table1_1[[Employee No.]:[Shift]],9,FALSE)</f>
        <v>SHIFT C</v>
      </c>
      <c r="H876" s="25">
        <v>1</v>
      </c>
      <c r="I876" s="25">
        <v>1</v>
      </c>
      <c r="J876" s="25">
        <v>1</v>
      </c>
      <c r="K876" s="25">
        <v>1</v>
      </c>
      <c r="L876" s="25">
        <v>1</v>
      </c>
      <c r="M876" s="25">
        <v>1</v>
      </c>
      <c r="P876" s="25"/>
    </row>
    <row r="877" spans="3:16">
      <c r="C877" s="22" t="s">
        <v>3927</v>
      </c>
      <c r="D877" t="str">
        <f>VLOOKUP(Table3[[#This Row],[Employee No.]],Table1_1[[Employee No.]:[Employee Name]],2,FALSE)</f>
        <v>MUHAMMAD FIRDAUS BIN MD AZIME</v>
      </c>
      <c r="E877" t="str">
        <f>VLOOKUP(Table3[[#This Row],[Employee No.]],Table1_1[[Employee No.]:[Department]],6,FALSE)</f>
        <v>DF</v>
      </c>
      <c r="F877" t="str">
        <f>VLOOKUP(Table3[[#This Row],[Employee No.]],Table1_1[[Employee No.]:[Gender]],7,FALSE)</f>
        <v>M</v>
      </c>
      <c r="G877" t="str">
        <f>VLOOKUP(Table3[[#This Row],[Employee No.]],Table1_1[[Employee No.]:[Shift]],9,FALSE)</f>
        <v>SHIFT A</v>
      </c>
      <c r="H877" s="25">
        <v>1</v>
      </c>
      <c r="I877" s="25">
        <v>1</v>
      </c>
      <c r="J877" s="25">
        <v>1</v>
      </c>
      <c r="K877" s="25">
        <v>1</v>
      </c>
      <c r="L877" s="25">
        <v>1</v>
      </c>
      <c r="M877" s="25">
        <v>1</v>
      </c>
    </row>
    <row r="878" spans="3:16">
      <c r="C878" s="22" t="s">
        <v>3931</v>
      </c>
      <c r="D878" t="str">
        <f>VLOOKUP(Table3[[#This Row],[Employee No.]],Table1_1[[Employee No.]:[Employee Name]],2,FALSE)</f>
        <v>MUHAMMAD ASYRAF ANWARI BIN SUHAIMI</v>
      </c>
      <c r="E878" t="str">
        <f>VLOOKUP(Table3[[#This Row],[Employee No.]],Table1_1[[Employee No.]:[Department]],6,FALSE)</f>
        <v>QUALITY</v>
      </c>
      <c r="F878" t="str">
        <f>VLOOKUP(Table3[[#This Row],[Employee No.]],Table1_1[[Employee No.]:[Gender]],7,FALSE)</f>
        <v>M</v>
      </c>
      <c r="G878" t="str">
        <f>VLOOKUP(Table3[[#This Row],[Employee No.]],Table1_1[[Employee No.]:[Shift]],9,FALSE)</f>
        <v>SHIFT C</v>
      </c>
      <c r="H878" s="25">
        <v>1</v>
      </c>
      <c r="I878" s="25">
        <v>1</v>
      </c>
      <c r="J878" s="25">
        <v>1</v>
      </c>
      <c r="K878" s="25">
        <v>1</v>
      </c>
      <c r="L878" s="25">
        <v>1</v>
      </c>
      <c r="M878" s="25">
        <v>1</v>
      </c>
      <c r="P878" s="25"/>
    </row>
    <row r="879" spans="3:16">
      <c r="C879" s="22" t="s">
        <v>3935</v>
      </c>
      <c r="D879" t="str">
        <f>VLOOKUP(Table3[[#This Row],[Employee No.]],Table1_1[[Employee No.]:[Employee Name]],2,FALSE)</f>
        <v>MOHAMAD DANIEL ASYRAF BIN KHOIRUL ANUAR</v>
      </c>
      <c r="E879" t="str">
        <f>VLOOKUP(Table3[[#This Row],[Employee No.]],Table1_1[[Employee No.]:[Department]],6,FALSE)</f>
        <v>ROUTER</v>
      </c>
      <c r="F879" t="str">
        <f>VLOOKUP(Table3[[#This Row],[Employee No.]],Table1_1[[Employee No.]:[Gender]],7,FALSE)</f>
        <v>M</v>
      </c>
      <c r="G879" t="str">
        <f>VLOOKUP(Table3[[#This Row],[Employee No.]],Table1_1[[Employee No.]:[Shift]],9,FALSE)</f>
        <v>SHIFT C</v>
      </c>
      <c r="H879" s="25">
        <v>1</v>
      </c>
      <c r="I879" s="25">
        <v>1</v>
      </c>
      <c r="J879" s="25">
        <v>1</v>
      </c>
      <c r="K879" s="25">
        <v>1</v>
      </c>
      <c r="L879" s="25">
        <v>1</v>
      </c>
      <c r="M879" s="25">
        <v>1</v>
      </c>
      <c r="P879" s="25"/>
    </row>
    <row r="880" spans="3:16">
      <c r="C880" s="22" t="s">
        <v>3939</v>
      </c>
      <c r="D880" t="str">
        <f>VLOOKUP(Table3[[#This Row],[Employee No.]],Table1_1[[Employee No.]:[Employee Name]],2,FALSE)</f>
        <v>MUHAMMAD ADIB ADAM MAULA MOHD ZAINI</v>
      </c>
      <c r="E880" t="str">
        <f>VLOOKUP(Table3[[#This Row],[Employee No.]],Table1_1[[Employee No.]:[Department]],6,FALSE)</f>
        <v>WAREHOUSE</v>
      </c>
      <c r="F880" t="str">
        <f>VLOOKUP(Table3[[#This Row],[Employee No.]],Table1_1[[Employee No.]:[Gender]],7,FALSE)</f>
        <v>M</v>
      </c>
      <c r="G880" t="str">
        <f>VLOOKUP(Table3[[#This Row],[Employee No.]],Table1_1[[Employee No.]:[Shift]],9,FALSE)</f>
        <v>SHIFT B</v>
      </c>
      <c r="H880" s="25">
        <v>1</v>
      </c>
      <c r="I880" s="25">
        <v>1</v>
      </c>
      <c r="J880" s="25">
        <v>1</v>
      </c>
      <c r="K880" s="25">
        <v>1</v>
      </c>
      <c r="L880" s="25">
        <v>1</v>
      </c>
      <c r="M880" s="25">
        <v>0</v>
      </c>
    </row>
    <row r="881" spans="3:16">
      <c r="C881" s="22" t="s">
        <v>3943</v>
      </c>
      <c r="D881" t="str">
        <f>VLOOKUP(Table3[[#This Row],[Employee No.]],Table1_1[[Employee No.]:[Employee Name]],2,FALSE)</f>
        <v>MUHAMMAD HAFIZ BIN ISMAIL</v>
      </c>
      <c r="E881" t="str">
        <f>VLOOKUP(Table3[[#This Row],[Employee No.]],Table1_1[[Employee No.]:[Department]],6,FALSE)</f>
        <v>QUALITY</v>
      </c>
      <c r="F881" t="str">
        <f>VLOOKUP(Table3[[#This Row],[Employee No.]],Table1_1[[Employee No.]:[Gender]],7,FALSE)</f>
        <v>M</v>
      </c>
      <c r="G881" t="str">
        <f>VLOOKUP(Table3[[#This Row],[Employee No.]],Table1_1[[Employee No.]:[Shift]],9,FALSE)</f>
        <v>SHIFT C</v>
      </c>
      <c r="H881" s="25">
        <v>1</v>
      </c>
      <c r="I881" s="25">
        <v>1</v>
      </c>
      <c r="J881" s="25">
        <v>1</v>
      </c>
      <c r="K881" s="25">
        <v>1</v>
      </c>
      <c r="L881" s="25">
        <v>1</v>
      </c>
      <c r="M881" s="25">
        <v>0</v>
      </c>
      <c r="P881" s="25"/>
    </row>
    <row r="882" spans="3:16">
      <c r="C882" s="22" t="s">
        <v>3951</v>
      </c>
      <c r="D882" t="str">
        <f>VLOOKUP(Table3[[#This Row],[Employee No.]],Table1_1[[Employee No.]:[Employee Name]],2,FALSE)</f>
        <v>NOR ATIRAH BINTI SATTURA ALI</v>
      </c>
      <c r="E882" t="str">
        <f>VLOOKUP(Table3[[#This Row],[Employee No.]],Table1_1[[Employee No.]:[Department]],6,FALSE)</f>
        <v>QUALITY</v>
      </c>
      <c r="F882" t="str">
        <f>VLOOKUP(Table3[[#This Row],[Employee No.]],Table1_1[[Employee No.]:[Gender]],7,FALSE)</f>
        <v>F</v>
      </c>
      <c r="G882" t="str">
        <f>VLOOKUP(Table3[[#This Row],[Employee No.]],Table1_1[[Employee No.]:[Shift]],9,FALSE)</f>
        <v>SHIFT A</v>
      </c>
      <c r="H882" s="25">
        <v>1</v>
      </c>
      <c r="I882" s="25">
        <v>1</v>
      </c>
      <c r="J882" s="25">
        <v>1</v>
      </c>
      <c r="K882" s="25">
        <v>1</v>
      </c>
      <c r="L882" s="25">
        <v>1</v>
      </c>
      <c r="M882" s="25">
        <v>1</v>
      </c>
    </row>
    <row r="883" spans="3:16">
      <c r="C883" s="22" t="s">
        <v>3955</v>
      </c>
      <c r="D883" t="str">
        <f>VLOOKUP(Table3[[#This Row],[Employee No.]],Table1_1[[Employee No.]:[Employee Name]],2,FALSE)</f>
        <v>MUHAMMAD IRFAN BIN MEHAT</v>
      </c>
      <c r="E883" t="str">
        <f>VLOOKUP(Table3[[#This Row],[Employee No.]],Table1_1[[Employee No.]:[Department]],6,FALSE)</f>
        <v>AU</v>
      </c>
      <c r="F883" t="str">
        <f>VLOOKUP(Table3[[#This Row],[Employee No.]],Table1_1[[Employee No.]:[Gender]],7,FALSE)</f>
        <v>M</v>
      </c>
      <c r="G883" t="str">
        <f>VLOOKUP(Table3[[#This Row],[Employee No.]],Table1_1[[Employee No.]:[Shift]],9,FALSE)</f>
        <v>SHIFT C</v>
      </c>
      <c r="H883" s="25">
        <v>1</v>
      </c>
      <c r="I883" s="25">
        <v>1</v>
      </c>
      <c r="J883" s="25">
        <v>1</v>
      </c>
      <c r="K883" s="25">
        <v>1</v>
      </c>
      <c r="L883" s="25">
        <v>1</v>
      </c>
      <c r="M883" s="25">
        <v>1</v>
      </c>
      <c r="P883" s="25"/>
    </row>
    <row r="884" spans="3:16">
      <c r="C884" s="22" t="s">
        <v>3959</v>
      </c>
      <c r="D884" t="str">
        <f>VLOOKUP(Table3[[#This Row],[Employee No.]],Table1_1[[Employee No.]:[Employee Name]],2,FALSE)</f>
        <v>MUHAMMAD TAUFIQ BIN EDI EZEMAR</v>
      </c>
      <c r="E884" t="str">
        <f>VLOOKUP(Table3[[#This Row],[Employee No.]],Table1_1[[Employee No.]:[Department]],6,FALSE)</f>
        <v>FVI</v>
      </c>
      <c r="F884" t="str">
        <f>VLOOKUP(Table3[[#This Row],[Employee No.]],Table1_1[[Employee No.]:[Gender]],7,FALSE)</f>
        <v>M</v>
      </c>
      <c r="G884" t="str">
        <f>VLOOKUP(Table3[[#This Row],[Employee No.]],Table1_1[[Employee No.]:[Shift]],9,FALSE)</f>
        <v>SHIFT A</v>
      </c>
      <c r="H884" s="25">
        <v>1</v>
      </c>
      <c r="I884" s="25">
        <v>1</v>
      </c>
      <c r="J884" s="25">
        <v>1</v>
      </c>
      <c r="K884" s="25">
        <v>1</v>
      </c>
      <c r="L884" s="25">
        <v>1</v>
      </c>
      <c r="M884" s="25">
        <v>1</v>
      </c>
    </row>
    <row r="885" spans="3:16">
      <c r="C885" s="22" t="s">
        <v>3963</v>
      </c>
      <c r="D885" t="str">
        <f>VLOOKUP(Table3[[#This Row],[Employee No.]],Table1_1[[Employee No.]:[Employee Name]],2,FALSE)</f>
        <v>MUHAMAD AMMAR HUSAINI BIN JASNI</v>
      </c>
      <c r="E885" t="str">
        <f>VLOOKUP(Table3[[#This Row],[Employee No.]],Table1_1[[Employee No.]:[Department]],6,FALSE)</f>
        <v>DRILL</v>
      </c>
      <c r="F885" t="str">
        <f>VLOOKUP(Table3[[#This Row],[Employee No.]],Table1_1[[Employee No.]:[Gender]],7,FALSE)</f>
        <v>M</v>
      </c>
      <c r="G885" t="str">
        <f>VLOOKUP(Table3[[#This Row],[Employee No.]],Table1_1[[Employee No.]:[Shift]],9,FALSE)</f>
        <v>SHIFT B</v>
      </c>
      <c r="H885" s="25">
        <v>1</v>
      </c>
      <c r="I885" s="25">
        <v>1</v>
      </c>
      <c r="J885" s="25">
        <v>1</v>
      </c>
      <c r="K885" s="25">
        <v>1</v>
      </c>
      <c r="L885" s="25">
        <v>1</v>
      </c>
      <c r="M885" s="25">
        <v>1</v>
      </c>
    </row>
    <row r="886" spans="3:16">
      <c r="C886" s="22" t="s">
        <v>3967</v>
      </c>
      <c r="D886" t="str">
        <f>VLOOKUP(Table3[[#This Row],[Employee No.]],Table1_1[[Employee No.]:[Employee Name]],2,FALSE)</f>
        <v>ABDUL HAADI BIN ABDUL RAHIM</v>
      </c>
      <c r="E886" t="str">
        <f>VLOOKUP(Table3[[#This Row],[Employee No.]],Table1_1[[Employee No.]:[Department]],6,FALSE)</f>
        <v>CHAMFER</v>
      </c>
      <c r="F886" t="str">
        <f>VLOOKUP(Table3[[#This Row],[Employee No.]],Table1_1[[Employee No.]:[Gender]],7,FALSE)</f>
        <v>M</v>
      </c>
      <c r="G886" t="str">
        <f>VLOOKUP(Table3[[#This Row],[Employee No.]],Table1_1[[Employee No.]:[Shift]],9,FALSE)</f>
        <v>SHIFT B</v>
      </c>
      <c r="H886" s="25">
        <v>1</v>
      </c>
      <c r="I886" s="25">
        <v>1</v>
      </c>
      <c r="J886" s="25">
        <v>1</v>
      </c>
      <c r="K886" s="25">
        <v>1</v>
      </c>
      <c r="L886" s="25">
        <v>1</v>
      </c>
      <c r="M886" s="25">
        <v>1</v>
      </c>
    </row>
    <row r="887" spans="3:16">
      <c r="C887" s="22" t="s">
        <v>3971</v>
      </c>
      <c r="D887" t="str">
        <f>VLOOKUP(Table3[[#This Row],[Employee No.]],Table1_1[[Employee No.]:[Employee Name]],2,FALSE)</f>
        <v>MUHAMMAD HAFIZ BIN ZAKARIA</v>
      </c>
      <c r="E887" t="str">
        <f>VLOOKUP(Table3[[#This Row],[Employee No.]],Table1_1[[Employee No.]:[Department]],6,FALSE)</f>
        <v>SM</v>
      </c>
      <c r="F887" t="str">
        <f>VLOOKUP(Table3[[#This Row],[Employee No.]],Table1_1[[Employee No.]:[Gender]],7,FALSE)</f>
        <v>M</v>
      </c>
      <c r="G887" t="str">
        <f>VLOOKUP(Table3[[#This Row],[Employee No.]],Table1_1[[Employee No.]:[Shift]],9,FALSE)</f>
        <v>SHIFT C</v>
      </c>
      <c r="H887" s="25">
        <v>1</v>
      </c>
      <c r="I887" s="25">
        <v>1</v>
      </c>
      <c r="J887" s="25">
        <v>1</v>
      </c>
      <c r="K887" s="25">
        <v>1</v>
      </c>
      <c r="L887" s="25">
        <v>1</v>
      </c>
      <c r="M887" s="25">
        <v>1</v>
      </c>
      <c r="P887" s="25"/>
    </row>
    <row r="888" spans="3:16">
      <c r="C888" s="22" t="s">
        <v>3975</v>
      </c>
      <c r="D888" t="str">
        <f>VLOOKUP(Table3[[#This Row],[Employee No.]],Table1_1[[Employee No.]:[Employee Name]],2,FALSE)</f>
        <v>ASMA AISYAH NAZIRAH BINTI AZMAN</v>
      </c>
      <c r="E888" t="str">
        <f>VLOOKUP(Table3[[#This Row],[Employee No.]],Table1_1[[Employee No.]:[Department]],6,FALSE)</f>
        <v>FVI</v>
      </c>
      <c r="F888" t="str">
        <f>VLOOKUP(Table3[[#This Row],[Employee No.]],Table1_1[[Employee No.]:[Gender]],7,FALSE)</f>
        <v>F</v>
      </c>
      <c r="G888" t="str">
        <f>VLOOKUP(Table3[[#This Row],[Employee No.]],Table1_1[[Employee No.]:[Shift]],9,FALSE)</f>
        <v>SHIFT C</v>
      </c>
      <c r="H888" s="25">
        <v>1</v>
      </c>
      <c r="I888" s="25">
        <v>1</v>
      </c>
      <c r="J888" s="25">
        <v>1</v>
      </c>
      <c r="K888" s="25">
        <v>1</v>
      </c>
      <c r="L888" s="25">
        <v>1</v>
      </c>
      <c r="M888" s="25">
        <v>1</v>
      </c>
      <c r="P888" s="25"/>
    </row>
    <row r="889" spans="3:16">
      <c r="C889" s="22" t="s">
        <v>3979</v>
      </c>
      <c r="D889" t="str">
        <f>VLOOKUP(Table3[[#This Row],[Employee No.]],Table1_1[[Employee No.]:[Employee Name]],2,FALSE)</f>
        <v>NUR NAJIHAH BINTI ROZI</v>
      </c>
      <c r="E889" t="str">
        <f>VLOOKUP(Table3[[#This Row],[Employee No.]],Table1_1[[Employee No.]:[Department]],6,FALSE)</f>
        <v>QUALITY</v>
      </c>
      <c r="F889" t="str">
        <f>VLOOKUP(Table3[[#This Row],[Employee No.]],Table1_1[[Employee No.]:[Gender]],7,FALSE)</f>
        <v>F</v>
      </c>
      <c r="G889" t="str">
        <f>VLOOKUP(Table3[[#This Row],[Employee No.]],Table1_1[[Employee No.]:[Shift]],9,FALSE)</f>
        <v>SHIFT B</v>
      </c>
      <c r="H889" s="25">
        <v>1</v>
      </c>
      <c r="I889" s="25">
        <v>1</v>
      </c>
      <c r="J889" s="25">
        <v>1</v>
      </c>
      <c r="K889" s="25">
        <v>1</v>
      </c>
      <c r="L889" s="25">
        <v>1</v>
      </c>
      <c r="M889" s="25">
        <v>1</v>
      </c>
    </row>
    <row r="890" spans="3:16">
      <c r="C890" s="22" t="s">
        <v>3983</v>
      </c>
      <c r="D890" t="str">
        <f>VLOOKUP(Table3[[#This Row],[Employee No.]],Table1_1[[Employee No.]:[Employee Name]],2,FALSE)</f>
        <v>MOHAMAD HAIKAL BIN SOFIAN</v>
      </c>
      <c r="E890" t="str">
        <f>VLOOKUP(Table3[[#This Row],[Employee No.]],Table1_1[[Employee No.]:[Department]],6,FALSE)</f>
        <v>QUALITY</v>
      </c>
      <c r="F890" t="str">
        <f>VLOOKUP(Table3[[#This Row],[Employee No.]],Table1_1[[Employee No.]:[Gender]],7,FALSE)</f>
        <v>M</v>
      </c>
      <c r="G890" t="str">
        <f>VLOOKUP(Table3[[#This Row],[Employee No.]],Table1_1[[Employee No.]:[Shift]],9,FALSE)</f>
        <v>SHIFT C</v>
      </c>
      <c r="H890" s="25">
        <v>1</v>
      </c>
      <c r="I890" s="25">
        <v>1</v>
      </c>
      <c r="J890" s="25">
        <v>1</v>
      </c>
      <c r="K890" s="25">
        <v>1</v>
      </c>
      <c r="L890" s="25">
        <v>1</v>
      </c>
      <c r="M890" s="25">
        <v>1</v>
      </c>
      <c r="P890" s="25"/>
    </row>
    <row r="891" spans="3:16">
      <c r="C891" s="22" t="s">
        <v>3987</v>
      </c>
      <c r="D891" t="str">
        <f>VLOOKUP(Table3[[#This Row],[Employee No.]],Table1_1[[Employee No.]:[Employee Name]],2,FALSE)</f>
        <v>NUR 'ALYAA' BINTI RAMLI</v>
      </c>
      <c r="E891" t="str">
        <f>VLOOKUP(Table3[[#This Row],[Employee No.]],Table1_1[[Employee No.]:[Department]],6,FALSE)</f>
        <v>QUALITY</v>
      </c>
      <c r="F891" t="str">
        <f>VLOOKUP(Table3[[#This Row],[Employee No.]],Table1_1[[Employee No.]:[Gender]],7,FALSE)</f>
        <v>F</v>
      </c>
      <c r="G891" t="str">
        <f>VLOOKUP(Table3[[#This Row],[Employee No.]],Table1_1[[Employee No.]:[Shift]],9,FALSE)</f>
        <v>SHIFT B</v>
      </c>
      <c r="H891" s="25">
        <v>1</v>
      </c>
      <c r="I891" s="25">
        <v>1</v>
      </c>
      <c r="J891" s="25">
        <v>1</v>
      </c>
      <c r="K891" s="25">
        <v>1</v>
      </c>
      <c r="L891" s="25">
        <v>1</v>
      </c>
      <c r="M891" s="25">
        <v>1</v>
      </c>
    </row>
    <row r="892" spans="3:16">
      <c r="C892" s="22" t="s">
        <v>3991</v>
      </c>
      <c r="D892" t="str">
        <f>VLOOKUP(Table3[[#This Row],[Employee No.]],Table1_1[[Employee No.]:[Employee Name]],2,FALSE)</f>
        <v>CHE FAIZ ISKANDAR BIN ABDUL FATAH</v>
      </c>
      <c r="E892" t="str">
        <f>VLOOKUP(Table3[[#This Row],[Employee No.]],Table1_1[[Employee No.]:[Department]],6,FALSE)</f>
        <v>DESIGN</v>
      </c>
      <c r="F892" t="str">
        <f>VLOOKUP(Table3[[#This Row],[Employee No.]],Table1_1[[Employee No.]:[Gender]],7,FALSE)</f>
        <v>M</v>
      </c>
      <c r="G892" t="str">
        <f>VLOOKUP(Table3[[#This Row],[Employee No.]],Table1_1[[Employee No.]:[Shift]],9,FALSE)</f>
        <v>SHIFT A</v>
      </c>
      <c r="H892" s="25">
        <v>1</v>
      </c>
      <c r="I892" s="25">
        <v>1</v>
      </c>
      <c r="J892" s="25">
        <v>1</v>
      </c>
      <c r="K892" s="25">
        <v>1</v>
      </c>
      <c r="L892" s="25">
        <v>1</v>
      </c>
      <c r="M892" s="25">
        <v>1</v>
      </c>
    </row>
    <row r="893" spans="3:16">
      <c r="C893" s="22" t="s">
        <v>3995</v>
      </c>
      <c r="D893" t="str">
        <f>VLOOKUP(Table3[[#This Row],[Employee No.]],Table1_1[[Employee No.]:[Employee Name]],2,FALSE)</f>
        <v>MUHAMMAD ZULKEFLI BIN MOHAMAD SABRI</v>
      </c>
      <c r="E893" t="str">
        <f>VLOOKUP(Table3[[#This Row],[Employee No.]],Table1_1[[Employee No.]:[Department]],6,FALSE)</f>
        <v>QUALITY</v>
      </c>
      <c r="F893" t="str">
        <f>VLOOKUP(Table3[[#This Row],[Employee No.]],Table1_1[[Employee No.]:[Gender]],7,FALSE)</f>
        <v>M</v>
      </c>
      <c r="G893" t="str">
        <f>VLOOKUP(Table3[[#This Row],[Employee No.]],Table1_1[[Employee No.]:[Shift]],9,FALSE)</f>
        <v>SHIFT A</v>
      </c>
      <c r="H893" s="25">
        <v>0</v>
      </c>
      <c r="I893" s="25">
        <v>1</v>
      </c>
      <c r="J893" s="25">
        <v>1</v>
      </c>
      <c r="K893" s="25">
        <v>1</v>
      </c>
      <c r="L893" s="25">
        <v>1</v>
      </c>
      <c r="M893" s="25">
        <v>1</v>
      </c>
    </row>
    <row r="894" spans="3:16">
      <c r="C894" s="22" t="s">
        <v>3999</v>
      </c>
      <c r="D894" t="str">
        <f>VLOOKUP(Table3[[#This Row],[Employee No.]],Table1_1[[Employee No.]:[Employee Name]],2,FALSE)</f>
        <v>MUHAMMAD FAIZ BIN ROSDI</v>
      </c>
      <c r="E894" t="str">
        <f>VLOOKUP(Table3[[#This Row],[Employee No.]],Table1_1[[Employee No.]:[Department]],6,FALSE)</f>
        <v>DF</v>
      </c>
      <c r="F894" t="str">
        <f>VLOOKUP(Table3[[#This Row],[Employee No.]],Table1_1[[Employee No.]:[Gender]],7,FALSE)</f>
        <v>M</v>
      </c>
      <c r="G894" t="str">
        <f>VLOOKUP(Table3[[#This Row],[Employee No.]],Table1_1[[Employee No.]:[Shift]],9,FALSE)</f>
        <v>SHIFT B</v>
      </c>
      <c r="H894" s="25">
        <v>1</v>
      </c>
      <c r="I894" s="25">
        <v>1</v>
      </c>
      <c r="J894" s="25">
        <v>1</v>
      </c>
      <c r="K894" s="25">
        <v>1</v>
      </c>
      <c r="L894" s="25">
        <v>1</v>
      </c>
      <c r="M894" s="25">
        <v>1</v>
      </c>
    </row>
    <row r="895" spans="3:16">
      <c r="C895" s="22" t="s">
        <v>4003</v>
      </c>
      <c r="D895" t="str">
        <f>VLOOKUP(Table3[[#This Row],[Employee No.]],Table1_1[[Employee No.]:[Employee Name]],2,FALSE)</f>
        <v>FARRAH IZZATI BINTI ABDUL MALEK</v>
      </c>
      <c r="E895" t="str">
        <f>VLOOKUP(Table3[[#This Row],[Employee No.]],Table1_1[[Employee No.]:[Department]],6,FALSE)</f>
        <v>QUALITY</v>
      </c>
      <c r="F895" t="str">
        <f>VLOOKUP(Table3[[#This Row],[Employee No.]],Table1_1[[Employee No.]:[Gender]],7,FALSE)</f>
        <v>F</v>
      </c>
      <c r="G895" t="str">
        <f>VLOOKUP(Table3[[#This Row],[Employee No.]],Table1_1[[Employee No.]:[Shift]],9,FALSE)</f>
        <v>SHIFT A</v>
      </c>
      <c r="H895" s="25">
        <v>1</v>
      </c>
      <c r="I895" s="25">
        <v>1</v>
      </c>
      <c r="J895" s="25">
        <v>1</v>
      </c>
      <c r="K895" s="25">
        <v>1</v>
      </c>
      <c r="L895" s="25">
        <v>1</v>
      </c>
      <c r="M895" s="25">
        <v>0</v>
      </c>
    </row>
    <row r="896" spans="3:16">
      <c r="C896" s="22" t="s">
        <v>4007</v>
      </c>
      <c r="D896" t="str">
        <f>VLOOKUP(Table3[[#This Row],[Employee No.]],Table1_1[[Employee No.]:[Employee Name]],2,FALSE)</f>
        <v>NURDAYANA HADIRAH BINTI HARUN</v>
      </c>
      <c r="E896" t="str">
        <f>VLOOKUP(Table3[[#This Row],[Employee No.]],Table1_1[[Employee No.]:[Department]],6,FALSE)</f>
        <v>BBT</v>
      </c>
      <c r="F896" t="str">
        <f>VLOOKUP(Table3[[#This Row],[Employee No.]],Table1_1[[Employee No.]:[Gender]],7,FALSE)</f>
        <v>F</v>
      </c>
      <c r="G896" t="str">
        <f>VLOOKUP(Table3[[#This Row],[Employee No.]],Table1_1[[Employee No.]:[Shift]],9,FALSE)</f>
        <v>SHIFT A</v>
      </c>
      <c r="H896" s="25">
        <v>1</v>
      </c>
      <c r="I896" s="25">
        <v>1</v>
      </c>
      <c r="J896" s="25">
        <v>1</v>
      </c>
      <c r="K896" s="25">
        <v>1</v>
      </c>
      <c r="L896" s="25">
        <v>1</v>
      </c>
      <c r="M896" s="25">
        <v>1</v>
      </c>
    </row>
    <row r="897" spans="3:16">
      <c r="C897" s="22" t="s">
        <v>4011</v>
      </c>
      <c r="D897" t="str">
        <f>VLOOKUP(Table3[[#This Row],[Employee No.]],Table1_1[[Employee No.]:[Employee Name]],2,FALSE)</f>
        <v>MOHAMAD SUFIAN BIN ARAN</v>
      </c>
      <c r="E897" t="str">
        <f>VLOOKUP(Table3[[#This Row],[Employee No.]],Table1_1[[Employee No.]:[Department]],6,FALSE)</f>
        <v>QUALITY</v>
      </c>
      <c r="F897" t="str">
        <f>VLOOKUP(Table3[[#This Row],[Employee No.]],Table1_1[[Employee No.]:[Gender]],7,FALSE)</f>
        <v>M</v>
      </c>
      <c r="G897" t="str">
        <f>VLOOKUP(Table3[[#This Row],[Employee No.]],Table1_1[[Employee No.]:[Shift]],9,FALSE)</f>
        <v>SHIFT A</v>
      </c>
      <c r="H897" s="25">
        <v>1</v>
      </c>
      <c r="I897" s="25">
        <v>0</v>
      </c>
      <c r="J897" s="25">
        <v>1</v>
      </c>
      <c r="K897" s="25">
        <v>1</v>
      </c>
      <c r="L897" s="25">
        <v>1</v>
      </c>
      <c r="M897" s="25">
        <v>1</v>
      </c>
    </row>
    <row r="898" spans="3:16">
      <c r="C898" s="22" t="s">
        <v>4015</v>
      </c>
      <c r="D898" t="str">
        <f>VLOOKUP(Table3[[#This Row],[Employee No.]],Table1_1[[Employee No.]:[Employee Name]],2,FALSE)</f>
        <v>AQIL YEO BIN ADAM YEO</v>
      </c>
      <c r="E898" t="str">
        <f>VLOOKUP(Table3[[#This Row],[Employee No.]],Table1_1[[Employee No.]:[Department]],6,FALSE)</f>
        <v>CHAMFER</v>
      </c>
      <c r="F898" t="str">
        <f>VLOOKUP(Table3[[#This Row],[Employee No.]],Table1_1[[Employee No.]:[Gender]],7,FALSE)</f>
        <v>M</v>
      </c>
      <c r="G898" t="str">
        <f>VLOOKUP(Table3[[#This Row],[Employee No.]],Table1_1[[Employee No.]:[Shift]],9,FALSE)</f>
        <v>SHIFT B</v>
      </c>
      <c r="H898" s="25">
        <v>1</v>
      </c>
      <c r="I898" s="25">
        <v>1</v>
      </c>
      <c r="J898" s="25">
        <v>1</v>
      </c>
      <c r="K898" s="25">
        <v>1</v>
      </c>
      <c r="L898" s="25">
        <v>1</v>
      </c>
      <c r="M898" s="25">
        <v>1</v>
      </c>
    </row>
    <row r="899" spans="3:16">
      <c r="C899" s="22" t="s">
        <v>4019</v>
      </c>
      <c r="D899" t="str">
        <f>VLOOKUP(Table3[[#This Row],[Employee No.]],Table1_1[[Employee No.]:[Employee Name]],2,FALSE)</f>
        <v>MOHAMAD AMIRUL IBRAHIM</v>
      </c>
      <c r="E899" t="str">
        <f>VLOOKUP(Table3[[#This Row],[Employee No.]],Table1_1[[Employee No.]:[Department]],6,FALSE)</f>
        <v>PRODUCTION CONTROL</v>
      </c>
      <c r="F899" t="str">
        <f>VLOOKUP(Table3[[#This Row],[Employee No.]],Table1_1[[Employee No.]:[Gender]],7,FALSE)</f>
        <v>M</v>
      </c>
      <c r="G899" t="str">
        <f>VLOOKUP(Table3[[#This Row],[Employee No.]],Table1_1[[Employee No.]:[Shift]],9,FALSE)</f>
        <v>SHIFT B</v>
      </c>
      <c r="H899" s="25">
        <v>1</v>
      </c>
      <c r="I899" s="25">
        <v>1</v>
      </c>
      <c r="J899" s="25">
        <v>1</v>
      </c>
      <c r="K899" s="25">
        <v>1</v>
      </c>
      <c r="L899" s="25">
        <v>1</v>
      </c>
      <c r="M899" s="25">
        <v>0</v>
      </c>
    </row>
    <row r="900" spans="3:16">
      <c r="C900" s="22" t="s">
        <v>4023</v>
      </c>
      <c r="D900" t="str">
        <f>VLOOKUP(Table3[[#This Row],[Employee No.]],Table1_1[[Employee No.]:[Employee Name]],2,FALSE)</f>
        <v>MUHAMMAD HASIF BIN MOHD ZIN</v>
      </c>
      <c r="E900" t="str">
        <f>VLOOKUP(Table3[[#This Row],[Employee No.]],Table1_1[[Employee No.]:[Department]],6,FALSE)</f>
        <v>FVI</v>
      </c>
      <c r="F900" t="str">
        <f>VLOOKUP(Table3[[#This Row],[Employee No.]],Table1_1[[Employee No.]:[Gender]],7,FALSE)</f>
        <v>M</v>
      </c>
      <c r="G900" t="str">
        <f>VLOOKUP(Table3[[#This Row],[Employee No.]],Table1_1[[Employee No.]:[Shift]],9,FALSE)</f>
        <v>SHIFT A</v>
      </c>
      <c r="H900" s="25">
        <v>0</v>
      </c>
      <c r="I900" s="25">
        <v>1</v>
      </c>
      <c r="J900" s="25">
        <v>0</v>
      </c>
      <c r="K900" s="25">
        <v>0</v>
      </c>
      <c r="L900" s="25">
        <v>0</v>
      </c>
      <c r="M900" s="25">
        <v>1</v>
      </c>
    </row>
    <row r="901" spans="3:16">
      <c r="C901" s="22" t="s">
        <v>4027</v>
      </c>
      <c r="D901" t="str">
        <f>VLOOKUP(Table3[[#This Row],[Employee No.]],Table1_1[[Employee No.]:[Employee Name]],2,FALSE)</f>
        <v>MOHAMAD SHAHRIL BIN RAHIMI FAISAL</v>
      </c>
      <c r="E901" t="str">
        <f>VLOOKUP(Table3[[#This Row],[Employee No.]],Table1_1[[Employee No.]:[Department]],6,FALSE)</f>
        <v>MLB</v>
      </c>
      <c r="F901" t="str">
        <f>VLOOKUP(Table3[[#This Row],[Employee No.]],Table1_1[[Employee No.]:[Gender]],7,FALSE)</f>
        <v>M</v>
      </c>
      <c r="G901" t="str">
        <f>VLOOKUP(Table3[[#This Row],[Employee No.]],Table1_1[[Employee No.]:[Shift]],9,FALSE)</f>
        <v>SHIFT B</v>
      </c>
      <c r="H901" s="25">
        <v>1</v>
      </c>
      <c r="I901" s="25">
        <v>1</v>
      </c>
      <c r="J901" s="25">
        <v>1</v>
      </c>
      <c r="K901" s="25">
        <v>1</v>
      </c>
      <c r="L901" s="25">
        <v>1</v>
      </c>
      <c r="M901" s="25">
        <v>1</v>
      </c>
    </row>
    <row r="902" spans="3:16">
      <c r="C902" s="22" t="s">
        <v>4031</v>
      </c>
      <c r="D902" t="str">
        <f>VLOOKUP(Table3[[#This Row],[Employee No.]],Table1_1[[Employee No.]:[Employee Name]],2,FALSE)</f>
        <v>NURUL IZZATI BINTI MOHD BAKRI</v>
      </c>
      <c r="E902" t="str">
        <f>VLOOKUP(Table3[[#This Row],[Employee No.]],Table1_1[[Employee No.]:[Department]],6,FALSE)</f>
        <v>QUALITY</v>
      </c>
      <c r="F902" t="str">
        <f>VLOOKUP(Table3[[#This Row],[Employee No.]],Table1_1[[Employee No.]:[Gender]],7,FALSE)</f>
        <v>F</v>
      </c>
      <c r="G902" t="str">
        <f>VLOOKUP(Table3[[#This Row],[Employee No.]],Table1_1[[Employee No.]:[Shift]],9,FALSE)</f>
        <v>SHIFT A</v>
      </c>
      <c r="H902" s="25">
        <v>1</v>
      </c>
      <c r="I902" s="25">
        <v>0</v>
      </c>
      <c r="J902" s="25">
        <v>1</v>
      </c>
      <c r="K902" s="25">
        <v>1</v>
      </c>
      <c r="L902" s="25">
        <v>1</v>
      </c>
      <c r="M902" s="25">
        <v>1</v>
      </c>
    </row>
    <row r="903" spans="3:16">
      <c r="C903" s="22" t="s">
        <v>4035</v>
      </c>
      <c r="D903" t="str">
        <f>VLOOKUP(Table3[[#This Row],[Employee No.]],Table1_1[[Employee No.]:[Employee Name]],2,FALSE)</f>
        <v>NOOR MARIAH BINTI MAT SAAD</v>
      </c>
      <c r="E903" t="str">
        <f>VLOOKUP(Table3[[#This Row],[Employee No.]],Table1_1[[Employee No.]:[Department]],6,FALSE)</f>
        <v>QUALITY</v>
      </c>
      <c r="F903" t="str">
        <f>VLOOKUP(Table3[[#This Row],[Employee No.]],Table1_1[[Employee No.]:[Gender]],7,FALSE)</f>
        <v>F</v>
      </c>
      <c r="G903" t="str">
        <f>VLOOKUP(Table3[[#This Row],[Employee No.]],Table1_1[[Employee No.]:[Shift]],9,FALSE)</f>
        <v>SHIFT C</v>
      </c>
      <c r="H903" s="25">
        <v>1</v>
      </c>
      <c r="I903" s="25">
        <v>1</v>
      </c>
      <c r="J903" s="25">
        <v>1</v>
      </c>
      <c r="K903" s="25">
        <v>1</v>
      </c>
      <c r="L903" s="25">
        <v>1</v>
      </c>
      <c r="M903" s="25">
        <v>1</v>
      </c>
      <c r="P903" s="25"/>
    </row>
    <row r="904" spans="3:16">
      <c r="C904" s="22" t="s">
        <v>4039</v>
      </c>
      <c r="D904" t="str">
        <f>VLOOKUP(Table3[[#This Row],[Employee No.]],Table1_1[[Employee No.]:[Employee Name]],2,FALSE)</f>
        <v>FAKHRUL ADLI BIN HAMDAN SHARUHIL</v>
      </c>
      <c r="E904" t="str">
        <f>VLOOKUP(Table3[[#This Row],[Employee No.]],Table1_1[[Employee No.]:[Department]],6,FALSE)</f>
        <v>QUALITY</v>
      </c>
      <c r="F904" t="str">
        <f>VLOOKUP(Table3[[#This Row],[Employee No.]],Table1_1[[Employee No.]:[Gender]],7,FALSE)</f>
        <v>M</v>
      </c>
      <c r="G904" t="str">
        <f>VLOOKUP(Table3[[#This Row],[Employee No.]],Table1_1[[Employee No.]:[Shift]],9,FALSE)</f>
        <v>SHIFT C</v>
      </c>
      <c r="H904" s="25">
        <v>1</v>
      </c>
      <c r="I904" s="25">
        <v>1</v>
      </c>
      <c r="J904" s="25">
        <v>1</v>
      </c>
      <c r="K904" s="25">
        <v>1</v>
      </c>
      <c r="L904" s="25">
        <v>1</v>
      </c>
      <c r="M904" s="25">
        <v>1</v>
      </c>
      <c r="P904" s="25"/>
    </row>
    <row r="905" spans="3:16">
      <c r="C905" s="22" t="s">
        <v>4043</v>
      </c>
      <c r="D905" t="str">
        <f>VLOOKUP(Table3[[#This Row],[Employee No.]],Table1_1[[Employee No.]:[Employee Name]],2,FALSE)</f>
        <v>MUHAMMAD ZAHIRUL MIFZAL BIN MOHD NOOR AZMAN</v>
      </c>
      <c r="E905" t="str">
        <f>VLOOKUP(Table3[[#This Row],[Employee No.]],Table1_1[[Employee No.]:[Department]],6,FALSE)</f>
        <v>AOI</v>
      </c>
      <c r="F905" t="str">
        <f>VLOOKUP(Table3[[#This Row],[Employee No.]],Table1_1[[Employee No.]:[Gender]],7,FALSE)</f>
        <v>M</v>
      </c>
      <c r="G905" t="str">
        <f>VLOOKUP(Table3[[#This Row],[Employee No.]],Table1_1[[Employee No.]:[Shift]],9,FALSE)</f>
        <v>SHIFT A</v>
      </c>
      <c r="H905" s="25">
        <v>0</v>
      </c>
      <c r="I905" s="25">
        <v>1</v>
      </c>
      <c r="J905" s="25">
        <v>1</v>
      </c>
      <c r="K905" s="25">
        <v>0</v>
      </c>
      <c r="L905" s="25">
        <v>1</v>
      </c>
      <c r="M905" s="25">
        <v>1</v>
      </c>
    </row>
    <row r="906" spans="3:16">
      <c r="C906" s="22" t="s">
        <v>4047</v>
      </c>
      <c r="D906" t="str">
        <f>VLOOKUP(Table3[[#This Row],[Employee No.]],Table1_1[[Employee No.]:[Employee Name]],2,FALSE)</f>
        <v>MUHAMAD TAJUDIN BIN ZONASKI</v>
      </c>
      <c r="E906" t="str">
        <f>VLOOKUP(Table3[[#This Row],[Employee No.]],Table1_1[[Employee No.]:[Department]],6,FALSE)</f>
        <v>FVI</v>
      </c>
      <c r="F906" t="str">
        <f>VLOOKUP(Table3[[#This Row],[Employee No.]],Table1_1[[Employee No.]:[Gender]],7,FALSE)</f>
        <v>M</v>
      </c>
      <c r="G906" t="str">
        <f>VLOOKUP(Table3[[#This Row],[Employee No.]],Table1_1[[Employee No.]:[Shift]],9,FALSE)</f>
        <v>SHIFT B</v>
      </c>
      <c r="H906" s="25">
        <v>1</v>
      </c>
      <c r="I906" s="25">
        <v>1</v>
      </c>
      <c r="J906" s="25">
        <v>1</v>
      </c>
      <c r="K906" s="25">
        <v>1</v>
      </c>
      <c r="L906" s="25">
        <v>1</v>
      </c>
      <c r="M906" s="25">
        <v>1</v>
      </c>
    </row>
    <row r="907" spans="3:16">
      <c r="C907" s="22" t="s">
        <v>4051</v>
      </c>
      <c r="D907" t="str">
        <f>VLOOKUP(Table3[[#This Row],[Employee No.]],Table1_1[[Employee No.]:[Employee Name]],2,FALSE)</f>
        <v>MUHAMMAD KHALID BIN SABUDDIN</v>
      </c>
      <c r="E907" t="str">
        <f>VLOOKUP(Table3[[#This Row],[Employee No.]],Table1_1[[Employee No.]:[Department]],6,FALSE)</f>
        <v>BBT</v>
      </c>
      <c r="F907" t="str">
        <f>VLOOKUP(Table3[[#This Row],[Employee No.]],Table1_1[[Employee No.]:[Gender]],7,FALSE)</f>
        <v>M</v>
      </c>
      <c r="G907" t="str">
        <f>VLOOKUP(Table3[[#This Row],[Employee No.]],Table1_1[[Employee No.]:[Shift]],9,FALSE)</f>
        <v>SHIFT B</v>
      </c>
      <c r="H907" s="25">
        <v>1</v>
      </c>
      <c r="I907" s="25">
        <v>1</v>
      </c>
      <c r="J907" s="25">
        <v>1</v>
      </c>
      <c r="K907" s="25">
        <v>1</v>
      </c>
      <c r="L907" s="25">
        <v>1</v>
      </c>
      <c r="M907" s="25">
        <v>1</v>
      </c>
    </row>
    <row r="908" spans="3:16">
      <c r="C908" s="22" t="s">
        <v>4055</v>
      </c>
      <c r="D908" t="str">
        <f>VLOOKUP(Table3[[#This Row],[Employee No.]],Table1_1[[Employee No.]:[Employee Name]],2,FALSE)</f>
        <v>MOHAMAD FIRDAUS BIN SAMSUDDIN</v>
      </c>
      <c r="E908" t="str">
        <f>VLOOKUP(Table3[[#This Row],[Employee No.]],Table1_1[[Employee No.]:[Department]],6,FALSE)</f>
        <v>PACKING</v>
      </c>
      <c r="F908" t="str">
        <f>VLOOKUP(Table3[[#This Row],[Employee No.]],Table1_1[[Employee No.]:[Gender]],7,FALSE)</f>
        <v>M</v>
      </c>
      <c r="G908" t="str">
        <f>VLOOKUP(Table3[[#This Row],[Employee No.]],Table1_1[[Employee No.]:[Shift]],9,FALSE)</f>
        <v>SHIFT C</v>
      </c>
      <c r="H908" s="25">
        <v>1</v>
      </c>
      <c r="I908" s="25">
        <v>1</v>
      </c>
      <c r="J908" s="25">
        <v>1</v>
      </c>
      <c r="K908" s="25">
        <v>1</v>
      </c>
      <c r="L908" s="25">
        <v>1</v>
      </c>
      <c r="M908" s="25">
        <v>1</v>
      </c>
      <c r="P908" s="25"/>
    </row>
    <row r="909" spans="3:16">
      <c r="C909" s="22" t="s">
        <v>4059</v>
      </c>
      <c r="D909" t="str">
        <f>VLOOKUP(Table3[[#This Row],[Employee No.]],Table1_1[[Employee No.]:[Employee Name]],2,FALSE)</f>
        <v>NOR HAFIZAH BINTI CHE MAMAT</v>
      </c>
      <c r="E909" t="str">
        <f>VLOOKUP(Table3[[#This Row],[Employee No.]],Table1_1[[Employee No.]:[Department]],6,FALSE)</f>
        <v>QUALITY</v>
      </c>
      <c r="F909" t="str">
        <f>VLOOKUP(Table3[[#This Row],[Employee No.]],Table1_1[[Employee No.]:[Gender]],7,FALSE)</f>
        <v>F</v>
      </c>
      <c r="G909" t="str">
        <f>VLOOKUP(Table3[[#This Row],[Employee No.]],Table1_1[[Employee No.]:[Shift]],9,FALSE)</f>
        <v>SHIFT A</v>
      </c>
      <c r="H909" s="25">
        <v>0</v>
      </c>
      <c r="I909" s="25">
        <v>0</v>
      </c>
      <c r="J909" s="25">
        <v>0</v>
      </c>
      <c r="K909" s="25">
        <v>0</v>
      </c>
      <c r="L909" s="25">
        <v>0</v>
      </c>
      <c r="M909" s="25">
        <v>1</v>
      </c>
    </row>
    <row r="910" spans="3:16">
      <c r="C910" s="22" t="s">
        <v>4063</v>
      </c>
      <c r="D910" t="str">
        <f>VLOOKUP(Table3[[#This Row],[Employee No.]],Table1_1[[Employee No.]:[Employee Name]],2,FALSE)</f>
        <v>NUR ZULAIKHA BINTI NAZELIZAN</v>
      </c>
      <c r="E910" t="str">
        <f>VLOOKUP(Table3[[#This Row],[Employee No.]],Table1_1[[Employee No.]:[Department]],6,FALSE)</f>
        <v>BBT</v>
      </c>
      <c r="F910" t="str">
        <f>VLOOKUP(Table3[[#This Row],[Employee No.]],Table1_1[[Employee No.]:[Gender]],7,FALSE)</f>
        <v>F</v>
      </c>
      <c r="G910" t="str">
        <f>VLOOKUP(Table3[[#This Row],[Employee No.]],Table1_1[[Employee No.]:[Shift]],9,FALSE)</f>
        <v>SHIFT C</v>
      </c>
      <c r="H910" s="25">
        <v>1</v>
      </c>
      <c r="I910" s="25">
        <v>1</v>
      </c>
      <c r="J910" s="25">
        <v>0</v>
      </c>
      <c r="K910" s="25">
        <v>1</v>
      </c>
      <c r="L910" s="25">
        <v>1</v>
      </c>
      <c r="M910" s="25">
        <v>1</v>
      </c>
      <c r="P910" s="25"/>
    </row>
    <row r="911" spans="3:16">
      <c r="C911" s="22" t="s">
        <v>4067</v>
      </c>
      <c r="D911" t="str">
        <f>VLOOKUP(Table3[[#This Row],[Employee No.]],Table1_1[[Employee No.]:[Employee Name]],2,FALSE)</f>
        <v>NUR ZAYANAH BINTI ROSLI</v>
      </c>
      <c r="E911" t="str">
        <f>VLOOKUP(Table3[[#This Row],[Employee No.]],Table1_1[[Employee No.]:[Department]],6,FALSE)</f>
        <v>BBT</v>
      </c>
      <c r="F911" t="str">
        <f>VLOOKUP(Table3[[#This Row],[Employee No.]],Table1_1[[Employee No.]:[Gender]],7,FALSE)</f>
        <v>F</v>
      </c>
      <c r="G911" t="str">
        <f>VLOOKUP(Table3[[#This Row],[Employee No.]],Table1_1[[Employee No.]:[Shift]],9,FALSE)</f>
        <v>SHIFT B</v>
      </c>
      <c r="H911" s="25">
        <v>1</v>
      </c>
      <c r="I911" s="25">
        <v>1</v>
      </c>
      <c r="J911" s="25">
        <v>1</v>
      </c>
      <c r="K911" s="25">
        <v>1</v>
      </c>
      <c r="L911" s="25">
        <v>1</v>
      </c>
      <c r="M911" s="25">
        <v>1</v>
      </c>
    </row>
    <row r="912" spans="3:16">
      <c r="C912" s="22" t="s">
        <v>4071</v>
      </c>
      <c r="D912" t="str">
        <f>VLOOKUP(Table3[[#This Row],[Employee No.]],Table1_1[[Employee No.]:[Employee Name]],2,FALSE)</f>
        <v>MUHAMMAD IKMAL BIN JAMIL</v>
      </c>
      <c r="E912" t="str">
        <f>VLOOKUP(Table3[[#This Row],[Employee No.]],Table1_1[[Employee No.]:[Department]],6,FALSE)</f>
        <v>AOI</v>
      </c>
      <c r="F912" t="str">
        <f>VLOOKUP(Table3[[#This Row],[Employee No.]],Table1_1[[Employee No.]:[Gender]],7,FALSE)</f>
        <v>M</v>
      </c>
      <c r="G912" t="str">
        <f>VLOOKUP(Table3[[#This Row],[Employee No.]],Table1_1[[Employee No.]:[Shift]],9,FALSE)</f>
        <v>SHIFT E</v>
      </c>
      <c r="H912" s="25">
        <v>0</v>
      </c>
      <c r="I912" s="25">
        <v>0</v>
      </c>
      <c r="J912" s="25">
        <v>0</v>
      </c>
      <c r="K912" s="25">
        <v>0</v>
      </c>
      <c r="L912" s="25">
        <v>0</v>
      </c>
      <c r="M912" s="25">
        <v>1</v>
      </c>
    </row>
    <row r="913" spans="3:16">
      <c r="C913" s="22" t="s">
        <v>4075</v>
      </c>
      <c r="D913" t="str">
        <f>VLOOKUP(Table3[[#This Row],[Employee No.]],Table1_1[[Employee No.]:[Employee Name]],2,FALSE)</f>
        <v>MUHAMAD NUR ZAIM BIN ISMAWI</v>
      </c>
      <c r="E913" t="str">
        <f>VLOOKUP(Table3[[#This Row],[Employee No.]],Table1_1[[Employee No.]:[Department]],6,FALSE)</f>
        <v>QUALITY</v>
      </c>
      <c r="F913" t="str">
        <f>VLOOKUP(Table3[[#This Row],[Employee No.]],Table1_1[[Employee No.]:[Gender]],7,FALSE)</f>
        <v>M</v>
      </c>
      <c r="G913" t="str">
        <f>VLOOKUP(Table3[[#This Row],[Employee No.]],Table1_1[[Employee No.]:[Shift]],9,FALSE)</f>
        <v>SHIFT B</v>
      </c>
      <c r="H913" s="25">
        <v>1</v>
      </c>
      <c r="I913" s="25">
        <v>1</v>
      </c>
      <c r="J913" s="25">
        <v>1</v>
      </c>
      <c r="K913" s="25">
        <v>1</v>
      </c>
      <c r="L913" s="25">
        <v>1</v>
      </c>
      <c r="M913" s="25">
        <v>1</v>
      </c>
    </row>
    <row r="914" spans="3:16">
      <c r="C914" s="22" t="s">
        <v>4079</v>
      </c>
      <c r="D914" t="str">
        <f>VLOOKUP(Table3[[#This Row],[Employee No.]],Table1_1[[Employee No.]:[Employee Name]],2,FALSE)</f>
        <v>MOHAMAD ALIF HAIKAL BIN OTHMAN</v>
      </c>
      <c r="E914" t="str">
        <f>VLOOKUP(Table3[[#This Row],[Employee No.]],Table1_1[[Employee No.]:[Department]],6,FALSE)</f>
        <v>QUALITY</v>
      </c>
      <c r="F914" t="str">
        <f>VLOOKUP(Table3[[#This Row],[Employee No.]],Table1_1[[Employee No.]:[Gender]],7,FALSE)</f>
        <v>M</v>
      </c>
      <c r="G914" t="str">
        <f>VLOOKUP(Table3[[#This Row],[Employee No.]],Table1_1[[Employee No.]:[Shift]],9,FALSE)</f>
        <v>SHIFT B</v>
      </c>
      <c r="H914" s="25">
        <v>1</v>
      </c>
      <c r="I914" s="25">
        <v>1</v>
      </c>
      <c r="J914" s="25">
        <v>1</v>
      </c>
      <c r="K914" s="25">
        <v>1</v>
      </c>
      <c r="L914" s="25">
        <v>1</v>
      </c>
      <c r="M914" s="25">
        <v>1</v>
      </c>
    </row>
    <row r="915" spans="3:16">
      <c r="C915" s="22" t="s">
        <v>4083</v>
      </c>
      <c r="D915" t="str">
        <f>VLOOKUP(Table3[[#This Row],[Employee No.]],Table1_1[[Employee No.]:[Employee Name]],2,FALSE)</f>
        <v>MUHAMAD AMIRUL HAFIZ BIN SAMSURI</v>
      </c>
      <c r="E915" t="str">
        <f>VLOOKUP(Table3[[#This Row],[Employee No.]],Table1_1[[Employee No.]:[Department]],6,FALSE)</f>
        <v>BBT</v>
      </c>
      <c r="F915" t="str">
        <f>VLOOKUP(Table3[[#This Row],[Employee No.]],Table1_1[[Employee No.]:[Gender]],7,FALSE)</f>
        <v>M</v>
      </c>
      <c r="G915" t="str">
        <f>VLOOKUP(Table3[[#This Row],[Employee No.]],Table1_1[[Employee No.]:[Shift]],9,FALSE)</f>
        <v>SHIFT B</v>
      </c>
      <c r="H915" s="25">
        <v>1</v>
      </c>
      <c r="I915" s="25">
        <v>1</v>
      </c>
      <c r="J915" s="25">
        <v>1</v>
      </c>
      <c r="K915" s="25">
        <v>1</v>
      </c>
      <c r="L915" s="25">
        <v>1</v>
      </c>
      <c r="M915" s="25">
        <v>1</v>
      </c>
    </row>
    <row r="916" spans="3:16">
      <c r="C916" s="22" t="s">
        <v>4087</v>
      </c>
      <c r="D916" t="str">
        <f>VLOOKUP(Table3[[#This Row],[Employee No.]],Table1_1[[Employee No.]:[Employee Name]],2,FALSE)</f>
        <v>MUHAMMAD KHAIRUNNAIM BIN AZHAR</v>
      </c>
      <c r="E916" t="str">
        <f>VLOOKUP(Table3[[#This Row],[Employee No.]],Table1_1[[Employee No.]:[Department]],6,FALSE)</f>
        <v>DF</v>
      </c>
      <c r="F916" t="str">
        <f>VLOOKUP(Table3[[#This Row],[Employee No.]],Table1_1[[Employee No.]:[Gender]],7,FALSE)</f>
        <v>M</v>
      </c>
      <c r="G916" t="str">
        <f>VLOOKUP(Table3[[#This Row],[Employee No.]],Table1_1[[Employee No.]:[Shift]],9,FALSE)</f>
        <v>SHIFT A</v>
      </c>
      <c r="H916" s="25">
        <v>0</v>
      </c>
      <c r="I916" s="25">
        <v>0</v>
      </c>
      <c r="J916" s="25">
        <v>1</v>
      </c>
      <c r="K916" s="25">
        <v>0</v>
      </c>
      <c r="L916" s="25">
        <v>1</v>
      </c>
      <c r="M916" s="25">
        <v>1</v>
      </c>
    </row>
    <row r="917" spans="3:16">
      <c r="C917" s="22" t="s">
        <v>4091</v>
      </c>
      <c r="D917" t="str">
        <f>VLOOKUP(Table3[[#This Row],[Employee No.]],Table1_1[[Employee No.]:[Employee Name]],2,FALSE)</f>
        <v>MUHAMMAD ALIFF SUFIAN BIN SHAHRUL NIZAM</v>
      </c>
      <c r="E917" t="str">
        <f>VLOOKUP(Table3[[#This Row],[Employee No.]],Table1_1[[Employee No.]:[Department]],6,FALSE)</f>
        <v>QUALITY</v>
      </c>
      <c r="F917" t="str">
        <f>VLOOKUP(Table3[[#This Row],[Employee No.]],Table1_1[[Employee No.]:[Gender]],7,FALSE)</f>
        <v>M</v>
      </c>
      <c r="G917" t="str">
        <f>VLOOKUP(Table3[[#This Row],[Employee No.]],Table1_1[[Employee No.]:[Shift]],9,FALSE)</f>
        <v>SHIFT C</v>
      </c>
      <c r="H917" s="25">
        <v>1</v>
      </c>
      <c r="I917" s="25">
        <v>1</v>
      </c>
      <c r="J917" s="25">
        <v>1</v>
      </c>
      <c r="K917" s="25">
        <v>1</v>
      </c>
      <c r="L917" s="25">
        <v>1</v>
      </c>
      <c r="M917" s="25">
        <v>1</v>
      </c>
      <c r="P917" s="25"/>
    </row>
    <row r="918" spans="3:16">
      <c r="C918" s="22" t="s">
        <v>4095</v>
      </c>
      <c r="D918" t="str">
        <f>VLOOKUP(Table3[[#This Row],[Employee No.]],Table1_1[[Employee No.]:[Employee Name]],2,FALSE)</f>
        <v>MUHAMMAD FAWWAZ BIN SALEH</v>
      </c>
      <c r="E918" t="str">
        <f>VLOOKUP(Table3[[#This Row],[Employee No.]],Table1_1[[Employee No.]:[Department]],6,FALSE)</f>
        <v>ROUTER</v>
      </c>
      <c r="F918" t="str">
        <f>VLOOKUP(Table3[[#This Row],[Employee No.]],Table1_1[[Employee No.]:[Gender]],7,FALSE)</f>
        <v>M</v>
      </c>
      <c r="G918" t="str">
        <f>VLOOKUP(Table3[[#This Row],[Employee No.]],Table1_1[[Employee No.]:[Shift]],9,FALSE)</f>
        <v>SHIFT A</v>
      </c>
      <c r="H918" s="25">
        <v>1</v>
      </c>
      <c r="I918" s="25">
        <v>1</v>
      </c>
      <c r="J918" s="25">
        <v>1</v>
      </c>
      <c r="K918" s="25">
        <v>0</v>
      </c>
      <c r="L918" s="25">
        <v>1</v>
      </c>
      <c r="M918" s="25">
        <v>1</v>
      </c>
    </row>
    <row r="919" spans="3:16">
      <c r="C919" s="22" t="s">
        <v>4099</v>
      </c>
      <c r="D919" t="str">
        <f>VLOOKUP(Table3[[#This Row],[Employee No.]],Table1_1[[Employee No.]:[Employee Name]],2,FALSE)</f>
        <v>MUHAMMAD YUNUS BIN ZAHARIN</v>
      </c>
      <c r="E919" t="str">
        <f>VLOOKUP(Table3[[#This Row],[Employee No.]],Table1_1[[Employee No.]:[Department]],6,FALSE)</f>
        <v>QUALITY</v>
      </c>
      <c r="F919" t="str">
        <f>VLOOKUP(Table3[[#This Row],[Employee No.]],Table1_1[[Employee No.]:[Gender]],7,FALSE)</f>
        <v>M</v>
      </c>
      <c r="G919" t="str">
        <f>VLOOKUP(Table3[[#This Row],[Employee No.]],Table1_1[[Employee No.]:[Shift]],9,FALSE)</f>
        <v>SHIFT C</v>
      </c>
      <c r="H919" s="25">
        <v>1</v>
      </c>
      <c r="I919" s="25">
        <v>1</v>
      </c>
      <c r="J919" s="25">
        <v>1</v>
      </c>
      <c r="K919" s="25">
        <v>1</v>
      </c>
      <c r="L919" s="25">
        <v>1</v>
      </c>
      <c r="M919" s="25">
        <v>1</v>
      </c>
      <c r="P919" s="25"/>
    </row>
    <row r="920" spans="3:16">
      <c r="C920" s="22" t="s">
        <v>4103</v>
      </c>
      <c r="D920" t="str">
        <f>VLOOKUP(Table3[[#This Row],[Employee No.]],Table1_1[[Employee No.]:[Employee Name]],2,FALSE)</f>
        <v>NUR SHAZREEN BINTI BADEROL HISAM</v>
      </c>
      <c r="E920" t="str">
        <f>VLOOKUP(Table3[[#This Row],[Employee No.]],Table1_1[[Employee No.]:[Department]],6,FALSE)</f>
        <v>CHAMFER</v>
      </c>
      <c r="F920" t="str">
        <f>VLOOKUP(Table3[[#This Row],[Employee No.]],Table1_1[[Employee No.]:[Gender]],7,FALSE)</f>
        <v>F</v>
      </c>
      <c r="G920" t="str">
        <f>VLOOKUP(Table3[[#This Row],[Employee No.]],Table1_1[[Employee No.]:[Shift]],9,FALSE)</f>
        <v>SHIFT A</v>
      </c>
      <c r="H920" s="25">
        <v>1</v>
      </c>
      <c r="I920" s="25">
        <v>1</v>
      </c>
      <c r="J920" s="25">
        <v>1</v>
      </c>
      <c r="K920" s="25">
        <v>0</v>
      </c>
      <c r="L920" s="25">
        <v>1</v>
      </c>
      <c r="M920" s="25">
        <v>1</v>
      </c>
    </row>
    <row r="921" spans="3:16">
      <c r="C921" s="22" t="s">
        <v>4107</v>
      </c>
      <c r="D921" t="str">
        <f>VLOOKUP(Table3[[#This Row],[Employee No.]],Table1_1[[Employee No.]:[Employee Name]],2,FALSE)</f>
        <v>FATIN SHARMIMI BINTI HASSAN MUHAMAD</v>
      </c>
      <c r="E921" t="str">
        <f>VLOOKUP(Table3[[#This Row],[Employee No.]],Table1_1[[Employee No.]:[Department]],6,FALSE)</f>
        <v>DESIGN</v>
      </c>
      <c r="F921" t="str">
        <f>VLOOKUP(Table3[[#This Row],[Employee No.]],Table1_1[[Employee No.]:[Gender]],7,FALSE)</f>
        <v>F</v>
      </c>
      <c r="G921" t="str">
        <f>VLOOKUP(Table3[[#This Row],[Employee No.]],Table1_1[[Employee No.]:[Shift]],9,FALSE)</f>
        <v>SHIFT A</v>
      </c>
      <c r="H921" s="25">
        <v>1</v>
      </c>
      <c r="I921" s="25">
        <v>1</v>
      </c>
      <c r="J921" s="25">
        <v>1</v>
      </c>
      <c r="K921" s="25">
        <v>0</v>
      </c>
      <c r="L921" s="25">
        <v>1</v>
      </c>
      <c r="M921" s="25">
        <v>1</v>
      </c>
    </row>
    <row r="922" spans="3:16">
      <c r="C922" s="22" t="s">
        <v>4111</v>
      </c>
      <c r="D922" t="str">
        <f>VLOOKUP(Table3[[#This Row],[Employee No.]],Table1_1[[Employee No.]:[Employee Name]],2,FALSE)</f>
        <v>IZAMILA BINTI IBRAHIM</v>
      </c>
      <c r="E922" t="str">
        <f>VLOOKUP(Table3[[#This Row],[Employee No.]],Table1_1[[Employee No.]:[Department]],6,FALSE)</f>
        <v>DESIGN</v>
      </c>
      <c r="F922" t="str">
        <f>VLOOKUP(Table3[[#This Row],[Employee No.]],Table1_1[[Employee No.]:[Gender]],7,FALSE)</f>
        <v>F</v>
      </c>
      <c r="G922" t="str">
        <f>VLOOKUP(Table3[[#This Row],[Employee No.]],Table1_1[[Employee No.]:[Shift]],9,FALSE)</f>
        <v>SHIFT B</v>
      </c>
      <c r="H922" s="25">
        <v>1</v>
      </c>
      <c r="I922" s="25">
        <v>1</v>
      </c>
      <c r="J922" s="25">
        <v>1</v>
      </c>
      <c r="K922" s="25">
        <v>1</v>
      </c>
      <c r="L922" s="25">
        <v>1</v>
      </c>
      <c r="M922" s="25">
        <v>1</v>
      </c>
    </row>
    <row r="923" spans="3:16">
      <c r="C923" s="22" t="s">
        <v>4115</v>
      </c>
      <c r="D923" t="str">
        <f>VLOOKUP(Table3[[#This Row],[Employee No.]],Table1_1[[Employee No.]:[Employee Name]],2,FALSE)</f>
        <v>MOHD HASRUL IZZUAN BIN ISMAIL</v>
      </c>
      <c r="E923" t="str">
        <f>VLOOKUP(Table3[[#This Row],[Employee No.]],Table1_1[[Employee No.]:[Department]],6,FALSE)</f>
        <v>QUALITY</v>
      </c>
      <c r="F923" t="str">
        <f>VLOOKUP(Table3[[#This Row],[Employee No.]],Table1_1[[Employee No.]:[Gender]],7,FALSE)</f>
        <v>M</v>
      </c>
      <c r="G923" t="str">
        <f>VLOOKUP(Table3[[#This Row],[Employee No.]],Table1_1[[Employee No.]:[Shift]],9,FALSE)</f>
        <v>SHIFT A</v>
      </c>
      <c r="H923" s="25">
        <v>0</v>
      </c>
      <c r="I923" s="25">
        <v>0</v>
      </c>
      <c r="J923" s="25">
        <v>0</v>
      </c>
      <c r="K923" s="25">
        <v>0</v>
      </c>
      <c r="L923" s="25">
        <v>0</v>
      </c>
      <c r="M923" s="25">
        <v>1</v>
      </c>
    </row>
    <row r="924" spans="3:16">
      <c r="C924" s="22" t="s">
        <v>4119</v>
      </c>
      <c r="D924" t="str">
        <f>VLOOKUP(Table3[[#This Row],[Employee No.]],Table1_1[[Employee No.]:[Employee Name]],2,FALSE)</f>
        <v>MOHD AZWAN BIN MOHD DIN</v>
      </c>
      <c r="E924" t="str">
        <f>VLOOKUP(Table3[[#This Row],[Employee No.]],Table1_1[[Employee No.]:[Department]],6,FALSE)</f>
        <v>AU</v>
      </c>
      <c r="F924" t="str">
        <f>VLOOKUP(Table3[[#This Row],[Employee No.]],Table1_1[[Employee No.]:[Gender]],7,FALSE)</f>
        <v>M</v>
      </c>
      <c r="G924" t="str">
        <f>VLOOKUP(Table3[[#This Row],[Employee No.]],Table1_1[[Employee No.]:[Shift]],9,FALSE)</f>
        <v>SHIFT E</v>
      </c>
      <c r="H924" s="25">
        <v>0</v>
      </c>
      <c r="I924" s="25">
        <v>0</v>
      </c>
      <c r="J924" s="25">
        <v>0</v>
      </c>
      <c r="K924" s="25">
        <v>0</v>
      </c>
      <c r="L924" s="25">
        <v>0</v>
      </c>
      <c r="M924" s="25">
        <v>0</v>
      </c>
    </row>
    <row r="925" spans="3:16">
      <c r="C925" s="22" t="s">
        <v>4123</v>
      </c>
      <c r="D925" t="str">
        <f>VLOOKUP(Table3[[#This Row],[Employee No.]],Table1_1[[Employee No.]:[Employee Name]],2,FALSE)</f>
        <v>NORFAZLIANA BINTI ABDULLAH</v>
      </c>
      <c r="E925" t="str">
        <f>VLOOKUP(Table3[[#This Row],[Employee No.]],Table1_1[[Employee No.]:[Department]],6,FALSE)</f>
        <v>QUALITY</v>
      </c>
      <c r="F925" t="str">
        <f>VLOOKUP(Table3[[#This Row],[Employee No.]],Table1_1[[Employee No.]:[Gender]],7,FALSE)</f>
        <v>F</v>
      </c>
      <c r="G925" t="str">
        <f>VLOOKUP(Table3[[#This Row],[Employee No.]],Table1_1[[Employee No.]:[Shift]],9,FALSE)</f>
        <v>SHIFT A</v>
      </c>
      <c r="H925" s="25">
        <v>0</v>
      </c>
      <c r="I925" s="25">
        <v>0</v>
      </c>
      <c r="J925" s="25">
        <v>0</v>
      </c>
      <c r="K925" s="25">
        <v>0</v>
      </c>
      <c r="L925" s="25">
        <v>0</v>
      </c>
      <c r="M925" s="25">
        <v>1</v>
      </c>
    </row>
    <row r="926" spans="3:16">
      <c r="C926" s="22" t="s">
        <v>4127</v>
      </c>
      <c r="D926" t="str">
        <f>VLOOKUP(Table3[[#This Row],[Employee No.]],Table1_1[[Employee No.]:[Employee Name]],2,FALSE)</f>
        <v>NOORSYFINA BINTI JOHARI</v>
      </c>
      <c r="E926" t="str">
        <f>VLOOKUP(Table3[[#This Row],[Employee No.]],Table1_1[[Employee No.]:[Department]],6,FALSE)</f>
        <v>FVI</v>
      </c>
      <c r="F926" t="str">
        <f>VLOOKUP(Table3[[#This Row],[Employee No.]],Table1_1[[Employee No.]:[Gender]],7,FALSE)</f>
        <v>F</v>
      </c>
      <c r="G926" t="str">
        <f>VLOOKUP(Table3[[#This Row],[Employee No.]],Table1_1[[Employee No.]:[Shift]],9,FALSE)</f>
        <v>SHIFT B</v>
      </c>
      <c r="H926" s="25">
        <v>1</v>
      </c>
      <c r="I926" s="25">
        <v>1</v>
      </c>
      <c r="J926" s="25">
        <v>1</v>
      </c>
      <c r="K926" s="25">
        <v>1</v>
      </c>
      <c r="L926" s="25">
        <v>1</v>
      </c>
      <c r="M926" s="25">
        <v>1</v>
      </c>
    </row>
    <row r="927" spans="3:16">
      <c r="C927" s="22" t="s">
        <v>4131</v>
      </c>
      <c r="D927" t="str">
        <f>VLOOKUP(Table3[[#This Row],[Employee No.]],Table1_1[[Employee No.]:[Employee Name]],2,FALSE)</f>
        <v>MUHAMMAD SYAFIQ BIN SADIAN @ SAIDIN</v>
      </c>
      <c r="E927" t="str">
        <f>VLOOKUP(Table3[[#This Row],[Employee No.]],Table1_1[[Employee No.]:[Department]],6,FALSE)</f>
        <v>DESIGN</v>
      </c>
      <c r="F927" t="str">
        <f>VLOOKUP(Table3[[#This Row],[Employee No.]],Table1_1[[Employee No.]:[Gender]],7,FALSE)</f>
        <v>M</v>
      </c>
      <c r="G927" t="str">
        <f>VLOOKUP(Table3[[#This Row],[Employee No.]],Table1_1[[Employee No.]:[Shift]],9,FALSE)</f>
        <v>SHIFT B</v>
      </c>
      <c r="H927" s="25">
        <v>1</v>
      </c>
      <c r="I927" s="25">
        <v>1</v>
      </c>
      <c r="J927" s="25">
        <v>1</v>
      </c>
      <c r="K927" s="25">
        <v>1</v>
      </c>
      <c r="L927" s="25">
        <v>1</v>
      </c>
      <c r="M927" s="25">
        <v>0</v>
      </c>
    </row>
    <row r="928" spans="3:16">
      <c r="C928" s="22" t="s">
        <v>4135</v>
      </c>
      <c r="D928" t="str">
        <f>VLOOKUP(Table3[[#This Row],[Employee No.]],Table1_1[[Employee No.]:[Employee Name]],2,FALSE)</f>
        <v>NURUL AZWANIE BINTI ZAMBERI</v>
      </c>
      <c r="E928" t="str">
        <f>VLOOKUP(Table3[[#This Row],[Employee No.]],Table1_1[[Employee No.]:[Department]],6,FALSE)</f>
        <v>FVI</v>
      </c>
      <c r="F928" t="str">
        <f>VLOOKUP(Table3[[#This Row],[Employee No.]],Table1_1[[Employee No.]:[Gender]],7,FALSE)</f>
        <v>F</v>
      </c>
      <c r="G928" t="str">
        <f>VLOOKUP(Table3[[#This Row],[Employee No.]],Table1_1[[Employee No.]:[Shift]],9,FALSE)</f>
        <v>SHIFT A</v>
      </c>
      <c r="H928" s="25">
        <v>0</v>
      </c>
      <c r="I928" s="25">
        <v>0</v>
      </c>
      <c r="J928" s="25">
        <v>0</v>
      </c>
      <c r="K928" s="25">
        <v>0</v>
      </c>
      <c r="L928" s="25">
        <v>0</v>
      </c>
      <c r="M928" s="25">
        <v>1</v>
      </c>
    </row>
    <row r="929" spans="3:16">
      <c r="C929" s="22" t="s">
        <v>4139</v>
      </c>
      <c r="D929" t="str">
        <f>VLOOKUP(Table3[[#This Row],[Employee No.]],Table1_1[[Employee No.]:[Employee Name]],2,FALSE)</f>
        <v>SALMY SAZNIRA BINTI ABDUL RAHIM</v>
      </c>
      <c r="E929" t="str">
        <f>VLOOKUP(Table3[[#This Row],[Employee No.]],Table1_1[[Employee No.]:[Department]],6,FALSE)</f>
        <v>FVI</v>
      </c>
      <c r="F929" t="str">
        <f>VLOOKUP(Table3[[#This Row],[Employee No.]],Table1_1[[Employee No.]:[Gender]],7,FALSE)</f>
        <v>F</v>
      </c>
      <c r="G929" t="str">
        <f>VLOOKUP(Table3[[#This Row],[Employee No.]],Table1_1[[Employee No.]:[Shift]],9,FALSE)</f>
        <v>SHIFT B</v>
      </c>
      <c r="H929" s="25">
        <v>1</v>
      </c>
      <c r="I929" s="25">
        <v>1</v>
      </c>
      <c r="J929" s="25">
        <v>1</v>
      </c>
      <c r="K929" s="25">
        <v>1</v>
      </c>
      <c r="L929" s="25">
        <v>1</v>
      </c>
      <c r="M929" s="25">
        <v>1</v>
      </c>
    </row>
    <row r="930" spans="3:16">
      <c r="C930" s="22" t="s">
        <v>4143</v>
      </c>
      <c r="D930" t="str">
        <f>VLOOKUP(Table3[[#This Row],[Employee No.]],Table1_1[[Employee No.]:[Employee Name]],2,FALSE)</f>
        <v>NURUL NAJWA BINTI MOHD NAZARUDDIN</v>
      </c>
      <c r="E930" t="str">
        <f>VLOOKUP(Table3[[#This Row],[Employee No.]],Table1_1[[Employee No.]:[Department]],6,FALSE)</f>
        <v>FVI</v>
      </c>
      <c r="F930" t="str">
        <f>VLOOKUP(Table3[[#This Row],[Employee No.]],Table1_1[[Employee No.]:[Gender]],7,FALSE)</f>
        <v>F</v>
      </c>
      <c r="G930" t="str">
        <f>VLOOKUP(Table3[[#This Row],[Employee No.]],Table1_1[[Employee No.]:[Shift]],9,FALSE)</f>
        <v>SHIFT C</v>
      </c>
      <c r="H930" s="25">
        <v>1</v>
      </c>
      <c r="I930" s="25">
        <v>1</v>
      </c>
      <c r="J930" s="25">
        <v>1</v>
      </c>
      <c r="K930" s="25">
        <v>1</v>
      </c>
      <c r="L930" s="25">
        <v>0</v>
      </c>
      <c r="M930" s="25">
        <v>1</v>
      </c>
      <c r="P930" s="25"/>
    </row>
    <row r="931" spans="3:16">
      <c r="C931" s="22" t="s">
        <v>4147</v>
      </c>
      <c r="D931" t="str">
        <f>VLOOKUP(Table3[[#This Row],[Employee No.]],Table1_1[[Employee No.]:[Employee Name]],2,FALSE)</f>
        <v>NUR IFFAH SYAZWANI BINTI NOR AZMAN</v>
      </c>
      <c r="E931" t="str">
        <f>VLOOKUP(Table3[[#This Row],[Employee No.]],Table1_1[[Employee No.]:[Department]],6,FALSE)</f>
        <v>MLB</v>
      </c>
      <c r="F931" t="str">
        <f>VLOOKUP(Table3[[#This Row],[Employee No.]],Table1_1[[Employee No.]:[Gender]],7,FALSE)</f>
        <v>F</v>
      </c>
      <c r="G931" t="str">
        <f>VLOOKUP(Table3[[#This Row],[Employee No.]],Table1_1[[Employee No.]:[Shift]],9,FALSE)</f>
        <v>SHIFT A</v>
      </c>
      <c r="H931" s="25">
        <v>0</v>
      </c>
      <c r="I931" s="25">
        <v>0</v>
      </c>
      <c r="J931" s="25">
        <v>0</v>
      </c>
      <c r="K931" s="25">
        <v>0</v>
      </c>
      <c r="L931" s="25">
        <v>0</v>
      </c>
      <c r="M931" s="25">
        <v>1</v>
      </c>
    </row>
    <row r="932" spans="3:16">
      <c r="C932" s="22" t="s">
        <v>4151</v>
      </c>
      <c r="D932" t="str">
        <f>VLOOKUP(Table3[[#This Row],[Employee No.]],Table1_1[[Employee No.]:[Employee Name]],2,FALSE)</f>
        <v>NORNI AMARAHIDAYAH BINTI IDRIS</v>
      </c>
      <c r="E932" t="str">
        <f>VLOOKUP(Table3[[#This Row],[Employee No.]],Table1_1[[Employee No.]:[Department]],6,FALSE)</f>
        <v>QUALITY</v>
      </c>
      <c r="F932" t="str">
        <f>VLOOKUP(Table3[[#This Row],[Employee No.]],Table1_1[[Employee No.]:[Gender]],7,FALSE)</f>
        <v>F</v>
      </c>
      <c r="G932" t="str">
        <f>VLOOKUP(Table3[[#This Row],[Employee No.]],Table1_1[[Employee No.]:[Shift]],9,FALSE)</f>
        <v>SHIFT C</v>
      </c>
      <c r="H932" s="25">
        <v>1</v>
      </c>
      <c r="I932" s="25">
        <v>1</v>
      </c>
      <c r="J932" s="25">
        <v>1</v>
      </c>
      <c r="K932" s="25">
        <v>1</v>
      </c>
      <c r="L932" s="25">
        <v>1</v>
      </c>
      <c r="M932" s="25">
        <v>1</v>
      </c>
      <c r="P932" s="25"/>
    </row>
    <row r="933" spans="3:16">
      <c r="C933" s="22" t="s">
        <v>4155</v>
      </c>
      <c r="D933" t="str">
        <f>VLOOKUP(Table3[[#This Row],[Employee No.]],Table1_1[[Employee No.]:[Employee Name]],2,FALSE)</f>
        <v>NUR IZATUL AKHMA BINTI AZHAR</v>
      </c>
      <c r="E933" t="str">
        <f>VLOOKUP(Table3[[#This Row],[Employee No.]],Table1_1[[Employee No.]:[Department]],6,FALSE)</f>
        <v>QUALITY</v>
      </c>
      <c r="F933" t="str">
        <f>VLOOKUP(Table3[[#This Row],[Employee No.]],Table1_1[[Employee No.]:[Gender]],7,FALSE)</f>
        <v>F</v>
      </c>
      <c r="G933" t="str">
        <f>VLOOKUP(Table3[[#This Row],[Employee No.]],Table1_1[[Employee No.]:[Shift]],9,FALSE)</f>
        <v>SHIFT C</v>
      </c>
      <c r="H933" s="25">
        <v>1</v>
      </c>
      <c r="I933" s="25">
        <v>1</v>
      </c>
      <c r="J933" s="25">
        <v>1</v>
      </c>
      <c r="K933" s="25">
        <v>1</v>
      </c>
      <c r="L933" s="25">
        <v>1</v>
      </c>
      <c r="M933" s="25">
        <v>1</v>
      </c>
      <c r="P933" s="25"/>
    </row>
    <row r="934" spans="3:16">
      <c r="C934" s="22" t="s">
        <v>4163</v>
      </c>
      <c r="D934" t="str">
        <f>VLOOKUP(Table3[[#This Row],[Employee No.]],Table1_1[[Employee No.]:[Employee Name]],2,FALSE)</f>
        <v>MUHAMAD IDRIS HIBATULLAH BIN MD YUSOFF</v>
      </c>
      <c r="E934" t="str">
        <f>VLOOKUP(Table3[[#This Row],[Employee No.]],Table1_1[[Employee No.]:[Department]],6,FALSE)</f>
        <v>ROUTER</v>
      </c>
      <c r="F934" t="str">
        <f>VLOOKUP(Table3[[#This Row],[Employee No.]],Table1_1[[Employee No.]:[Gender]],7,FALSE)</f>
        <v>M</v>
      </c>
      <c r="G934" t="str">
        <f>VLOOKUP(Table3[[#This Row],[Employee No.]],Table1_1[[Employee No.]:[Shift]],9,FALSE)</f>
        <v>SHIFT A</v>
      </c>
      <c r="H934" s="25">
        <v>1</v>
      </c>
      <c r="I934" s="25">
        <v>1</v>
      </c>
      <c r="J934" s="25">
        <v>1</v>
      </c>
      <c r="K934" s="25">
        <v>0</v>
      </c>
      <c r="L934" s="25">
        <v>1</v>
      </c>
      <c r="M934" s="25">
        <v>1</v>
      </c>
    </row>
    <row r="935" spans="3:16">
      <c r="C935" s="22" t="s">
        <v>4167</v>
      </c>
      <c r="D935" t="str">
        <f>VLOOKUP(Table3[[#This Row],[Employee No.]],Table1_1[[Employee No.]:[Employee Name]],2,FALSE)</f>
        <v>MUHAMMAD IDZARUL IKHWAN BIN MOHAMAD ISA</v>
      </c>
      <c r="E935" t="str">
        <f>VLOOKUP(Table3[[#This Row],[Employee No.]],Table1_1[[Employee No.]:[Department]],6,FALSE)</f>
        <v>SM</v>
      </c>
      <c r="F935" t="str">
        <f>VLOOKUP(Table3[[#This Row],[Employee No.]],Table1_1[[Employee No.]:[Gender]],7,FALSE)</f>
        <v>M</v>
      </c>
      <c r="G935" t="str">
        <f>VLOOKUP(Table3[[#This Row],[Employee No.]],Table1_1[[Employee No.]:[Shift]],9,FALSE)</f>
        <v>SHIFT B</v>
      </c>
      <c r="H935" s="25">
        <v>1</v>
      </c>
      <c r="I935" s="25">
        <v>1</v>
      </c>
      <c r="J935" s="25">
        <v>1</v>
      </c>
      <c r="K935" s="25">
        <v>1</v>
      </c>
      <c r="L935" s="25">
        <v>1</v>
      </c>
      <c r="M935" s="25">
        <v>1</v>
      </c>
    </row>
    <row r="936" spans="3:16">
      <c r="C936" s="22" t="s">
        <v>4171</v>
      </c>
      <c r="D936" t="str">
        <f>VLOOKUP(Table3[[#This Row],[Employee No.]],Table1_1[[Employee No.]:[Employee Name]],2,FALSE)</f>
        <v>MOHAMAD ELIAS BIN ZOBBER</v>
      </c>
      <c r="E936" t="str">
        <f>VLOOKUP(Table3[[#This Row],[Employee No.]],Table1_1[[Employee No.]:[Department]],6,FALSE)</f>
        <v>SM</v>
      </c>
      <c r="F936" t="str">
        <f>VLOOKUP(Table3[[#This Row],[Employee No.]],Table1_1[[Employee No.]:[Gender]],7,FALSE)</f>
        <v>M</v>
      </c>
      <c r="G936" t="str">
        <f>VLOOKUP(Table3[[#This Row],[Employee No.]],Table1_1[[Employee No.]:[Shift]],9,FALSE)</f>
        <v>SHIFT C</v>
      </c>
      <c r="H936" s="25">
        <v>1</v>
      </c>
      <c r="I936" s="25">
        <v>1</v>
      </c>
      <c r="J936" s="25">
        <v>1</v>
      </c>
      <c r="K936" s="25">
        <v>1</v>
      </c>
      <c r="L936" s="25">
        <v>1</v>
      </c>
      <c r="M936" s="25">
        <v>1</v>
      </c>
      <c r="P936" s="25"/>
    </row>
    <row r="937" spans="3:16">
      <c r="C937" s="22" t="s">
        <v>4175</v>
      </c>
      <c r="D937" t="str">
        <f>VLOOKUP(Table3[[#This Row],[Employee No.]],Table1_1[[Employee No.]:[Employee Name]],2,FALSE)</f>
        <v>MUHAMMAD FIRDAUS BIN ISMAAIL</v>
      </c>
      <c r="E937" t="str">
        <f>VLOOKUP(Table3[[#This Row],[Employee No.]],Table1_1[[Employee No.]:[Department]],6,FALSE)</f>
        <v>CU</v>
      </c>
      <c r="F937" t="str">
        <f>VLOOKUP(Table3[[#This Row],[Employee No.]],Table1_1[[Employee No.]:[Gender]],7,FALSE)</f>
        <v>M</v>
      </c>
      <c r="G937" t="str">
        <f>VLOOKUP(Table3[[#This Row],[Employee No.]],Table1_1[[Employee No.]:[Shift]],9,FALSE)</f>
        <v>SHIFT B</v>
      </c>
      <c r="H937" s="25">
        <v>1</v>
      </c>
      <c r="I937" s="25">
        <v>1</v>
      </c>
      <c r="J937" s="25">
        <v>1</v>
      </c>
      <c r="K937" s="25">
        <v>1</v>
      </c>
      <c r="L937" s="25">
        <v>1</v>
      </c>
      <c r="M937" s="25">
        <v>1</v>
      </c>
    </row>
    <row r="938" spans="3:16">
      <c r="C938" s="22" t="s">
        <v>4179</v>
      </c>
      <c r="D938" t="str">
        <f>VLOOKUP(Table3[[#This Row],[Employee No.]],Table1_1[[Employee No.]:[Employee Name]],2,FALSE)</f>
        <v>MOHD FARIS AZIM BIN ABU BAKAR</v>
      </c>
      <c r="E938" t="str">
        <f>VLOOKUP(Table3[[#This Row],[Employee No.]],Table1_1[[Employee No.]:[Department]],6,FALSE)</f>
        <v>WAREHOUSE</v>
      </c>
      <c r="F938" t="str">
        <f>VLOOKUP(Table3[[#This Row],[Employee No.]],Table1_1[[Employee No.]:[Gender]],7,FALSE)</f>
        <v>M</v>
      </c>
      <c r="G938" t="str">
        <f>VLOOKUP(Table3[[#This Row],[Employee No.]],Table1_1[[Employee No.]:[Shift]],9,FALSE)</f>
        <v>SHIFT A</v>
      </c>
      <c r="H938" s="25">
        <v>1</v>
      </c>
      <c r="I938" s="25">
        <v>1</v>
      </c>
      <c r="J938" s="25">
        <v>1</v>
      </c>
      <c r="K938" s="25">
        <v>1</v>
      </c>
      <c r="L938" s="25">
        <v>1</v>
      </c>
      <c r="M938" s="25">
        <v>1</v>
      </c>
    </row>
    <row r="939" spans="3:16">
      <c r="C939" s="22" t="s">
        <v>4183</v>
      </c>
      <c r="D939" t="str">
        <f>VLOOKUP(Table3[[#This Row],[Employee No.]],Table1_1[[Employee No.]:[Employee Name]],2,FALSE)</f>
        <v>MOHAMAD ZUL HAIKAL BIN MAT SA'AD</v>
      </c>
      <c r="E939" t="str">
        <f>VLOOKUP(Table3[[#This Row],[Employee No.]],Table1_1[[Employee No.]:[Department]],6,FALSE)</f>
        <v>DRILL</v>
      </c>
      <c r="F939" t="str">
        <f>VLOOKUP(Table3[[#This Row],[Employee No.]],Table1_1[[Employee No.]:[Gender]],7,FALSE)</f>
        <v>M</v>
      </c>
      <c r="G939" t="str">
        <f>VLOOKUP(Table3[[#This Row],[Employee No.]],Table1_1[[Employee No.]:[Shift]],9,FALSE)</f>
        <v>SHIFT A</v>
      </c>
      <c r="H939" s="25">
        <v>1</v>
      </c>
      <c r="I939" s="25">
        <v>1</v>
      </c>
      <c r="J939" s="25">
        <v>1</v>
      </c>
      <c r="K939" s="25">
        <v>0</v>
      </c>
      <c r="L939" s="25">
        <v>1</v>
      </c>
      <c r="M939" s="25">
        <v>1</v>
      </c>
    </row>
    <row r="940" spans="3:16">
      <c r="C940" s="22" t="s">
        <v>4191</v>
      </c>
      <c r="D940" t="str">
        <f>VLOOKUP(Table3[[#This Row],[Employee No.]],Table1_1[[Employee No.]:[Employee Name]],2,FALSE)</f>
        <v>ABDUL SALAM BIN NAZERI</v>
      </c>
      <c r="E940" t="str">
        <f>VLOOKUP(Table3[[#This Row],[Employee No.]],Table1_1[[Employee No.]:[Department]],6,FALSE)</f>
        <v>SM</v>
      </c>
      <c r="F940" t="str">
        <f>VLOOKUP(Table3[[#This Row],[Employee No.]],Table1_1[[Employee No.]:[Gender]],7,FALSE)</f>
        <v>M</v>
      </c>
      <c r="G940" t="str">
        <f>VLOOKUP(Table3[[#This Row],[Employee No.]],Table1_1[[Employee No.]:[Shift]],9,FALSE)</f>
        <v>SHIFT A</v>
      </c>
      <c r="H940" s="25">
        <v>0</v>
      </c>
      <c r="I940" s="25">
        <v>0</v>
      </c>
      <c r="J940" s="25">
        <v>0</v>
      </c>
      <c r="K940" s="25">
        <v>0</v>
      </c>
      <c r="L940" s="25">
        <v>0</v>
      </c>
      <c r="M940" s="25">
        <v>1</v>
      </c>
    </row>
    <row r="941" spans="3:16">
      <c r="C941" s="22" t="s">
        <v>4195</v>
      </c>
      <c r="D941" t="str">
        <f>VLOOKUP(Table3[[#This Row],[Employee No.]],Table1_1[[Employee No.]:[Employee Name]],2,FALSE)</f>
        <v>MUHAMMAD AZIB BIN MOHD IDRIS</v>
      </c>
      <c r="E941" t="str">
        <f>VLOOKUP(Table3[[#This Row],[Employee No.]],Table1_1[[Employee No.]:[Department]],6,FALSE)</f>
        <v>CHAMFER</v>
      </c>
      <c r="F941" t="str">
        <f>VLOOKUP(Table3[[#This Row],[Employee No.]],Table1_1[[Employee No.]:[Gender]],7,FALSE)</f>
        <v>M</v>
      </c>
      <c r="G941" t="str">
        <f>VLOOKUP(Table3[[#This Row],[Employee No.]],Table1_1[[Employee No.]:[Shift]],9,FALSE)</f>
        <v>SHIFT A</v>
      </c>
      <c r="H941" s="25">
        <v>1</v>
      </c>
      <c r="I941" s="25">
        <v>1</v>
      </c>
      <c r="J941" s="25">
        <v>1</v>
      </c>
      <c r="K941" s="25">
        <v>0</v>
      </c>
      <c r="L941" s="25">
        <v>1</v>
      </c>
      <c r="M941" s="25">
        <v>1</v>
      </c>
    </row>
    <row r="942" spans="3:16">
      <c r="C942" s="22" t="s">
        <v>4199</v>
      </c>
      <c r="D942" t="str">
        <f>VLOOKUP(Table3[[#This Row],[Employee No.]],Table1_1[[Employee No.]:[Employee Name]],2,FALSE)</f>
        <v>AMERUL RAHMAN BIN MAHAMUT</v>
      </c>
      <c r="E942" t="str">
        <f>VLOOKUP(Table3[[#This Row],[Employee No.]],Table1_1[[Employee No.]:[Department]],6,FALSE)</f>
        <v>WAREHOUSE</v>
      </c>
      <c r="F942" t="str">
        <f>VLOOKUP(Table3[[#This Row],[Employee No.]],Table1_1[[Employee No.]:[Gender]],7,FALSE)</f>
        <v>M</v>
      </c>
      <c r="G942" t="str">
        <f>VLOOKUP(Table3[[#This Row],[Employee No.]],Table1_1[[Employee No.]:[Shift]],9,FALSE)</f>
        <v>SHIFT C</v>
      </c>
      <c r="H942" s="25">
        <v>1</v>
      </c>
      <c r="I942" s="25">
        <v>1</v>
      </c>
      <c r="J942" s="25">
        <v>1</v>
      </c>
      <c r="K942" s="25">
        <v>1</v>
      </c>
      <c r="L942" s="25">
        <v>1</v>
      </c>
      <c r="M942" s="25">
        <v>1</v>
      </c>
      <c r="P942" s="25"/>
    </row>
    <row r="943" spans="3:16">
      <c r="C943" s="22" t="s">
        <v>4203</v>
      </c>
      <c r="D943" t="str">
        <f>VLOOKUP(Table3[[#This Row],[Employee No.]],Table1_1[[Employee No.]:[Employee Name]],2,FALSE)</f>
        <v>MUHAMMAD HAZMIRUL NAZMI BIN HAIRUDIN</v>
      </c>
      <c r="E943" t="str">
        <f>VLOOKUP(Table3[[#This Row],[Employee No.]],Table1_1[[Employee No.]:[Department]],6,FALSE)</f>
        <v>AOI</v>
      </c>
      <c r="F943" t="str">
        <f>VLOOKUP(Table3[[#This Row],[Employee No.]],Table1_1[[Employee No.]:[Gender]],7,FALSE)</f>
        <v>M</v>
      </c>
      <c r="G943" t="str">
        <f>VLOOKUP(Table3[[#This Row],[Employee No.]],Table1_1[[Employee No.]:[Shift]],9,FALSE)</f>
        <v>SHIFT A</v>
      </c>
      <c r="H943" s="25">
        <v>0</v>
      </c>
      <c r="I943" s="25">
        <v>1</v>
      </c>
      <c r="J943" s="25">
        <v>1</v>
      </c>
      <c r="K943" s="25">
        <v>0</v>
      </c>
      <c r="L943" s="25">
        <v>1</v>
      </c>
      <c r="M943" s="25">
        <v>0</v>
      </c>
    </row>
    <row r="944" spans="3:16">
      <c r="C944" s="22" t="s">
        <v>4207</v>
      </c>
      <c r="D944" t="str">
        <f>VLOOKUP(Table3[[#This Row],[Employee No.]],Table1_1[[Employee No.]:[Employee Name]],2,FALSE)</f>
        <v>NUR AFIQAH ALYA BINTI ABDUL AZIZ</v>
      </c>
      <c r="E944" t="str">
        <f>VLOOKUP(Table3[[#This Row],[Employee No.]],Table1_1[[Employee No.]:[Department]],6,FALSE)</f>
        <v>FVI</v>
      </c>
      <c r="F944" t="str">
        <f>VLOOKUP(Table3[[#This Row],[Employee No.]],Table1_1[[Employee No.]:[Gender]],7,FALSE)</f>
        <v>F</v>
      </c>
      <c r="G944" t="str">
        <f>VLOOKUP(Table3[[#This Row],[Employee No.]],Table1_1[[Employee No.]:[Shift]],9,FALSE)</f>
        <v>SHIFT B</v>
      </c>
      <c r="H944" s="25">
        <v>1</v>
      </c>
      <c r="I944" s="25">
        <v>1</v>
      </c>
      <c r="J944" s="25">
        <v>1</v>
      </c>
      <c r="K944" s="25">
        <v>1</v>
      </c>
      <c r="L944" s="25">
        <v>1</v>
      </c>
      <c r="M944" s="25">
        <v>1</v>
      </c>
    </row>
    <row r="945" spans="3:16">
      <c r="C945" s="22" t="s">
        <v>4211</v>
      </c>
      <c r="D945" t="str">
        <f>VLOOKUP(Table3[[#This Row],[Employee No.]],Table1_1[[Employee No.]:[Employee Name]],2,FALSE)</f>
        <v>SYARIFAH NASIHAH BINTI SYED MOHAMAD</v>
      </c>
      <c r="E945" t="str">
        <f>VLOOKUP(Table3[[#This Row],[Employee No.]],Table1_1[[Employee No.]:[Department]],6,FALSE)</f>
        <v>FVI</v>
      </c>
      <c r="F945" t="str">
        <f>VLOOKUP(Table3[[#This Row],[Employee No.]],Table1_1[[Employee No.]:[Gender]],7,FALSE)</f>
        <v>F</v>
      </c>
      <c r="G945" t="str">
        <f>VLOOKUP(Table3[[#This Row],[Employee No.]],Table1_1[[Employee No.]:[Shift]],9,FALSE)</f>
        <v>SHIFT B</v>
      </c>
      <c r="H945" s="25">
        <v>1</v>
      </c>
      <c r="I945" s="25">
        <v>1</v>
      </c>
      <c r="J945" s="25">
        <v>1</v>
      </c>
      <c r="K945" s="25">
        <v>1</v>
      </c>
      <c r="L945" s="25">
        <v>1</v>
      </c>
      <c r="M945" s="25">
        <v>1</v>
      </c>
    </row>
    <row r="946" spans="3:16">
      <c r="C946" s="22" t="s">
        <v>4215</v>
      </c>
      <c r="D946" t="str">
        <f>VLOOKUP(Table3[[#This Row],[Employee No.]],Table1_1[[Employee No.]:[Employee Name]],2,FALSE)</f>
        <v>IRHAM AZHIM BIN OMAR</v>
      </c>
      <c r="E946" t="str">
        <f>VLOOKUP(Table3[[#This Row],[Employee No.]],Table1_1[[Employee No.]:[Department]],6,FALSE)</f>
        <v>BBT</v>
      </c>
      <c r="F946" t="str">
        <f>VLOOKUP(Table3[[#This Row],[Employee No.]],Table1_1[[Employee No.]:[Gender]],7,FALSE)</f>
        <v>M</v>
      </c>
      <c r="G946" t="str">
        <f>VLOOKUP(Table3[[#This Row],[Employee No.]],Table1_1[[Employee No.]:[Shift]],9,FALSE)</f>
        <v>SHIFT E</v>
      </c>
      <c r="H946" s="25">
        <v>0</v>
      </c>
      <c r="I946" s="25">
        <v>0</v>
      </c>
      <c r="J946" s="25">
        <v>0</v>
      </c>
      <c r="K946" s="25">
        <v>0</v>
      </c>
      <c r="L946" s="25">
        <v>0</v>
      </c>
      <c r="M946" s="25">
        <v>1</v>
      </c>
    </row>
    <row r="947" spans="3:16">
      <c r="C947" s="22" t="s">
        <v>4219</v>
      </c>
      <c r="D947" t="str">
        <f>VLOOKUP(Table3[[#This Row],[Employee No.]],Table1_1[[Employee No.]:[Employee Name]],2,FALSE)</f>
        <v>AZRIN ASHRAF BIN HUSSEIN</v>
      </c>
      <c r="E947" t="str">
        <f>VLOOKUP(Table3[[#This Row],[Employee No.]],Table1_1[[Employee No.]:[Department]],6,FALSE)</f>
        <v>CHAMFER</v>
      </c>
      <c r="F947" t="str">
        <f>VLOOKUP(Table3[[#This Row],[Employee No.]],Table1_1[[Employee No.]:[Gender]],7,FALSE)</f>
        <v>M</v>
      </c>
      <c r="G947" t="str">
        <f>VLOOKUP(Table3[[#This Row],[Employee No.]],Table1_1[[Employee No.]:[Shift]],9,FALSE)</f>
        <v>SHIFT B</v>
      </c>
      <c r="H947" s="25">
        <v>1</v>
      </c>
      <c r="I947" s="25">
        <v>1</v>
      </c>
      <c r="J947" s="25">
        <v>1</v>
      </c>
      <c r="K947" s="25">
        <v>1</v>
      </c>
      <c r="L947" s="25">
        <v>1</v>
      </c>
      <c r="M947" s="25">
        <v>1</v>
      </c>
    </row>
    <row r="948" spans="3:16">
      <c r="C948" s="22" t="s">
        <v>4223</v>
      </c>
      <c r="D948" t="str">
        <f>VLOOKUP(Table3[[#This Row],[Employee No.]],Table1_1[[Employee No.]:[Employee Name]],2,FALSE)</f>
        <v>AZHARUDDIN BIN ISA</v>
      </c>
      <c r="E948" t="str">
        <f>VLOOKUP(Table3[[#This Row],[Employee No.]],Table1_1[[Employee No.]:[Department]],6,FALSE)</f>
        <v>PACKING</v>
      </c>
      <c r="F948" t="str">
        <f>VLOOKUP(Table3[[#This Row],[Employee No.]],Table1_1[[Employee No.]:[Gender]],7,FALSE)</f>
        <v>M</v>
      </c>
      <c r="G948" t="str">
        <f>VLOOKUP(Table3[[#This Row],[Employee No.]],Table1_1[[Employee No.]:[Shift]],9,FALSE)</f>
        <v>SHIFT B</v>
      </c>
      <c r="H948" s="25">
        <v>1</v>
      </c>
      <c r="I948" s="25">
        <v>1</v>
      </c>
      <c r="J948" s="25">
        <v>1</v>
      </c>
      <c r="K948" s="25">
        <v>1</v>
      </c>
      <c r="L948" s="25">
        <v>1</v>
      </c>
      <c r="M948" s="25">
        <v>1</v>
      </c>
    </row>
    <row r="949" spans="3:16">
      <c r="C949" s="22" t="s">
        <v>4227</v>
      </c>
      <c r="D949" t="str">
        <f>VLOOKUP(Table3[[#This Row],[Employee No.]],Table1_1[[Employee No.]:[Employee Name]],2,FALSE)</f>
        <v>MUHAMAD AIMAN FIRDAUS BIN ABDUL</v>
      </c>
      <c r="E949" t="str">
        <f>VLOOKUP(Table3[[#This Row],[Employee No.]],Table1_1[[Employee No.]:[Department]],6,FALSE)</f>
        <v>QUALITY</v>
      </c>
      <c r="F949" t="str">
        <f>VLOOKUP(Table3[[#This Row],[Employee No.]],Table1_1[[Employee No.]:[Gender]],7,FALSE)</f>
        <v>M</v>
      </c>
      <c r="G949" t="str">
        <f>VLOOKUP(Table3[[#This Row],[Employee No.]],Table1_1[[Employee No.]:[Shift]],9,FALSE)</f>
        <v>SHIFT B</v>
      </c>
      <c r="H949" s="25">
        <v>1</v>
      </c>
      <c r="I949" s="25">
        <v>1</v>
      </c>
      <c r="J949" s="25">
        <v>1</v>
      </c>
      <c r="K949" s="25">
        <v>1</v>
      </c>
      <c r="L949" s="25">
        <v>1</v>
      </c>
      <c r="M949" s="25">
        <v>1</v>
      </c>
    </row>
    <row r="950" spans="3:16">
      <c r="C950" s="22" t="s">
        <v>4231</v>
      </c>
      <c r="D950" t="str">
        <f>VLOOKUP(Table3[[#This Row],[Employee No.]],Table1_1[[Employee No.]:[Employee Name]],2,FALSE)</f>
        <v>MUHAMAD KHAIRUL BIN MUHAMMAD REDUAN</v>
      </c>
      <c r="E950" t="str">
        <f>VLOOKUP(Table3[[#This Row],[Employee No.]],Table1_1[[Employee No.]:[Department]],6,FALSE)</f>
        <v>BBT</v>
      </c>
      <c r="F950" t="str">
        <f>VLOOKUP(Table3[[#This Row],[Employee No.]],Table1_1[[Employee No.]:[Gender]],7,FALSE)</f>
        <v>M</v>
      </c>
      <c r="G950" t="str">
        <f>VLOOKUP(Table3[[#This Row],[Employee No.]],Table1_1[[Employee No.]:[Shift]],9,FALSE)</f>
        <v>SHIFT C</v>
      </c>
      <c r="H950" s="25">
        <v>1</v>
      </c>
      <c r="I950" s="25">
        <v>1</v>
      </c>
      <c r="J950" s="25">
        <v>1</v>
      </c>
      <c r="K950" s="25">
        <v>1</v>
      </c>
      <c r="L950" s="25">
        <v>1</v>
      </c>
      <c r="M950" s="25">
        <v>1</v>
      </c>
      <c r="P950" s="25"/>
    </row>
    <row r="951" spans="3:16">
      <c r="C951" s="22" t="s">
        <v>4235</v>
      </c>
      <c r="D951" t="str">
        <f>VLOOKUP(Table3[[#This Row],[Employee No.]],Table1_1[[Employee No.]:[Employee Name]],2,FALSE)</f>
        <v>SITI KATIJAH BINTI ABDUL SALLEH</v>
      </c>
      <c r="E951" t="str">
        <f>VLOOKUP(Table3[[#This Row],[Employee No.]],Table1_1[[Employee No.]:[Department]],6,FALSE)</f>
        <v>WAREHOUSE</v>
      </c>
      <c r="F951" t="str">
        <f>VLOOKUP(Table3[[#This Row],[Employee No.]],Table1_1[[Employee No.]:[Gender]],7,FALSE)</f>
        <v>F</v>
      </c>
      <c r="G951" t="str">
        <f>VLOOKUP(Table3[[#This Row],[Employee No.]],Table1_1[[Employee No.]:[Shift]],9,FALSE)</f>
        <v>SHIFT A</v>
      </c>
      <c r="H951" s="25">
        <v>1</v>
      </c>
      <c r="I951" s="25">
        <v>1</v>
      </c>
      <c r="J951" s="25">
        <v>1</v>
      </c>
      <c r="K951" s="25">
        <v>1</v>
      </c>
      <c r="L951" s="25">
        <v>1</v>
      </c>
      <c r="M951" s="25">
        <v>1</v>
      </c>
    </row>
    <row r="952" spans="3:16">
      <c r="C952" s="22" t="s">
        <v>4239</v>
      </c>
      <c r="D952" t="str">
        <f>VLOOKUP(Table3[[#This Row],[Employee No.]],Table1_1[[Employee No.]:[Employee Name]],2,FALSE)</f>
        <v>MUHAMMAD KHAIRUL IKHWAN BIN SHAMSUDDIN</v>
      </c>
      <c r="E952" t="str">
        <f>VLOOKUP(Table3[[#This Row],[Employee No.]],Table1_1[[Employee No.]:[Department]],6,FALSE)</f>
        <v>QUALITY</v>
      </c>
      <c r="F952" t="str">
        <f>VLOOKUP(Table3[[#This Row],[Employee No.]],Table1_1[[Employee No.]:[Gender]],7,FALSE)</f>
        <v>M</v>
      </c>
      <c r="G952" t="str">
        <f>VLOOKUP(Table3[[#This Row],[Employee No.]],Table1_1[[Employee No.]:[Shift]],9,FALSE)</f>
        <v>SHIFT B</v>
      </c>
      <c r="H952" s="25">
        <v>1</v>
      </c>
      <c r="I952" s="25">
        <v>1</v>
      </c>
      <c r="J952" s="25">
        <v>1</v>
      </c>
      <c r="K952" s="25">
        <v>1</v>
      </c>
      <c r="L952" s="25">
        <v>1</v>
      </c>
      <c r="M952" s="25">
        <v>1</v>
      </c>
    </row>
    <row r="953" spans="3:16">
      <c r="C953" s="22" t="s">
        <v>4247</v>
      </c>
      <c r="D953" t="str">
        <f>VLOOKUP(Table3[[#This Row],[Employee No.]],Table1_1[[Employee No.]:[Employee Name]],2,FALSE)</f>
        <v>MUHAMAD AFIS BIN HUSSAIN</v>
      </c>
      <c r="E953" t="str">
        <f>VLOOKUP(Table3[[#This Row],[Employee No.]],Table1_1[[Employee No.]:[Department]],6,FALSE)</f>
        <v>FACILITY</v>
      </c>
      <c r="F953" t="str">
        <f>VLOOKUP(Table3[[#This Row],[Employee No.]],Table1_1[[Employee No.]:[Gender]],7,FALSE)</f>
        <v>M</v>
      </c>
      <c r="G953" t="str">
        <f>VLOOKUP(Table3[[#This Row],[Employee No.]],Table1_1[[Employee No.]:[Shift]],9,FALSE)</f>
        <v>SHIFT A</v>
      </c>
      <c r="H953" s="25">
        <v>1</v>
      </c>
      <c r="I953" s="25">
        <v>1</v>
      </c>
      <c r="J953" s="25">
        <v>1</v>
      </c>
      <c r="K953" s="25">
        <v>1</v>
      </c>
      <c r="L953" s="25">
        <v>1</v>
      </c>
      <c r="M953" s="25">
        <v>1</v>
      </c>
    </row>
    <row r="954" spans="3:16">
      <c r="C954" s="22" t="s">
        <v>4255</v>
      </c>
      <c r="D954" t="str">
        <f>VLOOKUP(Table3[[#This Row],[Employee No.]],Table1_1[[Employee No.]:[Employee Name]],2,FALSE)</f>
        <v>NURUL ANIENA BINTI AZLAL</v>
      </c>
      <c r="E954" t="str">
        <f>VLOOKUP(Table3[[#This Row],[Employee No.]],Table1_1[[Employee No.]:[Department]],6,FALSE)</f>
        <v>QUALITY</v>
      </c>
      <c r="F954" t="str">
        <f>VLOOKUP(Table3[[#This Row],[Employee No.]],Table1_1[[Employee No.]:[Gender]],7,FALSE)</f>
        <v>F</v>
      </c>
      <c r="G954" t="str">
        <f>VLOOKUP(Table3[[#This Row],[Employee No.]],Table1_1[[Employee No.]:[Shift]],9,FALSE)</f>
        <v>SHIFT A</v>
      </c>
      <c r="H954" s="25">
        <v>0</v>
      </c>
      <c r="I954" s="25">
        <v>0</v>
      </c>
      <c r="J954" s="25">
        <v>0</v>
      </c>
      <c r="K954" s="25">
        <v>0</v>
      </c>
      <c r="L954" s="25">
        <v>0</v>
      </c>
      <c r="M954" s="25">
        <v>1</v>
      </c>
    </row>
    <row r="955" spans="3:16">
      <c r="C955" s="22" t="s">
        <v>4259</v>
      </c>
      <c r="D955" t="str">
        <f>VLOOKUP(Table3[[#This Row],[Employee No.]],Table1_1[[Employee No.]:[Employee Name]],2,FALSE)</f>
        <v>MOHD NORAZEMIE BIN NORDDIN</v>
      </c>
      <c r="E955" t="str">
        <f>VLOOKUP(Table3[[#This Row],[Employee No.]],Table1_1[[Employee No.]:[Department]],6,FALSE)</f>
        <v>SM</v>
      </c>
      <c r="F955" t="str">
        <f>VLOOKUP(Table3[[#This Row],[Employee No.]],Table1_1[[Employee No.]:[Gender]],7,FALSE)</f>
        <v>M</v>
      </c>
      <c r="G955" t="str">
        <f>VLOOKUP(Table3[[#This Row],[Employee No.]],Table1_1[[Employee No.]:[Shift]],9,FALSE)</f>
        <v>SHIFT C</v>
      </c>
      <c r="H955" s="25">
        <v>1</v>
      </c>
      <c r="I955" s="25">
        <v>1</v>
      </c>
      <c r="J955" s="25">
        <v>1</v>
      </c>
      <c r="K955" s="25">
        <v>1</v>
      </c>
      <c r="L955" s="25">
        <v>1</v>
      </c>
      <c r="M955" s="25">
        <v>1</v>
      </c>
      <c r="P955" s="25"/>
    </row>
    <row r="956" spans="3:16">
      <c r="C956" s="22" t="s">
        <v>4263</v>
      </c>
      <c r="D956" t="str">
        <f>VLOOKUP(Table3[[#This Row],[Employee No.]],Table1_1[[Employee No.]:[Employee Name]],2,FALSE)</f>
        <v>MOHAMAD AIDIEL IKHMAL BIN RAJULI</v>
      </c>
      <c r="E956" t="str">
        <f>VLOOKUP(Table3[[#This Row],[Employee No.]],Table1_1[[Employee No.]:[Department]],6,FALSE)</f>
        <v>MLB</v>
      </c>
      <c r="F956" t="str">
        <f>VLOOKUP(Table3[[#This Row],[Employee No.]],Table1_1[[Employee No.]:[Gender]],7,FALSE)</f>
        <v>M</v>
      </c>
      <c r="G956" t="str">
        <f>VLOOKUP(Table3[[#This Row],[Employee No.]],Table1_1[[Employee No.]:[Shift]],9,FALSE)</f>
        <v>SHIFT C</v>
      </c>
      <c r="H956" s="25">
        <v>1</v>
      </c>
      <c r="I956" s="25">
        <v>1</v>
      </c>
      <c r="J956" s="25">
        <v>1</v>
      </c>
      <c r="K956" s="25">
        <v>1</v>
      </c>
      <c r="L956" s="25">
        <v>1</v>
      </c>
      <c r="M956" s="25">
        <v>1</v>
      </c>
      <c r="P956" s="25"/>
    </row>
    <row r="957" spans="3:16">
      <c r="C957" s="22" t="s">
        <v>4267</v>
      </c>
      <c r="D957" t="str">
        <f>VLOOKUP(Table3[[#This Row],[Employee No.]],Table1_1[[Employee No.]:[Employee Name]],2,FALSE)</f>
        <v>MOHAMAD NADZEMAN BIN ROSLI</v>
      </c>
      <c r="E957" t="str">
        <f>VLOOKUP(Table3[[#This Row],[Employee No.]],Table1_1[[Employee No.]:[Department]],6,FALSE)</f>
        <v>MLB</v>
      </c>
      <c r="F957" t="str">
        <f>VLOOKUP(Table3[[#This Row],[Employee No.]],Table1_1[[Employee No.]:[Gender]],7,FALSE)</f>
        <v>M</v>
      </c>
      <c r="G957" t="str">
        <f>VLOOKUP(Table3[[#This Row],[Employee No.]],Table1_1[[Employee No.]:[Shift]],9,FALSE)</f>
        <v>SHIFT A</v>
      </c>
      <c r="H957" s="25">
        <v>0</v>
      </c>
      <c r="I957" s="25">
        <v>0</v>
      </c>
      <c r="J957" s="25">
        <v>0</v>
      </c>
      <c r="K957" s="25">
        <v>0</v>
      </c>
      <c r="L957" s="25">
        <v>0</v>
      </c>
      <c r="M957" s="25">
        <v>0</v>
      </c>
    </row>
    <row r="958" spans="3:16">
      <c r="C958" s="22" t="s">
        <v>4271</v>
      </c>
      <c r="D958" t="str">
        <f>VLOOKUP(Table3[[#This Row],[Employee No.]],Table1_1[[Employee No.]:[Employee Name]],2,FALSE)</f>
        <v>MUHAMMAD HAIKAL AIMAN BIN ABDULL MALIK</v>
      </c>
      <c r="E958" t="str">
        <f>VLOOKUP(Table3[[#This Row],[Employee No.]],Table1_1[[Employee No.]:[Department]],6,FALSE)</f>
        <v>MLB</v>
      </c>
      <c r="F958" t="str">
        <f>VLOOKUP(Table3[[#This Row],[Employee No.]],Table1_1[[Employee No.]:[Gender]],7,FALSE)</f>
        <v>M</v>
      </c>
      <c r="G958" t="str">
        <f>VLOOKUP(Table3[[#This Row],[Employee No.]],Table1_1[[Employee No.]:[Shift]],9,FALSE)</f>
        <v>SHIFT B</v>
      </c>
      <c r="H958" s="25">
        <v>1</v>
      </c>
      <c r="I958" s="25">
        <v>1</v>
      </c>
      <c r="J958" s="25">
        <v>1</v>
      </c>
      <c r="K958" s="25">
        <v>1</v>
      </c>
      <c r="L958" s="25">
        <v>1</v>
      </c>
      <c r="M958" s="25">
        <v>1</v>
      </c>
    </row>
    <row r="959" spans="3:16">
      <c r="C959" s="22" t="s">
        <v>4275</v>
      </c>
      <c r="D959" t="str">
        <f>VLOOKUP(Table3[[#This Row],[Employee No.]],Table1_1[[Employee No.]:[Employee Name]],2,FALSE)</f>
        <v>SULAIMAN BIN RAZALI</v>
      </c>
      <c r="E959" t="str">
        <f>VLOOKUP(Table3[[#This Row],[Employee No.]],Table1_1[[Employee No.]:[Department]],6,FALSE)</f>
        <v>ROUTER</v>
      </c>
      <c r="F959" t="str">
        <f>VLOOKUP(Table3[[#This Row],[Employee No.]],Table1_1[[Employee No.]:[Gender]],7,FALSE)</f>
        <v>M</v>
      </c>
      <c r="G959" t="str">
        <f>VLOOKUP(Table3[[#This Row],[Employee No.]],Table1_1[[Employee No.]:[Shift]],9,FALSE)</f>
        <v>SHIFT B</v>
      </c>
      <c r="H959" s="25">
        <v>1</v>
      </c>
      <c r="I959" s="25">
        <v>1</v>
      </c>
      <c r="J959" s="25">
        <v>1</v>
      </c>
      <c r="K959" s="25">
        <v>1</v>
      </c>
      <c r="L959" s="25">
        <v>1</v>
      </c>
      <c r="M959" s="25">
        <v>1</v>
      </c>
    </row>
    <row r="960" spans="3:16">
      <c r="C960" s="22" t="s">
        <v>4279</v>
      </c>
      <c r="D960" t="str">
        <f>VLOOKUP(Table3[[#This Row],[Employee No.]],Table1_1[[Employee No.]:[Employee Name]],2,FALSE)</f>
        <v>NUR ALEYA SYAZWANI BINTI MOHD NIZAL</v>
      </c>
      <c r="E960" t="str">
        <f>VLOOKUP(Table3[[#This Row],[Employee No.]],Table1_1[[Employee No.]:[Department]],6,FALSE)</f>
        <v>AOI</v>
      </c>
      <c r="F960" t="str">
        <f>VLOOKUP(Table3[[#This Row],[Employee No.]],Table1_1[[Employee No.]:[Gender]],7,FALSE)</f>
        <v>F</v>
      </c>
      <c r="G960" t="str">
        <f>VLOOKUP(Table3[[#This Row],[Employee No.]],Table1_1[[Employee No.]:[Shift]],9,FALSE)</f>
        <v>SHIFT B</v>
      </c>
      <c r="H960" s="25">
        <v>1</v>
      </c>
      <c r="I960" s="25">
        <v>1</v>
      </c>
      <c r="J960" s="25">
        <v>1</v>
      </c>
      <c r="K960" s="25">
        <v>1</v>
      </c>
      <c r="L960" s="25">
        <v>1</v>
      </c>
      <c r="M960" s="25">
        <v>1</v>
      </c>
    </row>
    <row r="961" spans="3:16">
      <c r="C961" s="22" t="s">
        <v>4283</v>
      </c>
      <c r="D961" t="str">
        <f>VLOOKUP(Table3[[#This Row],[Employee No.]],Table1_1[[Employee No.]:[Employee Name]],2,FALSE)</f>
        <v>NUR DAWATUL NIQA BINTI AZIZAN</v>
      </c>
      <c r="E961" t="str">
        <f>VLOOKUP(Table3[[#This Row],[Employee No.]],Table1_1[[Employee No.]:[Department]],6,FALSE)</f>
        <v>AOI</v>
      </c>
      <c r="F961" t="str">
        <f>VLOOKUP(Table3[[#This Row],[Employee No.]],Table1_1[[Employee No.]:[Gender]],7,FALSE)</f>
        <v>F</v>
      </c>
      <c r="G961" t="str">
        <f>VLOOKUP(Table3[[#This Row],[Employee No.]],Table1_1[[Employee No.]:[Shift]],9,FALSE)</f>
        <v>SHIFT C</v>
      </c>
      <c r="H961" s="25">
        <v>0</v>
      </c>
      <c r="I961" s="25">
        <v>0</v>
      </c>
      <c r="J961" s="25">
        <v>1</v>
      </c>
      <c r="K961" s="25">
        <v>0</v>
      </c>
      <c r="L961" s="25">
        <v>0</v>
      </c>
      <c r="M961" s="25">
        <v>1</v>
      </c>
      <c r="P961" s="25"/>
    </row>
    <row r="962" spans="3:16">
      <c r="C962" s="22" t="s">
        <v>4287</v>
      </c>
      <c r="D962" t="str">
        <f>VLOOKUP(Table3[[#This Row],[Employee No.]],Table1_1[[Employee No.]:[Employee Name]],2,FALSE)</f>
        <v>NUR FATIHAH SAZWANIE BINTI WAN RAZALI</v>
      </c>
      <c r="E962" t="str">
        <f>VLOOKUP(Table3[[#This Row],[Employee No.]],Table1_1[[Employee No.]:[Department]],6,FALSE)</f>
        <v>BBT</v>
      </c>
      <c r="F962" t="str">
        <f>VLOOKUP(Table3[[#This Row],[Employee No.]],Table1_1[[Employee No.]:[Gender]],7,FALSE)</f>
        <v>F</v>
      </c>
      <c r="G962" t="str">
        <f>VLOOKUP(Table3[[#This Row],[Employee No.]],Table1_1[[Employee No.]:[Shift]],9,FALSE)</f>
        <v>SHIFT A</v>
      </c>
      <c r="H962" s="25">
        <v>1</v>
      </c>
      <c r="I962" s="25">
        <v>1</v>
      </c>
      <c r="J962" s="25">
        <v>1</v>
      </c>
      <c r="K962" s="25">
        <v>1</v>
      </c>
      <c r="L962" s="25">
        <v>1</v>
      </c>
      <c r="M962" s="25">
        <v>1</v>
      </c>
    </row>
    <row r="963" spans="3:16">
      <c r="C963" s="22" t="s">
        <v>4291</v>
      </c>
      <c r="D963" t="str">
        <f>VLOOKUP(Table3[[#This Row],[Employee No.]],Table1_1[[Employee No.]:[Employee Name]],2,FALSE)</f>
        <v>NURUL ASMA BINTI ABRAHIM</v>
      </c>
      <c r="E963" t="str">
        <f>VLOOKUP(Table3[[#This Row],[Employee No.]],Table1_1[[Employee No.]:[Department]],6,FALSE)</f>
        <v>AOI</v>
      </c>
      <c r="F963" t="str">
        <f>VLOOKUP(Table3[[#This Row],[Employee No.]],Table1_1[[Employee No.]:[Gender]],7,FALSE)</f>
        <v>F</v>
      </c>
      <c r="G963" t="str">
        <f>VLOOKUP(Table3[[#This Row],[Employee No.]],Table1_1[[Employee No.]:[Shift]],9,FALSE)</f>
        <v>SHIFT A</v>
      </c>
      <c r="H963" s="25">
        <v>0</v>
      </c>
      <c r="I963" s="25">
        <v>1</v>
      </c>
      <c r="J963" s="25">
        <v>1</v>
      </c>
      <c r="K963" s="25">
        <v>0</v>
      </c>
      <c r="L963" s="25">
        <v>1</v>
      </c>
      <c r="M963" s="25">
        <v>1</v>
      </c>
    </row>
    <row r="964" spans="3:16">
      <c r="C964" s="22" t="s">
        <v>4295</v>
      </c>
      <c r="D964" t="str">
        <f>VLOOKUP(Table3[[#This Row],[Employee No.]],Table1_1[[Employee No.]:[Employee Name]],2,FALSE)</f>
        <v>MUHAMMAD AIMAN BIN HASIM</v>
      </c>
      <c r="E964" t="str">
        <f>VLOOKUP(Table3[[#This Row],[Employee No.]],Table1_1[[Employee No.]:[Department]],6,FALSE)</f>
        <v>MLB</v>
      </c>
      <c r="F964" t="str">
        <f>VLOOKUP(Table3[[#This Row],[Employee No.]],Table1_1[[Employee No.]:[Gender]],7,FALSE)</f>
        <v>M</v>
      </c>
      <c r="G964" t="str">
        <f>VLOOKUP(Table3[[#This Row],[Employee No.]],Table1_1[[Employee No.]:[Shift]],9,FALSE)</f>
        <v>SHIFT A</v>
      </c>
      <c r="H964" s="25">
        <v>0</v>
      </c>
      <c r="I964" s="25">
        <v>0</v>
      </c>
      <c r="J964" s="25">
        <v>0</v>
      </c>
      <c r="K964" s="25">
        <v>0</v>
      </c>
      <c r="L964" s="25">
        <v>0</v>
      </c>
      <c r="M964" s="25">
        <v>0</v>
      </c>
    </row>
    <row r="965" spans="3:16">
      <c r="C965" s="22" t="s">
        <v>4299</v>
      </c>
      <c r="D965" t="str">
        <f>VLOOKUP(Table3[[#This Row],[Employee No.]],Table1_1[[Employee No.]:[Employee Name]],2,FALSE)</f>
        <v>AMELLIA BINTI MUHAMAD AMIN</v>
      </c>
      <c r="E965" t="str">
        <f>VLOOKUP(Table3[[#This Row],[Employee No.]],Table1_1[[Employee No.]:[Department]],6,FALSE)</f>
        <v>BBT</v>
      </c>
      <c r="F965" t="str">
        <f>VLOOKUP(Table3[[#This Row],[Employee No.]],Table1_1[[Employee No.]:[Gender]],7,FALSE)</f>
        <v>F</v>
      </c>
      <c r="G965" t="str">
        <f>VLOOKUP(Table3[[#This Row],[Employee No.]],Table1_1[[Employee No.]:[Shift]],9,FALSE)</f>
        <v>SHIFT C</v>
      </c>
      <c r="H965" s="25">
        <v>1</v>
      </c>
      <c r="I965" s="25">
        <v>1</v>
      </c>
      <c r="J965" s="25">
        <v>1</v>
      </c>
      <c r="K965" s="25">
        <v>1</v>
      </c>
      <c r="L965" s="25">
        <v>1</v>
      </c>
      <c r="M965" s="25">
        <v>1</v>
      </c>
      <c r="P965" s="25"/>
    </row>
    <row r="966" spans="3:16">
      <c r="C966" s="22" t="s">
        <v>4303</v>
      </c>
      <c r="D966" t="str">
        <f>VLOOKUP(Table3[[#This Row],[Employee No.]],Table1_1[[Employee No.]:[Employee Name]],2,FALSE)</f>
        <v>MOHAMAD HAKIM BIN MOHAMAD AKHIR</v>
      </c>
      <c r="E966" t="str">
        <f>VLOOKUP(Table3[[#This Row],[Employee No.]],Table1_1[[Employee No.]:[Department]],6,FALSE)</f>
        <v>PACKING</v>
      </c>
      <c r="F966" t="str">
        <f>VLOOKUP(Table3[[#This Row],[Employee No.]],Table1_1[[Employee No.]:[Gender]],7,FALSE)</f>
        <v>M</v>
      </c>
      <c r="G966" t="str">
        <f>VLOOKUP(Table3[[#This Row],[Employee No.]],Table1_1[[Employee No.]:[Shift]],9,FALSE)</f>
        <v>SHIFT A</v>
      </c>
      <c r="H966" s="25">
        <v>0</v>
      </c>
      <c r="I966" s="25">
        <v>0</v>
      </c>
      <c r="J966" s="25">
        <v>0</v>
      </c>
      <c r="K966" s="25">
        <v>0</v>
      </c>
      <c r="L966" s="25">
        <v>0</v>
      </c>
      <c r="M966" s="25">
        <v>1</v>
      </c>
    </row>
    <row r="967" spans="3:16">
      <c r="C967" s="22" t="s">
        <v>4307</v>
      </c>
      <c r="D967" t="str">
        <f>VLOOKUP(Table3[[#This Row],[Employee No.]],Table1_1[[Employee No.]:[Employee Name]],2,FALSE)</f>
        <v>MOHAMAD JALIL BIN MAT ISA</v>
      </c>
      <c r="E967" t="str">
        <f>VLOOKUP(Table3[[#This Row],[Employee No.]],Table1_1[[Employee No.]:[Department]],6,FALSE)</f>
        <v>BBT</v>
      </c>
      <c r="F967" t="str">
        <f>VLOOKUP(Table3[[#This Row],[Employee No.]],Table1_1[[Employee No.]:[Gender]],7,FALSE)</f>
        <v>M</v>
      </c>
      <c r="G967" t="str">
        <f>VLOOKUP(Table3[[#This Row],[Employee No.]],Table1_1[[Employee No.]:[Shift]],9,FALSE)</f>
        <v>SHIFT A</v>
      </c>
      <c r="H967" s="25">
        <v>0</v>
      </c>
      <c r="I967" s="25">
        <v>0</v>
      </c>
      <c r="J967" s="25">
        <v>0</v>
      </c>
      <c r="K967" s="25">
        <v>0</v>
      </c>
      <c r="L967" s="25">
        <v>0</v>
      </c>
      <c r="M967" s="25">
        <v>1</v>
      </c>
    </row>
    <row r="968" spans="3:16">
      <c r="C968" s="22" t="s">
        <v>4311</v>
      </c>
      <c r="D968" t="str">
        <f>VLOOKUP(Table3[[#This Row],[Employee No.]],Table1_1[[Employee No.]:[Employee Name]],2,FALSE)</f>
        <v>MUHAMMAD YUSRI BIN MANSOR</v>
      </c>
      <c r="E968" t="str">
        <f>VLOOKUP(Table3[[#This Row],[Employee No.]],Table1_1[[Employee No.]:[Department]],6,FALSE)</f>
        <v>AOI</v>
      </c>
      <c r="F968" t="str">
        <f>VLOOKUP(Table3[[#This Row],[Employee No.]],Table1_1[[Employee No.]:[Gender]],7,FALSE)</f>
        <v>M</v>
      </c>
      <c r="G968" t="str">
        <f>VLOOKUP(Table3[[#This Row],[Employee No.]],Table1_1[[Employee No.]:[Shift]],9,FALSE)</f>
        <v>SHIFT A</v>
      </c>
      <c r="H968" s="25">
        <v>0</v>
      </c>
      <c r="I968" s="25">
        <v>1</v>
      </c>
      <c r="J968" s="25">
        <v>1</v>
      </c>
      <c r="K968" s="25">
        <v>0</v>
      </c>
      <c r="L968" s="25">
        <v>1</v>
      </c>
      <c r="M968" s="25">
        <v>1</v>
      </c>
    </row>
    <row r="969" spans="3:16">
      <c r="C969" s="22" t="s">
        <v>4315</v>
      </c>
      <c r="D969" t="str">
        <f>VLOOKUP(Table3[[#This Row],[Employee No.]],Table1_1[[Employee No.]:[Employee Name]],2,FALSE)</f>
        <v>PEKREALES BIN ABDUL AZEZ</v>
      </c>
      <c r="E969" t="str">
        <f>VLOOKUP(Table3[[#This Row],[Employee No.]],Table1_1[[Employee No.]:[Department]],6,FALSE)</f>
        <v>AOI</v>
      </c>
      <c r="F969" t="str">
        <f>VLOOKUP(Table3[[#This Row],[Employee No.]],Table1_1[[Employee No.]:[Gender]],7,FALSE)</f>
        <v>M</v>
      </c>
      <c r="G969" t="str">
        <f>VLOOKUP(Table3[[#This Row],[Employee No.]],Table1_1[[Employee No.]:[Shift]],9,FALSE)</f>
        <v>SHIFT B</v>
      </c>
      <c r="H969" s="25">
        <v>1</v>
      </c>
      <c r="I969" s="25">
        <v>1</v>
      </c>
      <c r="J969" s="25">
        <v>1</v>
      </c>
      <c r="K969" s="25">
        <v>1</v>
      </c>
      <c r="L969" s="25">
        <v>1</v>
      </c>
      <c r="M969" s="25">
        <v>1</v>
      </c>
    </row>
    <row r="970" spans="3:16">
      <c r="C970" s="22" t="s">
        <v>4319</v>
      </c>
      <c r="D970" t="str">
        <f>VLOOKUP(Table3[[#This Row],[Employee No.]],Table1_1[[Employee No.]:[Employee Name]],2,FALSE)</f>
        <v>MOHAMAD ARIF BIN KHALID</v>
      </c>
      <c r="E970" t="str">
        <f>VLOOKUP(Table3[[#This Row],[Employee No.]],Table1_1[[Employee No.]:[Department]],6,FALSE)</f>
        <v>AOI</v>
      </c>
      <c r="F970" t="str">
        <f>VLOOKUP(Table3[[#This Row],[Employee No.]],Table1_1[[Employee No.]:[Gender]],7,FALSE)</f>
        <v>M</v>
      </c>
      <c r="G970" t="str">
        <f>VLOOKUP(Table3[[#This Row],[Employee No.]],Table1_1[[Employee No.]:[Shift]],9,FALSE)</f>
        <v>SHIFT C</v>
      </c>
      <c r="H970" s="25">
        <v>1</v>
      </c>
      <c r="I970" s="25">
        <v>1</v>
      </c>
      <c r="J970" s="25">
        <v>1</v>
      </c>
      <c r="K970" s="25">
        <v>0</v>
      </c>
      <c r="L970" s="25">
        <v>1</v>
      </c>
      <c r="M970" s="25">
        <v>0</v>
      </c>
      <c r="P970" s="25"/>
    </row>
    <row r="971" spans="3:16">
      <c r="C971" s="22" t="s">
        <v>4323</v>
      </c>
      <c r="D971" t="str">
        <f>VLOOKUP(Table3[[#This Row],[Employee No.]],Table1_1[[Employee No.]:[Employee Name]],2,FALSE)</f>
        <v>MOHAMAD IZZAD BIN SAIDIN</v>
      </c>
      <c r="E971" t="str">
        <f>VLOOKUP(Table3[[#This Row],[Employee No.]],Table1_1[[Employee No.]:[Department]],6,FALSE)</f>
        <v>DF</v>
      </c>
      <c r="F971" t="str">
        <f>VLOOKUP(Table3[[#This Row],[Employee No.]],Table1_1[[Employee No.]:[Gender]],7,FALSE)</f>
        <v>M</v>
      </c>
      <c r="G971" t="str">
        <f>VLOOKUP(Table3[[#This Row],[Employee No.]],Table1_1[[Employee No.]:[Shift]],9,FALSE)</f>
        <v>SHIFT E</v>
      </c>
      <c r="H971" s="25">
        <v>0</v>
      </c>
      <c r="I971" s="25">
        <v>0</v>
      </c>
      <c r="J971" s="25">
        <v>0</v>
      </c>
      <c r="K971" s="25">
        <v>0</v>
      </c>
      <c r="L971" s="25">
        <v>0</v>
      </c>
      <c r="M971" s="25">
        <v>0</v>
      </c>
    </row>
    <row r="972" spans="3:16">
      <c r="C972" s="22" t="s">
        <v>4327</v>
      </c>
      <c r="D972" t="str">
        <f>VLOOKUP(Table3[[#This Row],[Employee No.]],Table1_1[[Employee No.]:[Employee Name]],2,FALSE)</f>
        <v>MUHAMMAD AL-AMIN BIN MD YAZID</v>
      </c>
      <c r="E972" t="str">
        <f>VLOOKUP(Table3[[#This Row],[Employee No.]],Table1_1[[Employee No.]:[Department]],6,FALSE)</f>
        <v>DF</v>
      </c>
      <c r="F972" t="str">
        <f>VLOOKUP(Table3[[#This Row],[Employee No.]],Table1_1[[Employee No.]:[Gender]],7,FALSE)</f>
        <v>M</v>
      </c>
      <c r="G972" t="str">
        <f>VLOOKUP(Table3[[#This Row],[Employee No.]],Table1_1[[Employee No.]:[Shift]],9,FALSE)</f>
        <v>SHIFT E</v>
      </c>
      <c r="H972" s="25">
        <v>0</v>
      </c>
      <c r="I972" s="25">
        <v>0</v>
      </c>
      <c r="J972" s="25">
        <v>0</v>
      </c>
      <c r="K972" s="25">
        <v>0</v>
      </c>
      <c r="L972" s="25">
        <v>0</v>
      </c>
      <c r="M972" s="25">
        <v>0</v>
      </c>
    </row>
    <row r="973" spans="3:16">
      <c r="C973" s="22" t="s">
        <v>4331</v>
      </c>
      <c r="D973" t="str">
        <f>VLOOKUP(Table3[[#This Row],[Employee No.]],Table1_1[[Employee No.]:[Employee Name]],2,FALSE)</f>
        <v>MUHAMMAD FAIZ BIN ROSENI</v>
      </c>
      <c r="E973" t="str">
        <f>VLOOKUP(Table3[[#This Row],[Employee No.]],Table1_1[[Employee No.]:[Department]],6,FALSE)</f>
        <v>DF</v>
      </c>
      <c r="F973" t="str">
        <f>VLOOKUP(Table3[[#This Row],[Employee No.]],Table1_1[[Employee No.]:[Gender]],7,FALSE)</f>
        <v>M</v>
      </c>
      <c r="G973" t="str">
        <f>VLOOKUP(Table3[[#This Row],[Employee No.]],Table1_1[[Employee No.]:[Shift]],9,FALSE)</f>
        <v>SHIFT E</v>
      </c>
      <c r="H973" s="25">
        <v>0</v>
      </c>
      <c r="I973" s="25">
        <v>0</v>
      </c>
      <c r="J973" s="25">
        <v>0</v>
      </c>
      <c r="K973" s="25">
        <v>0</v>
      </c>
      <c r="L973" s="25">
        <v>0</v>
      </c>
      <c r="M973" s="25">
        <v>0</v>
      </c>
    </row>
    <row r="974" spans="3:16">
      <c r="C974" s="22" t="s">
        <v>4335</v>
      </c>
      <c r="D974" t="str">
        <f>VLOOKUP(Table3[[#This Row],[Employee No.]],Table1_1[[Employee No.]:[Employee Name]],2,FALSE)</f>
        <v>NOOR SYAMIRA BINTI AHMAD CHUKRI</v>
      </c>
      <c r="E974" t="str">
        <f>VLOOKUP(Table3[[#This Row],[Employee No.]],Table1_1[[Employee No.]:[Department]],6,FALSE)</f>
        <v>BBT</v>
      </c>
      <c r="F974" t="str">
        <f>VLOOKUP(Table3[[#This Row],[Employee No.]],Table1_1[[Employee No.]:[Gender]],7,FALSE)</f>
        <v>F</v>
      </c>
      <c r="G974" t="str">
        <f>VLOOKUP(Table3[[#This Row],[Employee No.]],Table1_1[[Employee No.]:[Shift]],9,FALSE)</f>
        <v>SHIFT E</v>
      </c>
      <c r="H974" s="25">
        <v>0</v>
      </c>
      <c r="I974" s="25">
        <v>0</v>
      </c>
      <c r="J974" s="25">
        <v>0</v>
      </c>
      <c r="K974" s="25">
        <v>0</v>
      </c>
      <c r="L974" s="25">
        <v>0</v>
      </c>
      <c r="M974" s="25">
        <v>1</v>
      </c>
    </row>
    <row r="975" spans="3:16">
      <c r="C975" s="22" t="s">
        <v>4339</v>
      </c>
      <c r="D975" t="str">
        <f>VLOOKUP(Table3[[#This Row],[Employee No.]],Table1_1[[Employee No.]:[Employee Name]],2,FALSE)</f>
        <v>NORSALINASALMI BINTI AZMI</v>
      </c>
      <c r="E975" t="str">
        <f>VLOOKUP(Table3[[#This Row],[Employee No.]],Table1_1[[Employee No.]:[Department]],6,FALSE)</f>
        <v>AOI</v>
      </c>
      <c r="F975" t="str">
        <f>VLOOKUP(Table3[[#This Row],[Employee No.]],Table1_1[[Employee No.]:[Gender]],7,FALSE)</f>
        <v>F</v>
      </c>
      <c r="G975" t="str">
        <f>VLOOKUP(Table3[[#This Row],[Employee No.]],Table1_1[[Employee No.]:[Shift]],9,FALSE)</f>
        <v>SHIFT C</v>
      </c>
      <c r="H975" s="25">
        <v>1</v>
      </c>
      <c r="I975" s="25">
        <v>1</v>
      </c>
      <c r="J975" s="25">
        <v>1</v>
      </c>
      <c r="K975" s="25">
        <v>1</v>
      </c>
      <c r="L975" s="25">
        <v>1</v>
      </c>
      <c r="M975" s="25">
        <v>1</v>
      </c>
      <c r="P975" s="25"/>
    </row>
    <row r="976" spans="3:16">
      <c r="C976" s="22" t="s">
        <v>4343</v>
      </c>
      <c r="D976" t="str">
        <f>VLOOKUP(Table3[[#This Row],[Employee No.]],Table1_1[[Employee No.]:[Employee Name]],2,FALSE)</f>
        <v>NUR ATHIRAH AZLY</v>
      </c>
      <c r="E976" t="str">
        <f>VLOOKUP(Table3[[#This Row],[Employee No.]],Table1_1[[Employee No.]:[Department]],6,FALSE)</f>
        <v>AOI</v>
      </c>
      <c r="F976" t="str">
        <f>VLOOKUP(Table3[[#This Row],[Employee No.]],Table1_1[[Employee No.]:[Gender]],7,FALSE)</f>
        <v>F</v>
      </c>
      <c r="G976" t="str">
        <f>VLOOKUP(Table3[[#This Row],[Employee No.]],Table1_1[[Employee No.]:[Shift]],9,FALSE)</f>
        <v>SHIFT E</v>
      </c>
      <c r="H976" s="25">
        <v>0</v>
      </c>
      <c r="I976" s="25">
        <v>0</v>
      </c>
      <c r="J976" s="25">
        <v>0</v>
      </c>
      <c r="K976" s="25">
        <v>0</v>
      </c>
      <c r="L976" s="25">
        <v>0</v>
      </c>
      <c r="M976" s="25">
        <v>0</v>
      </c>
    </row>
    <row r="977" spans="3:16">
      <c r="C977" s="22" t="s">
        <v>4347</v>
      </c>
      <c r="D977" t="str">
        <f>VLOOKUP(Table3[[#This Row],[Employee No.]],Table1_1[[Employee No.]:[Employee Name]],2,FALSE)</f>
        <v>NURUL SYAFIQAH BINTI JAAFAR</v>
      </c>
      <c r="E977" t="str">
        <f>VLOOKUP(Table3[[#This Row],[Employee No.]],Table1_1[[Employee No.]:[Department]],6,FALSE)</f>
        <v>AOI</v>
      </c>
      <c r="F977" t="str">
        <f>VLOOKUP(Table3[[#This Row],[Employee No.]],Table1_1[[Employee No.]:[Gender]],7,FALSE)</f>
        <v>F</v>
      </c>
      <c r="G977" t="str">
        <f>VLOOKUP(Table3[[#This Row],[Employee No.]],Table1_1[[Employee No.]:[Shift]],9,FALSE)</f>
        <v>SHIFT C</v>
      </c>
      <c r="H977" s="25">
        <v>1</v>
      </c>
      <c r="I977" s="25">
        <v>1</v>
      </c>
      <c r="J977" s="25">
        <v>1</v>
      </c>
      <c r="K977" s="25">
        <v>1</v>
      </c>
      <c r="L977" s="25">
        <v>1</v>
      </c>
      <c r="M977" s="25">
        <v>1</v>
      </c>
      <c r="P977" s="25"/>
    </row>
    <row r="978" spans="3:16">
      <c r="C978" s="22" t="s">
        <v>4351</v>
      </c>
      <c r="D978" t="str">
        <f>VLOOKUP(Table3[[#This Row],[Employee No.]],Table1_1[[Employee No.]:[Employee Name]],2,FALSE)</f>
        <v>MUHAMMAD AMIR AMRI BIN RAMLI</v>
      </c>
      <c r="E978" t="str">
        <f>VLOOKUP(Table3[[#This Row],[Employee No.]],Table1_1[[Employee No.]:[Department]],6,FALSE)</f>
        <v>HS</v>
      </c>
      <c r="F978" t="str">
        <f>VLOOKUP(Table3[[#This Row],[Employee No.]],Table1_1[[Employee No.]:[Gender]],7,FALSE)</f>
        <v>M</v>
      </c>
      <c r="G978" t="str">
        <f>VLOOKUP(Table3[[#This Row],[Employee No.]],Table1_1[[Employee No.]:[Shift]],9,FALSE)</f>
        <v>SHIFT C</v>
      </c>
      <c r="H978" s="25">
        <v>1</v>
      </c>
      <c r="I978" s="25">
        <v>1</v>
      </c>
      <c r="J978" s="25">
        <v>1</v>
      </c>
      <c r="K978" s="25">
        <v>1</v>
      </c>
      <c r="L978" s="25">
        <v>1</v>
      </c>
      <c r="M978" s="25">
        <v>1</v>
      </c>
      <c r="P978" s="25"/>
    </row>
    <row r="979" spans="3:16">
      <c r="C979" s="22" t="s">
        <v>4363</v>
      </c>
      <c r="D979" t="str">
        <f>VLOOKUP(Table3[[#This Row],[Employee No.]],Table1_1[[Employee No.]:[Employee Name]],2,FALSE)</f>
        <v>DANI HAIKAL BIN AHMAD DANIAL</v>
      </c>
      <c r="E979" t="str">
        <f>VLOOKUP(Table3[[#This Row],[Employee No.]],Table1_1[[Employee No.]:[Department]],6,FALSE)</f>
        <v>HS</v>
      </c>
      <c r="F979" t="str">
        <f>VLOOKUP(Table3[[#This Row],[Employee No.]],Table1_1[[Employee No.]:[Gender]],7,FALSE)</f>
        <v>M</v>
      </c>
      <c r="G979" t="str">
        <f>VLOOKUP(Table3[[#This Row],[Employee No.]],Table1_1[[Employee No.]:[Shift]],9,FALSE)</f>
        <v>SHIFT A</v>
      </c>
      <c r="H979" s="25">
        <v>0</v>
      </c>
      <c r="I979" s="25">
        <v>0</v>
      </c>
      <c r="J979" s="25">
        <v>0</v>
      </c>
      <c r="K979" s="25">
        <v>0</v>
      </c>
      <c r="L979" s="25">
        <v>0</v>
      </c>
      <c r="M979" s="25">
        <v>0</v>
      </c>
    </row>
    <row r="980" spans="3:16">
      <c r="C980" s="22" t="s">
        <v>4375</v>
      </c>
      <c r="D980" t="str">
        <f>VLOOKUP(Table3[[#This Row],[Employee No.]],Table1_1[[Employee No.]:[Employee Name]],2,FALSE)</f>
        <v>AZMIR BIN ABDULLAH</v>
      </c>
      <c r="E980" t="str">
        <f>VLOOKUP(Table3[[#This Row],[Employee No.]],Table1_1[[Employee No.]:[Department]],6,FALSE)</f>
        <v>FACILITY</v>
      </c>
      <c r="F980" t="str">
        <f>VLOOKUP(Table3[[#This Row],[Employee No.]],Table1_1[[Employee No.]:[Gender]],7,FALSE)</f>
        <v>M</v>
      </c>
      <c r="G980" t="str">
        <f>VLOOKUP(Table3[[#This Row],[Employee No.]],Table1_1[[Employee No.]:[Shift]],9,FALSE)</f>
        <v>SHIFT C</v>
      </c>
      <c r="H980" s="25">
        <v>1</v>
      </c>
      <c r="I980" s="25">
        <v>1</v>
      </c>
      <c r="J980" s="25">
        <v>1</v>
      </c>
      <c r="K980" s="25">
        <v>1</v>
      </c>
      <c r="L980" s="25">
        <v>1</v>
      </c>
      <c r="M980" s="25">
        <v>1</v>
      </c>
      <c r="P980" s="25"/>
    </row>
    <row r="981" spans="3:16">
      <c r="C981" s="22" t="s">
        <v>4393</v>
      </c>
      <c r="D981" t="str">
        <f>VLOOKUP(Table3[[#This Row],[Employee No.]],Table1_1[[Employee No.]:[Employee Name]],2,FALSE)</f>
        <v>MOHAMMAD HAFIZ BIN MOHAMMAD TANGGAMANI</v>
      </c>
      <c r="E981" t="str">
        <f>VLOOKUP(Table3[[#This Row],[Employee No.]],Table1_1[[Employee No.]:[Department]],6,FALSE)</f>
        <v>FACILITY</v>
      </c>
      <c r="F981" t="str">
        <f>VLOOKUP(Table3[[#This Row],[Employee No.]],Table1_1[[Employee No.]:[Gender]],7,FALSE)</f>
        <v>M</v>
      </c>
      <c r="G981" t="str">
        <f>VLOOKUP(Table3[[#This Row],[Employee No.]],Table1_1[[Employee No.]:[Shift]],9,FALSE)</f>
        <v>SHIFT A</v>
      </c>
      <c r="H981" s="25">
        <v>1</v>
      </c>
      <c r="I981" s="25">
        <v>1</v>
      </c>
      <c r="J981" s="25">
        <v>1</v>
      </c>
      <c r="K981" s="25">
        <v>1</v>
      </c>
      <c r="L981" s="25">
        <v>1</v>
      </c>
      <c r="M981" s="25">
        <v>1</v>
      </c>
    </row>
    <row r="982" spans="3:16">
      <c r="C982" s="22" t="s">
        <v>4413</v>
      </c>
      <c r="D982" t="str">
        <f>VLOOKUP(Table3[[#This Row],[Employee No.]],Table1_1[[Employee No.]:[Employee Name]],2,FALSE)</f>
        <v>AIZIRUL ASYRAFF BIN IDRIS</v>
      </c>
      <c r="E982" t="str">
        <f>VLOOKUP(Table3[[#This Row],[Employee No.]],Table1_1[[Employee No.]:[Department]],6,FALSE)</f>
        <v>HS</v>
      </c>
      <c r="F982" t="str">
        <f>VLOOKUP(Table3[[#This Row],[Employee No.]],Table1_1[[Employee No.]:[Gender]],7,FALSE)</f>
        <v>M</v>
      </c>
      <c r="G982" t="str">
        <f>VLOOKUP(Table3[[#This Row],[Employee No.]],Table1_1[[Employee No.]:[Shift]],9,FALSE)</f>
        <v>SHIFT A</v>
      </c>
      <c r="H982" s="25">
        <v>0</v>
      </c>
      <c r="I982" s="25">
        <v>0</v>
      </c>
      <c r="J982" s="25">
        <v>0</v>
      </c>
      <c r="K982" s="25">
        <v>0</v>
      </c>
      <c r="L982" s="25">
        <v>0</v>
      </c>
      <c r="M982" s="25">
        <v>0</v>
      </c>
    </row>
    <row r="983" spans="3:16">
      <c r="C983" s="22" t="s">
        <v>4417</v>
      </c>
      <c r="D983" t="str">
        <f>VLOOKUP(Table3[[#This Row],[Employee No.]],Table1_1[[Employee No.]:[Employee Name]],2,FALSE)</f>
        <v>NUR SYAZANA BINTI OMAR BAKHI</v>
      </c>
      <c r="E983" t="str">
        <f>VLOOKUP(Table3[[#This Row],[Employee No.]],Table1_1[[Employee No.]:[Department]],6,FALSE)</f>
        <v>WAREHOUSE</v>
      </c>
      <c r="F983" t="str">
        <f>VLOOKUP(Table3[[#This Row],[Employee No.]],Table1_1[[Employee No.]:[Gender]],7,FALSE)</f>
        <v>F</v>
      </c>
      <c r="G983" t="str">
        <f>VLOOKUP(Table3[[#This Row],[Employee No.]],Table1_1[[Employee No.]:[Shift]],9,FALSE)</f>
        <v>SHIFT C</v>
      </c>
      <c r="H983" s="25">
        <v>1</v>
      </c>
      <c r="I983" s="25">
        <v>1</v>
      </c>
      <c r="J983" s="25">
        <v>0</v>
      </c>
      <c r="K983" s="25">
        <v>0</v>
      </c>
      <c r="L983" s="25">
        <v>1</v>
      </c>
      <c r="M983" s="25">
        <v>1</v>
      </c>
      <c r="P983" s="25"/>
    </row>
    <row r="984" spans="3:16">
      <c r="C984" s="22" t="s">
        <v>4488</v>
      </c>
      <c r="D984" t="str">
        <f>VLOOKUP(Table3[[#This Row],[Employee No.]],Table1_1[[Employee No.]:[Employee Name]],2,FALSE)</f>
        <v>AZIMAH BINTI AZIZ</v>
      </c>
      <c r="E984" t="str">
        <f>VLOOKUP(Table3[[#This Row],[Employee No.]],Table1_1[[Employee No.]:[Department]],6,FALSE)</f>
        <v>DRILL</v>
      </c>
      <c r="F984" t="str">
        <f>VLOOKUP(Table3[[#This Row],[Employee No.]],Table1_1[[Employee No.]:[Gender]],7,FALSE)</f>
        <v>F</v>
      </c>
      <c r="G984" t="str">
        <f>VLOOKUP(Table3[[#This Row],[Employee No.]],Table1_1[[Employee No.]:[Shift]],9,FALSE)</f>
        <v>SHIFT C</v>
      </c>
      <c r="H984" s="25">
        <v>1</v>
      </c>
      <c r="I984" s="25">
        <v>1</v>
      </c>
      <c r="J984" s="25">
        <v>1</v>
      </c>
      <c r="K984" s="25">
        <v>1</v>
      </c>
      <c r="L984" s="25">
        <v>1</v>
      </c>
      <c r="M984" s="25">
        <v>1</v>
      </c>
      <c r="P984" s="25"/>
    </row>
    <row r="985" spans="3:16">
      <c r="C985" s="22" t="s">
        <v>4492</v>
      </c>
      <c r="D985" t="str">
        <f>VLOOKUP(Table3[[#This Row],[Employee No.]],Table1_1[[Employee No.]:[Employee Name]],2,FALSE)</f>
        <v>SITI HAJAR BINTI ROSMAN</v>
      </c>
      <c r="E985" t="str">
        <f>VLOOKUP(Table3[[#This Row],[Employee No.]],Table1_1[[Employee No.]:[Department]],6,FALSE)</f>
        <v>DRILL</v>
      </c>
      <c r="F985" t="str">
        <f>VLOOKUP(Table3[[#This Row],[Employee No.]],Table1_1[[Employee No.]:[Gender]],7,FALSE)</f>
        <v>F</v>
      </c>
      <c r="G985" t="str">
        <f>VLOOKUP(Table3[[#This Row],[Employee No.]],Table1_1[[Employee No.]:[Shift]],9,FALSE)</f>
        <v>SHIFT C</v>
      </c>
      <c r="H985" s="25">
        <v>1</v>
      </c>
      <c r="I985" s="25">
        <v>1</v>
      </c>
      <c r="J985" s="25">
        <v>1</v>
      </c>
      <c r="K985" s="25">
        <v>1</v>
      </c>
      <c r="L985" s="25">
        <v>1</v>
      </c>
      <c r="M985" s="25">
        <v>1</v>
      </c>
      <c r="P985" s="25"/>
    </row>
    <row r="986" spans="3:16">
      <c r="C986" s="22" t="s">
        <v>4496</v>
      </c>
      <c r="D986" t="str">
        <f>VLOOKUP(Table3[[#This Row],[Employee No.]],Table1_1[[Employee No.]:[Employee Name]],2,FALSE)</f>
        <v>NOOR SHUHADA BINTI ABD RASHID</v>
      </c>
      <c r="E986" t="str">
        <f>VLOOKUP(Table3[[#This Row],[Employee No.]],Table1_1[[Employee No.]:[Department]],6,FALSE)</f>
        <v>DRILL</v>
      </c>
      <c r="F986" t="str">
        <f>VLOOKUP(Table3[[#This Row],[Employee No.]],Table1_1[[Employee No.]:[Gender]],7,FALSE)</f>
        <v>F</v>
      </c>
      <c r="G986" t="str">
        <f>VLOOKUP(Table3[[#This Row],[Employee No.]],Table1_1[[Employee No.]:[Shift]],9,FALSE)</f>
        <v>SHIFT A</v>
      </c>
      <c r="H986" s="25">
        <v>0</v>
      </c>
      <c r="I986" s="25">
        <v>0</v>
      </c>
      <c r="J986" s="25">
        <v>0</v>
      </c>
      <c r="K986" s="25">
        <v>0</v>
      </c>
      <c r="L986" s="25">
        <v>0</v>
      </c>
      <c r="M986" s="25">
        <v>1</v>
      </c>
    </row>
    <row r="987" spans="3:16">
      <c r="C987" s="22" t="s">
        <v>4500</v>
      </c>
      <c r="D987" t="str">
        <f>VLOOKUP(Table3[[#This Row],[Employee No.]],Table1_1[[Employee No.]:[Employee Name]],2,FALSE)</f>
        <v>MAZATUL NAZIRAH BINTI MAT ESA</v>
      </c>
      <c r="E987" t="str">
        <f>VLOOKUP(Table3[[#This Row],[Employee No.]],Table1_1[[Employee No.]:[Department]],6,FALSE)</f>
        <v>PACKING</v>
      </c>
      <c r="F987" t="str">
        <f>VLOOKUP(Table3[[#This Row],[Employee No.]],Table1_1[[Employee No.]:[Gender]],7,FALSE)</f>
        <v>F</v>
      </c>
      <c r="G987" t="str">
        <f>VLOOKUP(Table3[[#This Row],[Employee No.]],Table1_1[[Employee No.]:[Shift]],9,FALSE)</f>
        <v>SHIFT B</v>
      </c>
      <c r="H987" s="25">
        <v>1</v>
      </c>
      <c r="I987" s="25">
        <v>1</v>
      </c>
      <c r="J987" s="25">
        <v>1</v>
      </c>
      <c r="K987" s="25">
        <v>1</v>
      </c>
      <c r="L987" s="25">
        <v>1</v>
      </c>
      <c r="M987" s="25">
        <v>1</v>
      </c>
    </row>
    <row r="988" spans="3:16">
      <c r="C988" s="22" t="s">
        <v>4504</v>
      </c>
      <c r="D988" t="str">
        <f>VLOOKUP(Table3[[#This Row],[Employee No.]],Table1_1[[Employee No.]:[Employee Name]],2,FALSE)</f>
        <v>SALSABILA BINTI SHAHARUL IZAM</v>
      </c>
      <c r="E988" t="str">
        <f>VLOOKUP(Table3[[#This Row],[Employee No.]],Table1_1[[Employee No.]:[Department]],6,FALSE)</f>
        <v>DRILL</v>
      </c>
      <c r="F988" t="str">
        <f>VLOOKUP(Table3[[#This Row],[Employee No.]],Table1_1[[Employee No.]:[Gender]],7,FALSE)</f>
        <v>F</v>
      </c>
      <c r="G988" t="str">
        <f>VLOOKUP(Table3[[#This Row],[Employee No.]],Table1_1[[Employee No.]:[Shift]],9,FALSE)</f>
        <v>SHIFT B</v>
      </c>
      <c r="H988" s="25">
        <v>1</v>
      </c>
      <c r="I988" s="25">
        <v>1</v>
      </c>
      <c r="J988" s="25">
        <v>1</v>
      </c>
      <c r="K988" s="25">
        <v>1</v>
      </c>
      <c r="L988" s="25">
        <v>1</v>
      </c>
      <c r="M988" s="25">
        <v>1</v>
      </c>
    </row>
    <row r="989" spans="3:16">
      <c r="C989" s="22" t="s">
        <v>4508</v>
      </c>
      <c r="D989" t="str">
        <f>VLOOKUP(Table3[[#This Row],[Employee No.]],Table1_1[[Employee No.]:[Employee Name]],2,FALSE)</f>
        <v>NUR FIFI NABILA BINTI ZULKPLEE</v>
      </c>
      <c r="E989" t="str">
        <f>VLOOKUP(Table3[[#This Row],[Employee No.]],Table1_1[[Employee No.]:[Department]],6,FALSE)</f>
        <v>AOI</v>
      </c>
      <c r="F989" t="str">
        <f>VLOOKUP(Table3[[#This Row],[Employee No.]],Table1_1[[Employee No.]:[Gender]],7,FALSE)</f>
        <v>F</v>
      </c>
      <c r="G989" t="str">
        <f>VLOOKUP(Table3[[#This Row],[Employee No.]],Table1_1[[Employee No.]:[Shift]],9,FALSE)</f>
        <v>SHIFT E</v>
      </c>
      <c r="H989" s="25">
        <v>0</v>
      </c>
      <c r="I989" s="25">
        <v>0</v>
      </c>
      <c r="J989" s="25">
        <v>0</v>
      </c>
      <c r="K989" s="25">
        <v>0</v>
      </c>
      <c r="L989" s="25">
        <v>0</v>
      </c>
      <c r="M989" s="25">
        <v>0</v>
      </c>
    </row>
    <row r="990" spans="3:16">
      <c r="C990" s="22" t="s">
        <v>4512</v>
      </c>
      <c r="D990" t="str">
        <f>VLOOKUP(Table3[[#This Row],[Employee No.]],Table1_1[[Employee No.]:[Employee Name]],2,FALSE)</f>
        <v>SITI SYARIFAH ALIAH BINTI HALIM</v>
      </c>
      <c r="E990" t="str">
        <f>VLOOKUP(Table3[[#This Row],[Employee No.]],Table1_1[[Employee No.]:[Department]],6,FALSE)</f>
        <v>PACKING</v>
      </c>
      <c r="F990" t="str">
        <f>VLOOKUP(Table3[[#This Row],[Employee No.]],Table1_1[[Employee No.]:[Gender]],7,FALSE)</f>
        <v>F</v>
      </c>
      <c r="G990" t="str">
        <f>VLOOKUP(Table3[[#This Row],[Employee No.]],Table1_1[[Employee No.]:[Shift]],9,FALSE)</f>
        <v>SHIFT A</v>
      </c>
      <c r="H990" s="25">
        <v>0</v>
      </c>
      <c r="I990" s="25">
        <v>0</v>
      </c>
      <c r="J990" s="25">
        <v>0</v>
      </c>
      <c r="K990" s="25">
        <v>0</v>
      </c>
      <c r="L990" s="25">
        <v>0</v>
      </c>
      <c r="M990" s="25">
        <v>1</v>
      </c>
    </row>
    <row r="991" spans="3:16">
      <c r="C991" s="22" t="s">
        <v>4516</v>
      </c>
      <c r="D991" t="str">
        <f>VLOOKUP(Table3[[#This Row],[Employee No.]],Table1_1[[Employee No.]:[Employee Name]],2,FALSE)</f>
        <v>SITI AISHAH BINTI ABD GHANI</v>
      </c>
      <c r="E991" t="str">
        <f>VLOOKUP(Table3[[#This Row],[Employee No.]],Table1_1[[Employee No.]:[Department]],6,FALSE)</f>
        <v>PACKING</v>
      </c>
      <c r="F991" t="str">
        <f>VLOOKUP(Table3[[#This Row],[Employee No.]],Table1_1[[Employee No.]:[Gender]],7,FALSE)</f>
        <v>F</v>
      </c>
      <c r="G991" t="str">
        <f>VLOOKUP(Table3[[#This Row],[Employee No.]],Table1_1[[Employee No.]:[Shift]],9,FALSE)</f>
        <v>SHIFT A</v>
      </c>
      <c r="H991" s="25">
        <v>0</v>
      </c>
      <c r="I991" s="25">
        <v>0</v>
      </c>
      <c r="J991" s="25">
        <v>0</v>
      </c>
      <c r="K991" s="25">
        <v>0</v>
      </c>
      <c r="L991" s="25">
        <v>0</v>
      </c>
      <c r="M991" s="25">
        <v>1</v>
      </c>
    </row>
    <row r="992" spans="3:16">
      <c r="C992" s="22" t="s">
        <v>4524</v>
      </c>
      <c r="D992" t="str">
        <f>VLOOKUP(Table3[[#This Row],[Employee No.]],Table1_1[[Employee No.]:[Employee Name]],2,FALSE)</f>
        <v>NUR AINA NAJIHAH BINTI ZAINUDDIN</v>
      </c>
      <c r="E992" t="str">
        <f>VLOOKUP(Table3[[#This Row],[Employee No.]],Table1_1[[Employee No.]:[Department]],6,FALSE)</f>
        <v>AOI</v>
      </c>
      <c r="F992" t="str">
        <f>VLOOKUP(Table3[[#This Row],[Employee No.]],Table1_1[[Employee No.]:[Gender]],7,FALSE)</f>
        <v>F</v>
      </c>
      <c r="G992" t="str">
        <f>VLOOKUP(Table3[[#This Row],[Employee No.]],Table1_1[[Employee No.]:[Shift]],9,FALSE)</f>
        <v>SHIFT E</v>
      </c>
      <c r="H992" s="25">
        <v>0</v>
      </c>
      <c r="I992" s="25">
        <v>0</v>
      </c>
      <c r="J992" s="25">
        <v>0</v>
      </c>
      <c r="K992" s="25">
        <v>0</v>
      </c>
      <c r="L992" s="25">
        <v>0</v>
      </c>
      <c r="M992" s="25">
        <v>1</v>
      </c>
    </row>
    <row r="993" spans="3:16">
      <c r="C993" s="22" t="s">
        <v>4528</v>
      </c>
      <c r="D993" t="str">
        <f>VLOOKUP(Table3[[#This Row],[Employee No.]],Table1_1[[Employee No.]:[Employee Name]],2,FALSE)</f>
        <v>AINA NABILA BINTI ALLIAS</v>
      </c>
      <c r="E993" t="str">
        <f>VLOOKUP(Table3[[#This Row],[Employee No.]],Table1_1[[Employee No.]:[Department]],6,FALSE)</f>
        <v>AOI</v>
      </c>
      <c r="F993" t="str">
        <f>VLOOKUP(Table3[[#This Row],[Employee No.]],Table1_1[[Employee No.]:[Gender]],7,FALSE)</f>
        <v>F</v>
      </c>
      <c r="G993" t="str">
        <f>VLOOKUP(Table3[[#This Row],[Employee No.]],Table1_1[[Employee No.]:[Shift]],9,FALSE)</f>
        <v>SHIFT E</v>
      </c>
      <c r="H993" s="25">
        <v>0</v>
      </c>
      <c r="I993" s="25">
        <v>0</v>
      </c>
      <c r="J993" s="25">
        <v>0</v>
      </c>
      <c r="K993" s="25">
        <v>0</v>
      </c>
      <c r="L993" s="25">
        <v>0</v>
      </c>
      <c r="M993" s="25">
        <v>0</v>
      </c>
    </row>
    <row r="994" spans="3:16">
      <c r="C994" s="22" t="s">
        <v>4531</v>
      </c>
      <c r="D994" t="str">
        <f>VLOOKUP(Table3[[#This Row],[Employee No.]],Table1_1[[Employee No.]:[Employee Name]],2,FALSE)</f>
        <v>MUHAMMAD FARIS BIN MASARI</v>
      </c>
      <c r="E994" t="str">
        <f>VLOOKUP(Table3[[#This Row],[Employee No.]],Table1_1[[Employee No.]:[Department]],6,FALSE)</f>
        <v>DF</v>
      </c>
      <c r="F994" t="str">
        <f>VLOOKUP(Table3[[#This Row],[Employee No.]],Table1_1[[Employee No.]:[Gender]],7,FALSE)</f>
        <v>M</v>
      </c>
      <c r="G994" t="str">
        <f>VLOOKUP(Table3[[#This Row],[Employee No.]],Table1_1[[Employee No.]:[Shift]],9,FALSE)</f>
        <v>SHIFT E</v>
      </c>
      <c r="H994" s="25">
        <v>0</v>
      </c>
      <c r="I994" s="25">
        <v>0</v>
      </c>
      <c r="J994" s="25">
        <v>0</v>
      </c>
      <c r="K994" s="25">
        <v>0</v>
      </c>
      <c r="L994" s="25">
        <v>0</v>
      </c>
      <c r="M994" s="25">
        <v>0</v>
      </c>
    </row>
    <row r="995" spans="3:16">
      <c r="C995" s="22" t="s">
        <v>4535</v>
      </c>
      <c r="D995" t="str">
        <f>VLOOKUP(Table3[[#This Row],[Employee No.]],Table1_1[[Employee No.]:[Employee Name]],2,FALSE)</f>
        <v>MOHD AMIRUL ASHRAF BIN ABDULLAH</v>
      </c>
      <c r="E995" t="str">
        <f>VLOOKUP(Table3[[#This Row],[Employee No.]],Table1_1[[Employee No.]:[Department]],6,FALSE)</f>
        <v>ROUTER</v>
      </c>
      <c r="F995" t="str">
        <f>VLOOKUP(Table3[[#This Row],[Employee No.]],Table1_1[[Employee No.]:[Gender]],7,FALSE)</f>
        <v>M</v>
      </c>
      <c r="G995" t="str">
        <f>VLOOKUP(Table3[[#This Row],[Employee No.]],Table1_1[[Employee No.]:[Shift]],9,FALSE)</f>
        <v>SHIFT C</v>
      </c>
      <c r="H995" s="25">
        <v>1</v>
      </c>
      <c r="I995" s="25">
        <v>1</v>
      </c>
      <c r="J995" s="25">
        <v>1</v>
      </c>
      <c r="K995" s="25">
        <v>1</v>
      </c>
      <c r="L995" s="25">
        <v>1</v>
      </c>
      <c r="M995" s="25">
        <v>1</v>
      </c>
      <c r="P995" s="25"/>
    </row>
    <row r="996" spans="3:16">
      <c r="C996" s="22" t="s">
        <v>4539</v>
      </c>
      <c r="D996" t="str">
        <f>VLOOKUP(Table3[[#This Row],[Employee No.]],Table1_1[[Employee No.]:[Employee Name]],2,FALSE)</f>
        <v>MOHAMAD DANIEL SUHAIZAT BIN MOHAMAD SUHAIMI</v>
      </c>
      <c r="E996" t="str">
        <f>VLOOKUP(Table3[[#This Row],[Employee No.]],Table1_1[[Employee No.]:[Department]],6,FALSE)</f>
        <v>DRILL</v>
      </c>
      <c r="F996" t="str">
        <f>VLOOKUP(Table3[[#This Row],[Employee No.]],Table1_1[[Employee No.]:[Gender]],7,FALSE)</f>
        <v>M</v>
      </c>
      <c r="G996" t="str">
        <f>VLOOKUP(Table3[[#This Row],[Employee No.]],Table1_1[[Employee No.]:[Shift]],9,FALSE)</f>
        <v>SHIFT B</v>
      </c>
      <c r="H996" s="25">
        <v>1</v>
      </c>
      <c r="I996" s="25">
        <v>1</v>
      </c>
      <c r="J996" s="25">
        <v>1</v>
      </c>
      <c r="K996" s="25">
        <v>1</v>
      </c>
      <c r="L996" s="25">
        <v>1</v>
      </c>
      <c r="M996" s="25">
        <v>1</v>
      </c>
    </row>
    <row r="997" spans="3:16">
      <c r="C997" s="22" t="s">
        <v>4543</v>
      </c>
      <c r="D997" t="str">
        <f>VLOOKUP(Table3[[#This Row],[Employee No.]],Table1_1[[Employee No.]:[Employee Name]],2,FALSE)</f>
        <v>NUR MOHAMAD AL AMIN BIN SAABAN</v>
      </c>
      <c r="E997" t="str">
        <f>VLOOKUP(Table3[[#This Row],[Employee No.]],Table1_1[[Employee No.]:[Department]],6,FALSE)</f>
        <v>AU</v>
      </c>
      <c r="F997" t="str">
        <f>VLOOKUP(Table3[[#This Row],[Employee No.]],Table1_1[[Employee No.]:[Gender]],7,FALSE)</f>
        <v>M</v>
      </c>
      <c r="G997" t="str">
        <f>VLOOKUP(Table3[[#This Row],[Employee No.]],Table1_1[[Employee No.]:[Shift]],9,FALSE)</f>
        <v>SHIFT E</v>
      </c>
      <c r="H997" s="25">
        <v>0</v>
      </c>
      <c r="I997" s="25">
        <v>0</v>
      </c>
      <c r="J997" s="25">
        <v>0</v>
      </c>
      <c r="K997" s="25">
        <v>0</v>
      </c>
      <c r="L997" s="25">
        <v>0</v>
      </c>
      <c r="M997" s="25">
        <v>0</v>
      </c>
    </row>
    <row r="998" spans="3:16">
      <c r="C998" s="22" t="s">
        <v>4547</v>
      </c>
      <c r="D998" t="str">
        <f>VLOOKUP(Table3[[#This Row],[Employee No.]],Table1_1[[Employee No.]:[Employee Name]],2,FALSE)</f>
        <v>SUHAIL MUHAIMIN BIN NAJMI SALAM</v>
      </c>
      <c r="E998" t="str">
        <f>VLOOKUP(Table3[[#This Row],[Employee No.]],Table1_1[[Employee No.]:[Department]],6,FALSE)</f>
        <v>DF</v>
      </c>
      <c r="F998" t="str">
        <f>VLOOKUP(Table3[[#This Row],[Employee No.]],Table1_1[[Employee No.]:[Gender]],7,FALSE)</f>
        <v>M</v>
      </c>
      <c r="G998" t="str">
        <f>VLOOKUP(Table3[[#This Row],[Employee No.]],Table1_1[[Employee No.]:[Shift]],9,FALSE)</f>
        <v>SHIFT E</v>
      </c>
      <c r="H998" s="25">
        <v>0</v>
      </c>
      <c r="I998" s="25">
        <v>0</v>
      </c>
      <c r="J998" s="25">
        <v>0</v>
      </c>
      <c r="K998" s="25">
        <v>0</v>
      </c>
      <c r="L998" s="25">
        <v>0</v>
      </c>
      <c r="M998" s="25">
        <v>0</v>
      </c>
    </row>
    <row r="999" spans="3:16">
      <c r="C999" s="22" t="s">
        <v>4550</v>
      </c>
      <c r="D999" t="str">
        <f>VLOOKUP(Table3[[#This Row],[Employee No.]],Table1_1[[Employee No.]:[Employee Name]],2,FALSE)</f>
        <v>WAN AIMAN FAHMIE BIN WAN AMIR</v>
      </c>
      <c r="E999" t="str">
        <f>VLOOKUP(Table3[[#This Row],[Employee No.]],Table1_1[[Employee No.]:[Department]],6,FALSE)</f>
        <v>AU</v>
      </c>
      <c r="F999" t="str">
        <f>VLOOKUP(Table3[[#This Row],[Employee No.]],Table1_1[[Employee No.]:[Gender]],7,FALSE)</f>
        <v>M</v>
      </c>
      <c r="G999" t="str">
        <f>VLOOKUP(Table3[[#This Row],[Employee No.]],Table1_1[[Employee No.]:[Shift]],9,FALSE)</f>
        <v>SHIFT E</v>
      </c>
      <c r="H999" s="25">
        <v>0</v>
      </c>
      <c r="I999" s="25">
        <v>0</v>
      </c>
      <c r="J999" s="25">
        <v>0</v>
      </c>
      <c r="K999" s="25">
        <v>0</v>
      </c>
      <c r="L999" s="25">
        <v>0</v>
      </c>
      <c r="M999" s="25">
        <v>1</v>
      </c>
    </row>
    <row r="1000" spans="3:16">
      <c r="C1000" s="22" t="s">
        <v>4554</v>
      </c>
      <c r="D1000" t="str">
        <f>VLOOKUP(Table3[[#This Row],[Employee No.]],Table1_1[[Employee No.]:[Employee Name]],2,FALSE)</f>
        <v>MUHAMMAD SYAHIR BIN HAMZAR</v>
      </c>
      <c r="E1000" t="str">
        <f>VLOOKUP(Table3[[#This Row],[Employee No.]],Table1_1[[Employee No.]:[Department]],6,FALSE)</f>
        <v>SM</v>
      </c>
      <c r="F1000" t="str">
        <f>VLOOKUP(Table3[[#This Row],[Employee No.]],Table1_1[[Employee No.]:[Gender]],7,FALSE)</f>
        <v>M</v>
      </c>
      <c r="G1000" t="str">
        <f>VLOOKUP(Table3[[#This Row],[Employee No.]],Table1_1[[Employee No.]:[Shift]],9,FALSE)</f>
        <v>SHIFT E</v>
      </c>
      <c r="H1000" s="25">
        <v>0</v>
      </c>
      <c r="I1000" s="25">
        <v>0</v>
      </c>
      <c r="J1000" s="25">
        <v>0</v>
      </c>
      <c r="K1000" s="25">
        <v>0</v>
      </c>
      <c r="L1000" s="25">
        <v>0</v>
      </c>
      <c r="M1000" s="25">
        <v>1</v>
      </c>
    </row>
    <row r="1001" spans="3:16">
      <c r="C1001" s="22" t="s">
        <v>4558</v>
      </c>
      <c r="D1001" t="str">
        <f>VLOOKUP(Table3[[#This Row],[Employee No.]],Table1_1[[Employee No.]:[Employee Name]],2,FALSE)</f>
        <v>MUHAMMAD AZRI AKMAR BIN ZAINAL</v>
      </c>
      <c r="E1001" t="str">
        <f>VLOOKUP(Table3[[#This Row],[Employee No.]],Table1_1[[Employee No.]:[Department]],6,FALSE)</f>
        <v>SM</v>
      </c>
      <c r="F1001" t="str">
        <f>VLOOKUP(Table3[[#This Row],[Employee No.]],Table1_1[[Employee No.]:[Gender]],7,FALSE)</f>
        <v>M</v>
      </c>
      <c r="G1001" t="str">
        <f>VLOOKUP(Table3[[#This Row],[Employee No.]],Table1_1[[Employee No.]:[Shift]],9,FALSE)</f>
        <v>SHIFT E</v>
      </c>
      <c r="H1001" s="25">
        <v>0</v>
      </c>
      <c r="I1001" s="25">
        <v>0</v>
      </c>
      <c r="J1001" s="25">
        <v>0</v>
      </c>
      <c r="K1001" s="25">
        <v>0</v>
      </c>
      <c r="L1001" s="25">
        <v>0</v>
      </c>
      <c r="M1001" s="25">
        <v>1</v>
      </c>
    </row>
    <row r="1002" spans="3:16">
      <c r="C1002" s="22" t="s">
        <v>4562</v>
      </c>
      <c r="D1002" t="str">
        <f>VLOOKUP(Table3[[#This Row],[Employee No.]],Table1_1[[Employee No.]:[Employee Name]],2,FALSE)</f>
        <v>MOHAMAD SAIFUL NIZAM BIN MOHD ISA</v>
      </c>
      <c r="E1002" t="str">
        <f>VLOOKUP(Table3[[#This Row],[Employee No.]],Table1_1[[Employee No.]:[Department]],6,FALSE)</f>
        <v>ROUTER</v>
      </c>
      <c r="F1002" t="str">
        <f>VLOOKUP(Table3[[#This Row],[Employee No.]],Table1_1[[Employee No.]:[Gender]],7,FALSE)</f>
        <v>M</v>
      </c>
      <c r="G1002" t="str">
        <f>VLOOKUP(Table3[[#This Row],[Employee No.]],Table1_1[[Employee No.]:[Shift]],9,FALSE)</f>
        <v>SHIFT B</v>
      </c>
      <c r="H1002" s="25">
        <v>1</v>
      </c>
      <c r="I1002" s="25">
        <v>1</v>
      </c>
      <c r="J1002" s="25">
        <v>1</v>
      </c>
      <c r="K1002" s="25">
        <v>1</v>
      </c>
      <c r="L1002" s="25">
        <v>1</v>
      </c>
      <c r="M1002" s="25">
        <v>1</v>
      </c>
    </row>
    <row r="1003" spans="3:16">
      <c r="C1003" s="22" t="s">
        <v>4566</v>
      </c>
      <c r="D1003" t="str">
        <f>VLOOKUP(Table3[[#This Row],[Employee No.]],Table1_1[[Employee No.]:[Employee Name]],2,FALSE)</f>
        <v>MOHAMAD HAFIQ BIN SUFIAN</v>
      </c>
      <c r="E1003" t="str">
        <f>VLOOKUP(Table3[[#This Row],[Employee No.]],Table1_1[[Employee No.]:[Department]],6,FALSE)</f>
        <v>SM</v>
      </c>
      <c r="F1003" t="str">
        <f>VLOOKUP(Table3[[#This Row],[Employee No.]],Table1_1[[Employee No.]:[Gender]],7,FALSE)</f>
        <v>M</v>
      </c>
      <c r="G1003" t="str">
        <f>VLOOKUP(Table3[[#This Row],[Employee No.]],Table1_1[[Employee No.]:[Shift]],9,FALSE)</f>
        <v>SHIFT E</v>
      </c>
      <c r="H1003" s="25">
        <v>0</v>
      </c>
      <c r="I1003" s="25">
        <v>0</v>
      </c>
      <c r="J1003" s="25">
        <v>0</v>
      </c>
      <c r="K1003" s="25">
        <v>0</v>
      </c>
      <c r="L1003" s="25">
        <v>0</v>
      </c>
      <c r="M1003" s="25">
        <v>0</v>
      </c>
    </row>
    <row r="1004" spans="3:16">
      <c r="C1004" s="22" t="s">
        <v>4569</v>
      </c>
      <c r="D1004" t="str">
        <f>VLOOKUP(Table3[[#This Row],[Employee No.]],Table1_1[[Employee No.]:[Employee Name]],2,FALSE)</f>
        <v>MOHAMAD AKMAL YAZID BIN AHMAD FADIL</v>
      </c>
      <c r="E1004" t="str">
        <f>VLOOKUP(Table3[[#This Row],[Employee No.]],Table1_1[[Employee No.]:[Department]],6,FALSE)</f>
        <v>BBT</v>
      </c>
      <c r="F1004" t="str">
        <f>VLOOKUP(Table3[[#This Row],[Employee No.]],Table1_1[[Employee No.]:[Gender]],7,FALSE)</f>
        <v>M</v>
      </c>
      <c r="G1004" t="str">
        <f>VLOOKUP(Table3[[#This Row],[Employee No.]],Table1_1[[Employee No.]:[Shift]],9,FALSE)</f>
        <v>SHIFT E</v>
      </c>
      <c r="H1004" s="25">
        <v>0</v>
      </c>
      <c r="I1004" s="25">
        <v>0</v>
      </c>
      <c r="J1004" s="25">
        <v>0</v>
      </c>
      <c r="K1004" s="25">
        <v>0</v>
      </c>
      <c r="L1004" s="25">
        <v>0</v>
      </c>
      <c r="M1004" s="25">
        <v>1</v>
      </c>
    </row>
    <row r="1005" spans="3:16">
      <c r="C1005" s="22" t="s">
        <v>4573</v>
      </c>
      <c r="D1005" t="str">
        <f>VLOOKUP(Table3[[#This Row],[Employee No.]],Table1_1[[Employee No.]:[Employee Name]],2,FALSE)</f>
        <v>AZRIQ SHAQUAN DANIEL BIN NORHISHAM</v>
      </c>
      <c r="E1005" t="str">
        <f>VLOOKUP(Table3[[#This Row],[Employee No.]],Table1_1[[Employee No.]:[Department]],6,FALSE)</f>
        <v>BBT</v>
      </c>
      <c r="F1005" t="str">
        <f>VLOOKUP(Table3[[#This Row],[Employee No.]],Table1_1[[Employee No.]:[Gender]],7,FALSE)</f>
        <v>M</v>
      </c>
      <c r="G1005" t="str">
        <f>VLOOKUP(Table3[[#This Row],[Employee No.]],Table1_1[[Employee No.]:[Shift]],9,FALSE)</f>
        <v>SHIFT E</v>
      </c>
      <c r="H1005" s="25">
        <v>0</v>
      </c>
      <c r="I1005" s="25">
        <v>0</v>
      </c>
      <c r="J1005" s="25">
        <v>0</v>
      </c>
      <c r="K1005" s="25">
        <v>0</v>
      </c>
      <c r="L1005" s="25">
        <v>0</v>
      </c>
      <c r="M1005" s="25">
        <v>1</v>
      </c>
    </row>
    <row r="1006" spans="3:16">
      <c r="C1006" s="22" t="s">
        <v>4577</v>
      </c>
      <c r="D1006" t="str">
        <f>VLOOKUP(Table3[[#This Row],[Employee No.]],Table1_1[[Employee No.]:[Employee Name]],2,FALSE)</f>
        <v>MUHAMMAD NIZAMMUDDIN BIN ZAHIRUDDIN</v>
      </c>
      <c r="E1006" t="str">
        <f>VLOOKUP(Table3[[#This Row],[Employee No.]],Table1_1[[Employee No.]:[Department]],6,FALSE)</f>
        <v>BBT</v>
      </c>
      <c r="F1006" t="str">
        <f>VLOOKUP(Table3[[#This Row],[Employee No.]],Table1_1[[Employee No.]:[Gender]],7,FALSE)</f>
        <v>M</v>
      </c>
      <c r="G1006" t="str">
        <f>VLOOKUP(Table3[[#This Row],[Employee No.]],Table1_1[[Employee No.]:[Shift]],9,FALSE)</f>
        <v>SHIFT E</v>
      </c>
      <c r="H1006" s="25">
        <v>0</v>
      </c>
      <c r="I1006" s="25">
        <v>0</v>
      </c>
      <c r="J1006" s="25">
        <v>0</v>
      </c>
      <c r="K1006" s="25">
        <v>0</v>
      </c>
      <c r="L1006" s="25">
        <v>0</v>
      </c>
      <c r="M1006" s="25">
        <v>1</v>
      </c>
    </row>
    <row r="1007" spans="3:16">
      <c r="C1007" s="22" t="s">
        <v>4581</v>
      </c>
      <c r="D1007" t="str">
        <f>VLOOKUP(Table3[[#This Row],[Employee No.]],Table1_1[[Employee No.]:[Employee Name]],2,FALSE)</f>
        <v>MUHAMMAD DANIEL BIN FEROZ</v>
      </c>
      <c r="E1007" t="str">
        <f>VLOOKUP(Table3[[#This Row],[Employee No.]],Table1_1[[Employee No.]:[Department]],6,FALSE)</f>
        <v>ROUTER</v>
      </c>
      <c r="F1007" t="str">
        <f>VLOOKUP(Table3[[#This Row],[Employee No.]],Table1_1[[Employee No.]:[Gender]],7,FALSE)</f>
        <v>M</v>
      </c>
      <c r="G1007" t="str">
        <f>VLOOKUP(Table3[[#This Row],[Employee No.]],Table1_1[[Employee No.]:[Shift]],9,FALSE)</f>
        <v>SHIFT B</v>
      </c>
      <c r="H1007" s="25">
        <v>1</v>
      </c>
      <c r="I1007" s="25">
        <v>1</v>
      </c>
      <c r="J1007" s="25">
        <v>1</v>
      </c>
      <c r="K1007" s="25">
        <v>1</v>
      </c>
      <c r="L1007" s="25">
        <v>1</v>
      </c>
      <c r="M1007" s="25">
        <v>1</v>
      </c>
    </row>
    <row r="1008" spans="3:16">
      <c r="C1008" s="22" t="s">
        <v>4585</v>
      </c>
      <c r="D1008" t="str">
        <f>VLOOKUP(Table3[[#This Row],[Employee No.]],Table1_1[[Employee No.]:[Employee Name]],2,FALSE)</f>
        <v>AHMAD ALIFFITRI BIN ABDULLAH</v>
      </c>
      <c r="E1008" t="str">
        <f>VLOOKUP(Table3[[#This Row],[Employee No.]],Table1_1[[Employee No.]:[Department]],6,FALSE)</f>
        <v>SM</v>
      </c>
      <c r="F1008" t="str">
        <f>VLOOKUP(Table3[[#This Row],[Employee No.]],Table1_1[[Employee No.]:[Gender]],7,FALSE)</f>
        <v>M</v>
      </c>
      <c r="G1008" t="str">
        <f>VLOOKUP(Table3[[#This Row],[Employee No.]],Table1_1[[Employee No.]:[Shift]],9,FALSE)</f>
        <v>SHIFT E</v>
      </c>
      <c r="H1008" s="25">
        <v>0</v>
      </c>
      <c r="I1008" s="25">
        <v>0</v>
      </c>
      <c r="J1008" s="25">
        <v>0</v>
      </c>
      <c r="K1008" s="25">
        <v>0</v>
      </c>
      <c r="L1008" s="25">
        <v>0</v>
      </c>
      <c r="M1008" s="25">
        <v>0</v>
      </c>
    </row>
    <row r="1009" spans="3:16">
      <c r="C1009" s="22" t="s">
        <v>4588</v>
      </c>
      <c r="D1009" t="str">
        <f>VLOOKUP(Table3[[#This Row],[Employee No.]],Table1_1[[Employee No.]:[Employee Name]],2,FALSE)</f>
        <v>ADAM AZWAR BIN DARUS</v>
      </c>
      <c r="E1009" t="str">
        <f>VLOOKUP(Table3[[#This Row],[Employee No.]],Table1_1[[Employee No.]:[Department]],6,FALSE)</f>
        <v>ROUTER</v>
      </c>
      <c r="F1009" t="str">
        <f>VLOOKUP(Table3[[#This Row],[Employee No.]],Table1_1[[Employee No.]:[Gender]],7,FALSE)</f>
        <v>M</v>
      </c>
      <c r="G1009" t="str">
        <f>VLOOKUP(Table3[[#This Row],[Employee No.]],Table1_1[[Employee No.]:[Shift]],9,FALSE)</f>
        <v>SHIFT A</v>
      </c>
      <c r="H1009" s="25">
        <v>0</v>
      </c>
      <c r="I1009" s="25">
        <v>0</v>
      </c>
      <c r="J1009" s="25">
        <v>0</v>
      </c>
      <c r="K1009" s="25">
        <v>0</v>
      </c>
      <c r="L1009" s="25">
        <v>0</v>
      </c>
      <c r="M1009" s="25">
        <v>0</v>
      </c>
    </row>
    <row r="1010" spans="3:16">
      <c r="C1010" s="22" t="s">
        <v>4592</v>
      </c>
      <c r="D1010" t="str">
        <f>VLOOKUP(Table3[[#This Row],[Employee No.]],Table1_1[[Employee No.]:[Employee Name]],2,FALSE)</f>
        <v>MUHAMMAD NUR AFFENDI BIN MAT SALIH</v>
      </c>
      <c r="E1010" t="str">
        <f>VLOOKUP(Table3[[#This Row],[Employee No.]],Table1_1[[Employee No.]:[Department]],6,FALSE)</f>
        <v>DRILL</v>
      </c>
      <c r="F1010" t="str">
        <f>VLOOKUP(Table3[[#This Row],[Employee No.]],Table1_1[[Employee No.]:[Gender]],7,FALSE)</f>
        <v>M</v>
      </c>
      <c r="G1010" t="str">
        <f>VLOOKUP(Table3[[#This Row],[Employee No.]],Table1_1[[Employee No.]:[Shift]],9,FALSE)</f>
        <v>SHIFT B</v>
      </c>
      <c r="H1010" s="25">
        <v>1</v>
      </c>
      <c r="I1010" s="25">
        <v>1</v>
      </c>
      <c r="J1010" s="25">
        <v>1</v>
      </c>
      <c r="K1010" s="25">
        <v>1</v>
      </c>
      <c r="L1010" s="25">
        <v>1</v>
      </c>
      <c r="M1010" s="25">
        <v>1</v>
      </c>
    </row>
    <row r="1011" spans="3:16">
      <c r="C1011" s="22" t="s">
        <v>4595</v>
      </c>
      <c r="D1011" t="str">
        <f>VLOOKUP(Table3[[#This Row],[Employee No.]],Table1_1[[Employee No.]:[Employee Name]],2,FALSE)</f>
        <v>HAIQAL HAFIZ ROZMAN BIN ABDUL AZIZ</v>
      </c>
      <c r="E1011" t="str">
        <f>VLOOKUP(Table3[[#This Row],[Employee No.]],Table1_1[[Employee No.]:[Department]],6,FALSE)</f>
        <v>AU</v>
      </c>
      <c r="F1011" t="str">
        <f>VLOOKUP(Table3[[#This Row],[Employee No.]],Table1_1[[Employee No.]:[Gender]],7,FALSE)</f>
        <v>M</v>
      </c>
      <c r="G1011" t="str">
        <f>VLOOKUP(Table3[[#This Row],[Employee No.]],Table1_1[[Employee No.]:[Shift]],9,FALSE)</f>
        <v>SHIFT E</v>
      </c>
      <c r="H1011" s="25">
        <v>0</v>
      </c>
      <c r="I1011" s="25">
        <v>0</v>
      </c>
      <c r="J1011" s="25">
        <v>0</v>
      </c>
      <c r="K1011" s="25">
        <v>0</v>
      </c>
      <c r="L1011" s="25">
        <v>0</v>
      </c>
      <c r="M1011" s="25">
        <v>0</v>
      </c>
    </row>
    <row r="1012" spans="3:16">
      <c r="C1012" s="22" t="s">
        <v>4598</v>
      </c>
      <c r="D1012" t="str">
        <f>VLOOKUP(Table3[[#This Row],[Employee No.]],Table1_1[[Employee No.]:[Employee Name]],2,FALSE)</f>
        <v>MUHAMMAD NASRUL BIN AZMAN</v>
      </c>
      <c r="E1012" t="str">
        <f>VLOOKUP(Table3[[#This Row],[Employee No.]],Table1_1[[Employee No.]:[Department]],6,FALSE)</f>
        <v>SM</v>
      </c>
      <c r="F1012" t="str">
        <f>VLOOKUP(Table3[[#This Row],[Employee No.]],Table1_1[[Employee No.]:[Gender]],7,FALSE)</f>
        <v>M</v>
      </c>
      <c r="G1012" t="str">
        <f>VLOOKUP(Table3[[#This Row],[Employee No.]],Table1_1[[Employee No.]:[Shift]],9,FALSE)</f>
        <v>SHIFT E</v>
      </c>
      <c r="H1012" s="25">
        <v>0</v>
      </c>
      <c r="I1012" s="25">
        <v>0</v>
      </c>
      <c r="J1012" s="25">
        <v>0</v>
      </c>
      <c r="K1012" s="25">
        <v>0</v>
      </c>
      <c r="L1012" s="25">
        <v>0</v>
      </c>
      <c r="M1012" s="25">
        <v>0</v>
      </c>
    </row>
    <row r="1013" spans="3:16">
      <c r="C1013" s="22" t="s">
        <v>4602</v>
      </c>
      <c r="D1013" t="str">
        <f>VLOOKUP(Table3[[#This Row],[Employee No.]],Table1_1[[Employee No.]:[Employee Name]],2,FALSE)</f>
        <v>MUHAMMAD SUHAIMI BIN ABD KARIM</v>
      </c>
      <c r="E1013" t="str">
        <f>VLOOKUP(Table3[[#This Row],[Employee No.]],Table1_1[[Employee No.]:[Department]],6,FALSE)</f>
        <v>DRILL</v>
      </c>
      <c r="F1013" t="str">
        <f>VLOOKUP(Table3[[#This Row],[Employee No.]],Table1_1[[Employee No.]:[Gender]],7,FALSE)</f>
        <v>M</v>
      </c>
      <c r="G1013" t="str">
        <f>VLOOKUP(Table3[[#This Row],[Employee No.]],Table1_1[[Employee No.]:[Shift]],9,FALSE)</f>
        <v>SHIFT A</v>
      </c>
      <c r="H1013" s="25">
        <v>0</v>
      </c>
      <c r="I1013" s="25">
        <v>0</v>
      </c>
      <c r="J1013" s="25">
        <v>0</v>
      </c>
      <c r="K1013" s="25">
        <v>0</v>
      </c>
      <c r="L1013" s="25">
        <v>0</v>
      </c>
      <c r="M1013" s="25">
        <v>1</v>
      </c>
    </row>
    <row r="1014" spans="3:16">
      <c r="C1014" s="22" t="s">
        <v>4606</v>
      </c>
      <c r="D1014" t="str">
        <f>VLOOKUP(Table3[[#This Row],[Employee No.]],Table1_1[[Employee No.]:[Employee Name]],2,FALSE)</f>
        <v>ALIF NAJMI BIN MOHD KAMAL</v>
      </c>
      <c r="E1014" t="str">
        <f>VLOOKUP(Table3[[#This Row],[Employee No.]],Table1_1[[Employee No.]:[Department]],6,FALSE)</f>
        <v>DF</v>
      </c>
      <c r="F1014" t="str">
        <f>VLOOKUP(Table3[[#This Row],[Employee No.]],Table1_1[[Employee No.]:[Gender]],7,FALSE)</f>
        <v>M</v>
      </c>
      <c r="G1014" t="str">
        <f>VLOOKUP(Table3[[#This Row],[Employee No.]],Table1_1[[Employee No.]:[Shift]],9,FALSE)</f>
        <v>SHIFT E</v>
      </c>
      <c r="H1014" s="25">
        <v>0</v>
      </c>
      <c r="I1014" s="25">
        <v>0</v>
      </c>
      <c r="J1014" s="25">
        <v>0</v>
      </c>
      <c r="K1014" s="25">
        <v>0</v>
      </c>
      <c r="L1014" s="25">
        <v>0</v>
      </c>
      <c r="M1014" s="25">
        <v>0</v>
      </c>
    </row>
    <row r="1015" spans="3:16">
      <c r="C1015" s="22" t="s">
        <v>4610</v>
      </c>
      <c r="D1015" t="str">
        <f>VLOOKUP(Table3[[#This Row],[Employee No.]],Table1_1[[Employee No.]:[Employee Name]],2,FALSE)</f>
        <v>MOHAMAD SYAFIQ IDHAM BIN MOHD HANAFI</v>
      </c>
      <c r="E1015" t="str">
        <f>VLOOKUP(Table3[[#This Row],[Employee No.]],Table1_1[[Employee No.]:[Department]],6,FALSE)</f>
        <v>CU</v>
      </c>
      <c r="F1015" t="str">
        <f>VLOOKUP(Table3[[#This Row],[Employee No.]],Table1_1[[Employee No.]:[Gender]],7,FALSE)</f>
        <v>M</v>
      </c>
      <c r="G1015" t="str">
        <f>VLOOKUP(Table3[[#This Row],[Employee No.]],Table1_1[[Employee No.]:[Shift]],9,FALSE)</f>
        <v>SHIFT E</v>
      </c>
      <c r="H1015" s="25">
        <v>0</v>
      </c>
      <c r="I1015" s="25">
        <v>0</v>
      </c>
      <c r="J1015" s="25">
        <v>0</v>
      </c>
      <c r="K1015" s="25">
        <v>0</v>
      </c>
      <c r="L1015" s="25">
        <v>0</v>
      </c>
      <c r="M1015" s="25">
        <v>0</v>
      </c>
    </row>
    <row r="1016" spans="3:16">
      <c r="C1016" s="22" t="s">
        <v>4614</v>
      </c>
      <c r="D1016" t="str">
        <f>VLOOKUP(Table3[[#This Row],[Employee No.]],Table1_1[[Employee No.]:[Employee Name]],2,FALSE)</f>
        <v>MOHAMAD SYAMIL IZWAN BIN MD HANAPIAH</v>
      </c>
      <c r="E1016" t="str">
        <f>VLOOKUP(Table3[[#This Row],[Employee No.]],Table1_1[[Employee No.]:[Department]],6,FALSE)</f>
        <v>DRILL</v>
      </c>
      <c r="F1016" t="str">
        <f>VLOOKUP(Table3[[#This Row],[Employee No.]],Table1_1[[Employee No.]:[Gender]],7,FALSE)</f>
        <v>M</v>
      </c>
      <c r="G1016" t="str">
        <f>VLOOKUP(Table3[[#This Row],[Employee No.]],Table1_1[[Employee No.]:[Shift]],9,FALSE)</f>
        <v>SHIFT C</v>
      </c>
      <c r="H1016" s="25">
        <v>1</v>
      </c>
      <c r="I1016" s="25">
        <v>1</v>
      </c>
      <c r="J1016" s="25">
        <v>1</v>
      </c>
      <c r="K1016" s="25">
        <v>1</v>
      </c>
      <c r="L1016" s="25">
        <v>1</v>
      </c>
      <c r="M1016" s="25">
        <v>1</v>
      </c>
      <c r="P1016" s="25"/>
    </row>
    <row r="1017" spans="3:16">
      <c r="C1017" s="22" t="s">
        <v>4618</v>
      </c>
      <c r="D1017" t="str">
        <f>VLOOKUP(Table3[[#This Row],[Employee No.]],Table1_1[[Employee No.]:[Employee Name]],2,FALSE)</f>
        <v>NURUL SYAHIMA BINTI RIPIN</v>
      </c>
      <c r="E1017" t="str">
        <f>VLOOKUP(Table3[[#This Row],[Employee No.]],Table1_1[[Employee No.]:[Department]],6,FALSE)</f>
        <v>PACKING</v>
      </c>
      <c r="F1017" t="str">
        <f>VLOOKUP(Table3[[#This Row],[Employee No.]],Table1_1[[Employee No.]:[Gender]],7,FALSE)</f>
        <v>F</v>
      </c>
      <c r="G1017" t="str">
        <f>VLOOKUP(Table3[[#This Row],[Employee No.]],Table1_1[[Employee No.]:[Shift]],9,FALSE)</f>
        <v>SHIFT B</v>
      </c>
      <c r="H1017" s="25">
        <v>1</v>
      </c>
      <c r="I1017" s="25">
        <v>1</v>
      </c>
      <c r="J1017" s="25">
        <v>1</v>
      </c>
      <c r="K1017" s="25">
        <v>1</v>
      </c>
      <c r="L1017" s="25">
        <v>1</v>
      </c>
      <c r="M1017" s="25">
        <v>1</v>
      </c>
    </row>
    <row r="1018" spans="3:16">
      <c r="C1018" s="22" t="s">
        <v>4622</v>
      </c>
      <c r="D1018" t="str">
        <f>VLOOKUP(Table3[[#This Row],[Employee No.]],Table1_1[[Employee No.]:[Employee Name]],2,FALSE)</f>
        <v>NURUL AINA AINSYIRAH BINTI OTHMAN</v>
      </c>
      <c r="E1018" t="str">
        <f>VLOOKUP(Table3[[#This Row],[Employee No.]],Table1_1[[Employee No.]:[Department]],6,FALSE)</f>
        <v>PACKING</v>
      </c>
      <c r="F1018" t="str">
        <f>VLOOKUP(Table3[[#This Row],[Employee No.]],Table1_1[[Employee No.]:[Gender]],7,FALSE)</f>
        <v>F</v>
      </c>
      <c r="G1018" t="str">
        <f>VLOOKUP(Table3[[#This Row],[Employee No.]],Table1_1[[Employee No.]:[Shift]],9,FALSE)</f>
        <v>SHIFT C</v>
      </c>
      <c r="H1018" s="25">
        <v>1</v>
      </c>
      <c r="I1018" s="25">
        <v>1</v>
      </c>
      <c r="J1018" s="25">
        <v>1</v>
      </c>
      <c r="K1018" s="25">
        <v>1</v>
      </c>
      <c r="L1018" s="25">
        <v>1</v>
      </c>
      <c r="M1018" s="25">
        <v>1</v>
      </c>
      <c r="P1018" s="25"/>
    </row>
    <row r="1019" spans="3:16">
      <c r="C1019" s="22" t="s">
        <v>4630</v>
      </c>
      <c r="D1019" t="str">
        <f>VLOOKUP(Table3[[#This Row],[Employee No.]],Table1_1[[Employee No.]:[Employee Name]],2,FALSE)</f>
        <v>NOOR SHAHIRAH BINTI SHAHRIN</v>
      </c>
      <c r="E1019" t="str">
        <f>VLOOKUP(Table3[[#This Row],[Employee No.]],Table1_1[[Employee No.]:[Department]],6,FALSE)</f>
        <v>DRILL</v>
      </c>
      <c r="F1019" t="str">
        <f>VLOOKUP(Table3[[#This Row],[Employee No.]],Table1_1[[Employee No.]:[Gender]],7,FALSE)</f>
        <v>F</v>
      </c>
      <c r="G1019" t="str">
        <f>VLOOKUP(Table3[[#This Row],[Employee No.]],Table1_1[[Employee No.]:[Shift]],9,FALSE)</f>
        <v>SHIFT B</v>
      </c>
      <c r="H1019" s="25">
        <v>1</v>
      </c>
      <c r="I1019" s="25">
        <v>1</v>
      </c>
      <c r="J1019" s="25">
        <v>1</v>
      </c>
      <c r="K1019" s="25">
        <v>1</v>
      </c>
      <c r="L1019" s="25">
        <v>1</v>
      </c>
      <c r="M1019" s="25">
        <v>1</v>
      </c>
    </row>
    <row r="1020" spans="3:16">
      <c r="C1020" s="22" t="s">
        <v>4634</v>
      </c>
      <c r="D1020" t="str">
        <f>VLOOKUP(Table3[[#This Row],[Employee No.]],Table1_1[[Employee No.]:[Employee Name]],2,FALSE)</f>
        <v>MUHAMMAD SHAHMI BIN MOHAMMAD RASHID</v>
      </c>
      <c r="E1020" t="str">
        <f>VLOOKUP(Table3[[#This Row],[Employee No.]],Table1_1[[Employee No.]:[Department]],6,FALSE)</f>
        <v>BBT</v>
      </c>
      <c r="F1020" t="str">
        <f>VLOOKUP(Table3[[#This Row],[Employee No.]],Table1_1[[Employee No.]:[Gender]],7,FALSE)</f>
        <v>M</v>
      </c>
      <c r="G1020" t="str">
        <f>VLOOKUP(Table3[[#This Row],[Employee No.]],Table1_1[[Employee No.]:[Shift]],9,FALSE)</f>
        <v>SHIFT E</v>
      </c>
      <c r="H1020" s="25">
        <v>0</v>
      </c>
      <c r="I1020" s="25">
        <v>0</v>
      </c>
      <c r="J1020" s="25">
        <v>0</v>
      </c>
      <c r="K1020" s="25">
        <v>0</v>
      </c>
      <c r="L1020" s="25">
        <v>0</v>
      </c>
      <c r="M1020" s="25">
        <v>1</v>
      </c>
    </row>
    <row r="1021" spans="3:16">
      <c r="C1021" s="22" t="s">
        <v>4638</v>
      </c>
      <c r="D1021" t="str">
        <f>VLOOKUP(Table3[[#This Row],[Employee No.]],Table1_1[[Employee No.]:[Employee Name]],2,FALSE)</f>
        <v>MUHAMAD FAREEZ BIN MD REJAB</v>
      </c>
      <c r="E1021" t="str">
        <f>VLOOKUP(Table3[[#This Row],[Employee No.]],Table1_1[[Employee No.]:[Department]],6,FALSE)</f>
        <v>SM</v>
      </c>
      <c r="F1021" t="str">
        <f>VLOOKUP(Table3[[#This Row],[Employee No.]],Table1_1[[Employee No.]:[Gender]],7,FALSE)</f>
        <v>M</v>
      </c>
      <c r="G1021" t="str">
        <f>VLOOKUP(Table3[[#This Row],[Employee No.]],Table1_1[[Employee No.]:[Shift]],9,FALSE)</f>
        <v>SHIFT E</v>
      </c>
      <c r="H1021" s="25">
        <v>0</v>
      </c>
      <c r="I1021" s="25">
        <v>0</v>
      </c>
      <c r="J1021" s="25">
        <v>0</v>
      </c>
      <c r="K1021" s="25">
        <v>0</v>
      </c>
      <c r="L1021" s="25">
        <v>0</v>
      </c>
      <c r="M1021" s="25">
        <v>1</v>
      </c>
    </row>
    <row r="1022" spans="3:16">
      <c r="C1022" s="22" t="s">
        <v>4642</v>
      </c>
      <c r="D1022" t="str">
        <f>VLOOKUP(Table3[[#This Row],[Employee No.]],Table1_1[[Employee No.]:[Employee Name]],2,FALSE)</f>
        <v>MUHAMMAD AMIRUL RAZIQ BIN SAUPI</v>
      </c>
      <c r="E1022" t="str">
        <f>VLOOKUP(Table3[[#This Row],[Employee No.]],Table1_1[[Employee No.]:[Department]],6,FALSE)</f>
        <v>AU</v>
      </c>
      <c r="F1022" t="str">
        <f>VLOOKUP(Table3[[#This Row],[Employee No.]],Table1_1[[Employee No.]:[Gender]],7,FALSE)</f>
        <v>M</v>
      </c>
      <c r="G1022" t="str">
        <f>VLOOKUP(Table3[[#This Row],[Employee No.]],Table1_1[[Employee No.]:[Shift]],9,FALSE)</f>
        <v>SHIFT E</v>
      </c>
      <c r="H1022" s="25">
        <v>0</v>
      </c>
      <c r="I1022" s="25">
        <v>0</v>
      </c>
      <c r="J1022" s="25">
        <v>0</v>
      </c>
      <c r="K1022" s="25">
        <v>0</v>
      </c>
      <c r="L1022" s="25">
        <v>0</v>
      </c>
      <c r="M1022" s="25">
        <v>0</v>
      </c>
    </row>
    <row r="1023" spans="3:16">
      <c r="C1023" s="22" t="s">
        <v>4646</v>
      </c>
      <c r="D1023" t="str">
        <f>VLOOKUP(Table3[[#This Row],[Employee No.]],Table1_1[[Employee No.]:[Employee Name]],2,FALSE)</f>
        <v>MUHAMMAD DZULKARNAIN BIN ISMAIL</v>
      </c>
      <c r="E1023" t="str">
        <f>VLOOKUP(Table3[[#This Row],[Employee No.]],Table1_1[[Employee No.]:[Department]],6,FALSE)</f>
        <v>ROUTER</v>
      </c>
      <c r="F1023" t="str">
        <f>VLOOKUP(Table3[[#This Row],[Employee No.]],Table1_1[[Employee No.]:[Gender]],7,FALSE)</f>
        <v>M</v>
      </c>
      <c r="G1023" t="str">
        <f>VLOOKUP(Table3[[#This Row],[Employee No.]],Table1_1[[Employee No.]:[Shift]],9,FALSE)</f>
        <v>SHIFT C</v>
      </c>
      <c r="H1023" s="25">
        <v>1</v>
      </c>
      <c r="I1023" s="25">
        <v>1</v>
      </c>
      <c r="J1023" s="25">
        <v>1</v>
      </c>
      <c r="K1023" s="25">
        <v>1</v>
      </c>
      <c r="L1023" s="25">
        <v>1</v>
      </c>
      <c r="M1023" s="25">
        <v>1</v>
      </c>
      <c r="P1023" s="25"/>
    </row>
    <row r="1024" spans="3:16">
      <c r="C1024" s="22" t="s">
        <v>4654</v>
      </c>
      <c r="D1024" t="str">
        <f>VLOOKUP(Table3[[#This Row],[Employee No.]],Table1_1[[Employee No.]:[Employee Name]],2,FALSE)</f>
        <v>AIN NUR IZZATI BINTI MAT NOOR</v>
      </c>
      <c r="E1024" t="str">
        <f>VLOOKUP(Table3[[#This Row],[Employee No.]],Table1_1[[Employee No.]:[Department]],6,FALSE)</f>
        <v>QUALITY</v>
      </c>
      <c r="F1024" t="str">
        <f>VLOOKUP(Table3[[#This Row],[Employee No.]],Table1_1[[Employee No.]:[Gender]],7,FALSE)</f>
        <v>F</v>
      </c>
      <c r="G1024" t="str">
        <f>VLOOKUP(Table3[[#This Row],[Employee No.]],Table1_1[[Employee No.]:[Shift]],9,FALSE)</f>
        <v>SHIFT A</v>
      </c>
      <c r="H1024" s="25">
        <v>0</v>
      </c>
      <c r="I1024" s="25">
        <v>0</v>
      </c>
      <c r="J1024" s="25">
        <v>0</v>
      </c>
      <c r="K1024" s="25">
        <v>0</v>
      </c>
      <c r="L1024" s="25">
        <v>0</v>
      </c>
      <c r="M1024" s="25">
        <v>1</v>
      </c>
    </row>
    <row r="1025" spans="3:16">
      <c r="C1025" s="22" t="s">
        <v>4672</v>
      </c>
      <c r="D1025" t="str">
        <f>VLOOKUP(Table3[[#This Row],[Employee No.]],Table1_1[[Employee No.]:[Employee Name]],2,FALSE)</f>
        <v>LIYANA KHAIRUNNISA BINTI ROSLAN</v>
      </c>
      <c r="E1025" t="str">
        <f>VLOOKUP(Table3[[#This Row],[Employee No.]],Table1_1[[Employee No.]:[Department]],6,FALSE)</f>
        <v>QUALITY</v>
      </c>
      <c r="F1025" t="str">
        <f>VLOOKUP(Table3[[#This Row],[Employee No.]],Table1_1[[Employee No.]:[Gender]],7,FALSE)</f>
        <v>F</v>
      </c>
      <c r="G1025" t="str">
        <f>VLOOKUP(Table3[[#This Row],[Employee No.]],Table1_1[[Employee No.]:[Shift]],9,FALSE)</f>
        <v>SHIFT A</v>
      </c>
      <c r="H1025" s="25">
        <v>0</v>
      </c>
      <c r="I1025" s="25">
        <v>0</v>
      </c>
      <c r="J1025" s="25">
        <v>0</v>
      </c>
      <c r="K1025" s="25">
        <v>0</v>
      </c>
      <c r="L1025" s="25">
        <v>0</v>
      </c>
      <c r="M1025" s="25">
        <v>1</v>
      </c>
    </row>
    <row r="1026" spans="3:16">
      <c r="C1026" s="22" t="s">
        <v>4684</v>
      </c>
      <c r="D1026" t="str">
        <f>VLOOKUP(Table3[[#This Row],[Employee No.]],Table1_1[[Employee No.]:[Employee Name]],2,FALSE)</f>
        <v>MOHAMAD FADLI NAIM BIN ROZUAN</v>
      </c>
      <c r="E1026" t="str">
        <f>VLOOKUP(Table3[[#This Row],[Employee No.]],Table1_1[[Employee No.]:[Department]],6,FALSE)</f>
        <v>DF</v>
      </c>
      <c r="F1026" t="str">
        <f>VLOOKUP(Table3[[#This Row],[Employee No.]],Table1_1[[Employee No.]:[Gender]],7,FALSE)</f>
        <v>M</v>
      </c>
      <c r="G1026" t="str">
        <f>VLOOKUP(Table3[[#This Row],[Employee No.]],Table1_1[[Employee No.]:[Shift]],9,FALSE)</f>
        <v>SHIFT E</v>
      </c>
      <c r="H1026" s="25">
        <v>0</v>
      </c>
      <c r="I1026" s="25">
        <v>0</v>
      </c>
      <c r="J1026" s="25">
        <v>0</v>
      </c>
      <c r="K1026" s="25">
        <v>0</v>
      </c>
      <c r="L1026" s="25">
        <v>0</v>
      </c>
      <c r="M1026" s="25">
        <v>0</v>
      </c>
    </row>
    <row r="1027" spans="3:16">
      <c r="C1027" s="22" t="s">
        <v>4703</v>
      </c>
      <c r="D1027" t="str">
        <f>VLOOKUP(Table3[[#This Row],[Employee No.]],Table1_1[[Employee No.]:[Employee Name]],2,FALSE)</f>
        <v>MOHAMMAD KHABIR BIN YAHYA</v>
      </c>
      <c r="E1027" t="str">
        <f>VLOOKUP(Table3[[#This Row],[Employee No.]],Table1_1[[Employee No.]:[Department]],6,FALSE)</f>
        <v>QUALITY</v>
      </c>
      <c r="F1027" t="str">
        <f>VLOOKUP(Table3[[#This Row],[Employee No.]],Table1_1[[Employee No.]:[Gender]],7,FALSE)</f>
        <v>M</v>
      </c>
      <c r="G1027" t="str">
        <f>VLOOKUP(Table3[[#This Row],[Employee No.]],Table1_1[[Employee No.]:[Shift]],9,FALSE)</f>
        <v>SHIFT B</v>
      </c>
      <c r="H1027" s="25">
        <v>1</v>
      </c>
      <c r="I1027" s="25">
        <v>1</v>
      </c>
      <c r="J1027" s="25">
        <v>1</v>
      </c>
      <c r="K1027" s="25">
        <v>1</v>
      </c>
      <c r="L1027" s="25">
        <v>1</v>
      </c>
      <c r="M1027" s="25">
        <v>1</v>
      </c>
    </row>
    <row r="1028" spans="3:16">
      <c r="C1028" s="22" t="s">
        <v>4707</v>
      </c>
      <c r="D1028" t="str">
        <f>VLOOKUP(Table3[[#This Row],[Employee No.]],Table1_1[[Employee No.]:[Employee Name]],2,FALSE)</f>
        <v>MUHAMAD AFIQ IMAN BIN MOHD KAMAL</v>
      </c>
      <c r="E1028" t="str">
        <f>VLOOKUP(Table3[[#This Row],[Employee No.]],Table1_1[[Employee No.]:[Department]],6,FALSE)</f>
        <v>FVI</v>
      </c>
      <c r="F1028" t="str">
        <f>VLOOKUP(Table3[[#This Row],[Employee No.]],Table1_1[[Employee No.]:[Gender]],7,FALSE)</f>
        <v>M</v>
      </c>
      <c r="G1028" t="str">
        <f>VLOOKUP(Table3[[#This Row],[Employee No.]],Table1_1[[Employee No.]:[Shift]],9,FALSE)</f>
        <v>SHIFT B</v>
      </c>
      <c r="H1028" s="25">
        <v>1</v>
      </c>
      <c r="I1028" s="25">
        <v>1</v>
      </c>
      <c r="J1028" s="25">
        <v>1</v>
      </c>
      <c r="K1028" s="25">
        <v>1</v>
      </c>
      <c r="L1028" s="25">
        <v>1</v>
      </c>
      <c r="M1028" s="25">
        <v>1</v>
      </c>
    </row>
    <row r="1029" spans="3:16">
      <c r="C1029" s="22" t="s">
        <v>4711</v>
      </c>
      <c r="D1029" t="str">
        <f>VLOOKUP(Table3[[#This Row],[Employee No.]],Table1_1[[Employee No.]:[Employee Name]],2,FALSE)</f>
        <v>MUHAMAD DANISH FARIHIN BIN MOHD AMINIZAM</v>
      </c>
      <c r="E1029" t="str">
        <f>VLOOKUP(Table3[[#This Row],[Employee No.]],Table1_1[[Employee No.]:[Department]],6,FALSE)</f>
        <v>QUALITY</v>
      </c>
      <c r="F1029" t="str">
        <f>VLOOKUP(Table3[[#This Row],[Employee No.]],Table1_1[[Employee No.]:[Gender]],7,FALSE)</f>
        <v>M</v>
      </c>
      <c r="G1029" t="str">
        <f>VLOOKUP(Table3[[#This Row],[Employee No.]],Table1_1[[Employee No.]:[Shift]],9,FALSE)</f>
        <v>SHIFT A</v>
      </c>
      <c r="H1029" s="25">
        <v>0</v>
      </c>
      <c r="I1029" s="25">
        <v>0</v>
      </c>
      <c r="J1029" s="25">
        <v>0</v>
      </c>
      <c r="K1029" s="25">
        <v>0</v>
      </c>
      <c r="L1029" s="25">
        <v>0</v>
      </c>
      <c r="M1029" s="25">
        <v>1</v>
      </c>
    </row>
    <row r="1030" spans="3:16">
      <c r="C1030" s="22" t="s">
        <v>4715</v>
      </c>
      <c r="D1030" t="str">
        <f>VLOOKUP(Table3[[#This Row],[Employee No.]],Table1_1[[Employee No.]:[Employee Name]],2,FALSE)</f>
        <v>MUHAMAD SYAMIM BIN AZIZ</v>
      </c>
      <c r="E1030" t="str">
        <f>VLOOKUP(Table3[[#This Row],[Employee No.]],Table1_1[[Employee No.]:[Department]],6,FALSE)</f>
        <v>DF</v>
      </c>
      <c r="F1030" t="str">
        <f>VLOOKUP(Table3[[#This Row],[Employee No.]],Table1_1[[Employee No.]:[Gender]],7,FALSE)</f>
        <v>M</v>
      </c>
      <c r="G1030" t="str">
        <f>VLOOKUP(Table3[[#This Row],[Employee No.]],Table1_1[[Employee No.]:[Shift]],9,FALSE)</f>
        <v>SHIFT E</v>
      </c>
      <c r="H1030" s="25">
        <v>0</v>
      </c>
      <c r="I1030" s="25">
        <v>0</v>
      </c>
      <c r="J1030" s="25">
        <v>0</v>
      </c>
      <c r="K1030" s="25">
        <v>0</v>
      </c>
      <c r="L1030" s="25">
        <v>0</v>
      </c>
      <c r="M1030" s="25">
        <v>0</v>
      </c>
    </row>
    <row r="1031" spans="3:16">
      <c r="C1031" s="22" t="s">
        <v>4722</v>
      </c>
      <c r="D1031" t="str">
        <f>VLOOKUP(Table3[[#This Row],[Employee No.]],Table1_1[[Employee No.]:[Employee Name]],2,FALSE)</f>
        <v>MUHAMMAD AIMAN BIN AZMI</v>
      </c>
      <c r="E1031" t="str">
        <f>VLOOKUP(Table3[[#This Row],[Employee No.]],Table1_1[[Employee No.]:[Department]],6,FALSE)</f>
        <v>QUALITY</v>
      </c>
      <c r="F1031" t="str">
        <f>VLOOKUP(Table3[[#This Row],[Employee No.]],Table1_1[[Employee No.]:[Gender]],7,FALSE)</f>
        <v>M</v>
      </c>
      <c r="G1031" t="str">
        <f>VLOOKUP(Table3[[#This Row],[Employee No.]],Table1_1[[Employee No.]:[Shift]],9,FALSE)</f>
        <v>SHIFT B</v>
      </c>
      <c r="H1031" s="25">
        <v>1</v>
      </c>
      <c r="I1031" s="25">
        <v>1</v>
      </c>
      <c r="J1031" s="25">
        <v>1</v>
      </c>
      <c r="K1031" s="25">
        <v>1</v>
      </c>
      <c r="L1031" s="25">
        <v>1</v>
      </c>
      <c r="M1031" s="25">
        <v>1</v>
      </c>
    </row>
    <row r="1032" spans="3:16">
      <c r="C1032" s="22" t="s">
        <v>4730</v>
      </c>
      <c r="D1032" t="str">
        <f>VLOOKUP(Table3[[#This Row],[Employee No.]],Table1_1[[Employee No.]:[Employee Name]],2,FALSE)</f>
        <v>MUHAMMAD AMIN BIN AZMI</v>
      </c>
      <c r="E1032" t="str">
        <f>VLOOKUP(Table3[[#This Row],[Employee No.]],Table1_1[[Employee No.]:[Department]],6,FALSE)</f>
        <v>QUALITY</v>
      </c>
      <c r="F1032" t="str">
        <f>VLOOKUP(Table3[[#This Row],[Employee No.]],Table1_1[[Employee No.]:[Gender]],7,FALSE)</f>
        <v>M</v>
      </c>
      <c r="G1032" t="str">
        <f>VLOOKUP(Table3[[#This Row],[Employee No.]],Table1_1[[Employee No.]:[Shift]],9,FALSE)</f>
        <v>SHIFT C</v>
      </c>
      <c r="H1032" s="25">
        <v>1</v>
      </c>
      <c r="I1032" s="25">
        <v>1</v>
      </c>
      <c r="J1032" s="25">
        <v>1</v>
      </c>
      <c r="K1032" s="25">
        <v>1</v>
      </c>
      <c r="L1032" s="25">
        <v>1</v>
      </c>
      <c r="M1032" s="25">
        <v>1</v>
      </c>
      <c r="P1032" s="25"/>
    </row>
    <row r="1033" spans="3:16">
      <c r="C1033" s="22" t="s">
        <v>4734</v>
      </c>
      <c r="D1033" t="str">
        <f>VLOOKUP(Table3[[#This Row],[Employee No.]],Table1_1[[Employee No.]:[Employee Name]],2,FALSE)</f>
        <v>MUHAMMAD AMIRUL BIN IBRAHIM</v>
      </c>
      <c r="E1033" t="str">
        <f>VLOOKUP(Table3[[#This Row],[Employee No.]],Table1_1[[Employee No.]:[Department]],6,FALSE)</f>
        <v>AU</v>
      </c>
      <c r="F1033" t="str">
        <f>VLOOKUP(Table3[[#This Row],[Employee No.]],Table1_1[[Employee No.]:[Gender]],7,FALSE)</f>
        <v>M</v>
      </c>
      <c r="G1033" t="str">
        <f>VLOOKUP(Table3[[#This Row],[Employee No.]],Table1_1[[Employee No.]:[Shift]],9,FALSE)</f>
        <v>SHIFT E</v>
      </c>
      <c r="H1033" s="25">
        <v>0</v>
      </c>
      <c r="I1033" s="25">
        <v>0</v>
      </c>
      <c r="J1033" s="25">
        <v>0</v>
      </c>
      <c r="K1033" s="25">
        <v>0</v>
      </c>
      <c r="L1033" s="25">
        <v>0</v>
      </c>
      <c r="M1033" s="25">
        <v>0</v>
      </c>
    </row>
    <row r="1034" spans="3:16">
      <c r="C1034" s="22" t="s">
        <v>4737</v>
      </c>
      <c r="D1034" t="str">
        <f>VLOOKUP(Table3[[#This Row],[Employee No.]],Table1_1[[Employee No.]:[Employee Name]],2,FALSE)</f>
        <v>MUHAMMAD ASYRAF BIN MANSOR</v>
      </c>
      <c r="E1034" t="str">
        <f>VLOOKUP(Table3[[#This Row],[Employee No.]],Table1_1[[Employee No.]:[Department]],6,FALSE)</f>
        <v>BBT</v>
      </c>
      <c r="F1034" t="str">
        <f>VLOOKUP(Table3[[#This Row],[Employee No.]],Table1_1[[Employee No.]:[Gender]],7,FALSE)</f>
        <v>M</v>
      </c>
      <c r="G1034" t="str">
        <f>VLOOKUP(Table3[[#This Row],[Employee No.]],Table1_1[[Employee No.]:[Shift]],9,FALSE)</f>
        <v>SHIFT E</v>
      </c>
      <c r="H1034" s="25">
        <v>0</v>
      </c>
      <c r="I1034" s="25">
        <v>0</v>
      </c>
      <c r="J1034" s="25">
        <v>0</v>
      </c>
      <c r="K1034" s="25">
        <v>0</v>
      </c>
      <c r="L1034" s="25">
        <v>0</v>
      </c>
      <c r="M1034" s="25">
        <v>1</v>
      </c>
    </row>
    <row r="1035" spans="3:16">
      <c r="C1035" s="22" t="s">
        <v>4755</v>
      </c>
      <c r="D1035" t="str">
        <f>VLOOKUP(Table3[[#This Row],[Employee No.]],Table1_1[[Employee No.]:[Employee Name]],2,FALSE)</f>
        <v>MUHAMMAD HIZAT BIN JEEFRI</v>
      </c>
      <c r="E1035" t="str">
        <f>VLOOKUP(Table3[[#This Row],[Employee No.]],Table1_1[[Employee No.]:[Department]],6,FALSE)</f>
        <v>QUALITY</v>
      </c>
      <c r="F1035" t="str">
        <f>VLOOKUP(Table3[[#This Row],[Employee No.]],Table1_1[[Employee No.]:[Gender]],7,FALSE)</f>
        <v>M</v>
      </c>
      <c r="G1035" t="str">
        <f>VLOOKUP(Table3[[#This Row],[Employee No.]],Table1_1[[Employee No.]:[Shift]],9,FALSE)</f>
        <v>SHIFT A</v>
      </c>
      <c r="H1035" s="25">
        <v>0</v>
      </c>
      <c r="I1035" s="25">
        <v>0</v>
      </c>
      <c r="J1035" s="25">
        <v>0</v>
      </c>
      <c r="K1035" s="25">
        <v>0</v>
      </c>
      <c r="L1035" s="25">
        <v>0</v>
      </c>
      <c r="M1035" s="25">
        <v>1</v>
      </c>
    </row>
    <row r="1036" spans="3:16">
      <c r="C1036" s="22" t="s">
        <v>4782</v>
      </c>
      <c r="D1036" t="str">
        <f>VLOOKUP(Table3[[#This Row],[Employee No.]],Table1_1[[Employee No.]:[Employee Name]],2,FALSE)</f>
        <v>NUR QAMARINA BINTI KAMESSAN</v>
      </c>
      <c r="E1036" t="str">
        <f>VLOOKUP(Table3[[#This Row],[Employee No.]],Table1_1[[Employee No.]:[Department]],6,FALSE)</f>
        <v>QUALITY</v>
      </c>
      <c r="F1036" t="str">
        <f>VLOOKUP(Table3[[#This Row],[Employee No.]],Table1_1[[Employee No.]:[Gender]],7,FALSE)</f>
        <v>F</v>
      </c>
      <c r="G1036" t="str">
        <f>VLOOKUP(Table3[[#This Row],[Employee No.]],Table1_1[[Employee No.]:[Shift]],9,FALSE)</f>
        <v>SHIFT C</v>
      </c>
      <c r="H1036" s="25">
        <v>1</v>
      </c>
      <c r="I1036" s="25">
        <v>1</v>
      </c>
      <c r="J1036" s="25">
        <v>1</v>
      </c>
      <c r="K1036" s="25">
        <v>1</v>
      </c>
      <c r="L1036" s="25">
        <v>0</v>
      </c>
      <c r="M1036" s="25">
        <v>1</v>
      </c>
      <c r="P1036" s="25"/>
    </row>
    <row r="1037" spans="3:16">
      <c r="C1037" s="22" t="s">
        <v>4785</v>
      </c>
      <c r="D1037" t="str">
        <f>VLOOKUP(Table3[[#This Row],[Employee No.]],Table1_1[[Employee No.]:[Employee Name]],2,FALSE)</f>
        <v>NUR SYAKQIRA NAZIFA BINTI AMRAN</v>
      </c>
      <c r="E1037" t="str">
        <f>VLOOKUP(Table3[[#This Row],[Employee No.]],Table1_1[[Employee No.]:[Department]],6,FALSE)</f>
        <v>QUALITY</v>
      </c>
      <c r="F1037" t="str">
        <f>VLOOKUP(Table3[[#This Row],[Employee No.]],Table1_1[[Employee No.]:[Gender]],7,FALSE)</f>
        <v>F</v>
      </c>
      <c r="G1037" t="str">
        <f>VLOOKUP(Table3[[#This Row],[Employee No.]],Table1_1[[Employee No.]:[Shift]],9,FALSE)</f>
        <v>SHIFT A</v>
      </c>
      <c r="H1037" s="25">
        <v>0</v>
      </c>
      <c r="I1037" s="25">
        <v>0</v>
      </c>
      <c r="J1037" s="25">
        <v>0</v>
      </c>
      <c r="K1037" s="25">
        <v>0</v>
      </c>
      <c r="L1037" s="25">
        <v>0</v>
      </c>
      <c r="M1037" s="25">
        <v>1</v>
      </c>
    </row>
    <row r="1038" spans="3:16">
      <c r="C1038" s="22" t="s">
        <v>4789</v>
      </c>
      <c r="D1038" t="str">
        <f>VLOOKUP(Table3[[#This Row],[Employee No.]],Table1_1[[Employee No.]:[Employee Name]],2,FALSE)</f>
        <v>NURUL AIN NAJWA BINTI ABDUL LATIF</v>
      </c>
      <c r="E1038" t="str">
        <f>VLOOKUP(Table3[[#This Row],[Employee No.]],Table1_1[[Employee No.]:[Department]],6,FALSE)</f>
        <v>QUALITY</v>
      </c>
      <c r="F1038" t="str">
        <f>VLOOKUP(Table3[[#This Row],[Employee No.]],Table1_1[[Employee No.]:[Gender]],7,FALSE)</f>
        <v>F</v>
      </c>
      <c r="G1038" t="str">
        <f>VLOOKUP(Table3[[#This Row],[Employee No.]],Table1_1[[Employee No.]:[Shift]],9,FALSE)</f>
        <v>SHIFT C</v>
      </c>
      <c r="H1038" s="25">
        <v>1</v>
      </c>
      <c r="I1038" s="25">
        <v>1</v>
      </c>
      <c r="J1038" s="25">
        <v>1</v>
      </c>
      <c r="K1038" s="25">
        <v>1</v>
      </c>
      <c r="L1038" s="25">
        <v>1</v>
      </c>
      <c r="M1038" s="25">
        <v>1</v>
      </c>
    </row>
    <row r="1039" spans="3:16">
      <c r="C1039" s="23" t="s">
        <v>4801</v>
      </c>
      <c r="D1039" t="str">
        <f>VLOOKUP(Table3[[#This Row],[Employee No.]],Table1_1[[Employee No.]:[Employee Name]],2,FALSE)</f>
        <v>SITI NOR AIDA BINTI MD YATIN</v>
      </c>
      <c r="E1039" t="str">
        <f>VLOOKUP(Table3[[#This Row],[Employee No.]],Table1_1[[Employee No.]:[Department]],6,FALSE)</f>
        <v>QUALITY</v>
      </c>
      <c r="F1039" t="str">
        <f>VLOOKUP(Table3[[#This Row],[Employee No.]],Table1_1[[Employee No.]:[Gender]],7,FALSE)</f>
        <v>F</v>
      </c>
      <c r="G1039" t="str">
        <f>VLOOKUP(Table3[[#This Row],[Employee No.]],Table1_1[[Employee No.]:[Shift]],9,FALSE)</f>
        <v>SHIFT B</v>
      </c>
      <c r="H1039" s="25">
        <v>1</v>
      </c>
      <c r="I1039" s="25">
        <v>1</v>
      </c>
      <c r="J1039" s="25">
        <v>1</v>
      </c>
      <c r="K1039" s="25">
        <v>1</v>
      </c>
      <c r="L1039" s="25">
        <v>1</v>
      </c>
      <c r="M1039" s="25">
        <v>1</v>
      </c>
    </row>
    <row r="1040" spans="3:16">
      <c r="C1040" s="22" t="s">
        <v>361</v>
      </c>
      <c r="D1040" t="str">
        <f>VLOOKUP(Table3[[#This Row],[Employee No.]],Table1_1[[Employee No.]:[Employee Name]],2,FALSE)</f>
        <v>MUHAMAD IRFAN FAREEZ BIN AZEMI</v>
      </c>
      <c r="E1040" t="str">
        <f>VLOOKUP(Table3[[#This Row],[Employee No.]],Table1_1[[Employee No.]:[Department]],6,FALSE)</f>
        <v>AOI</v>
      </c>
      <c r="F1040" t="str">
        <f>VLOOKUP(Table3[[#This Row],[Employee No.]],Table1_1[[Employee No.]:[Gender]],7,FALSE)</f>
        <v>M</v>
      </c>
      <c r="G1040" t="str">
        <f>VLOOKUP(Table3[[#This Row],[Employee No.]],Table1_1[[Employee No.]:[Shift]],9,FALSE)</f>
        <v>SHIFT E</v>
      </c>
      <c r="M1040" s="25">
        <v>0</v>
      </c>
    </row>
    <row r="1041" spans="3:13">
      <c r="C1041" s="22" t="s">
        <v>488</v>
      </c>
      <c r="D1041" t="str">
        <f>VLOOKUP(Table3[[#This Row],[Employee No.]],Table1_1[[Employee No.]:[Employee Name]],2,FALSE)</f>
        <v>NORFARAHIDA BINTI KAMARUDDIN</v>
      </c>
      <c r="E1041" t="str">
        <f>VLOOKUP(Table3[[#This Row],[Employee No.]],Table1_1[[Employee No.]:[Department]],6,FALSE)</f>
        <v>QUALITY</v>
      </c>
      <c r="F1041" t="str">
        <f>VLOOKUP(Table3[[#This Row],[Employee No.]],Table1_1[[Employee No.]:[Gender]],7,FALSE)</f>
        <v>F</v>
      </c>
      <c r="G1041" t="str">
        <f>VLOOKUP(Table3[[#This Row],[Employee No.]],Table1_1[[Employee No.]:[Shift]],9,FALSE)</f>
        <v>SHIFT C</v>
      </c>
      <c r="M1041">
        <v>1</v>
      </c>
    </row>
    <row r="1042" spans="3:13">
      <c r="C1042" s="22" t="s">
        <v>4484</v>
      </c>
      <c r="D1042" t="str">
        <f>VLOOKUP(Table3[[#This Row],[Employee No.]],Table1_1[[Employee No.]:[Employee Name]],2,FALSE)</f>
        <v>NURUL SYUHAZMIZAH BINTI MOHAMAD SUHAIMI</v>
      </c>
      <c r="E1042" t="str">
        <f>VLOOKUP(Table3[[#This Row],[Employee No.]],Table1_1[[Employee No.]:[Department]],6,FALSE)</f>
        <v>FVI</v>
      </c>
      <c r="F1042" t="str">
        <f>VLOOKUP(Table3[[#This Row],[Employee No.]],Table1_1[[Employee No.]:[Gender]],7,FALSE)</f>
        <v>F</v>
      </c>
      <c r="G1042" t="str">
        <f>VLOOKUP(Table3[[#This Row],[Employee No.]],Table1_1[[Employee No.]:[Shift]],9,FALSE)</f>
        <v>SHIFT B</v>
      </c>
    </row>
    <row r="1043" spans="3:13">
      <c r="C1043" s="22" t="s">
        <v>4520</v>
      </c>
      <c r="D1043" t="str">
        <f>VLOOKUP(Table3[[#This Row],[Employee No.]],Table1_1[[Employee No.]:[Employee Name]],2,FALSE)</f>
        <v>ROBAYAH BINTI MOHAMAD TAMIZI</v>
      </c>
      <c r="E1043" t="str">
        <f>VLOOKUP(Table3[[#This Row],[Employee No.]],Table1_1[[Employee No.]:[Department]],6,FALSE)</f>
        <v>FVI</v>
      </c>
      <c r="F1043" t="str">
        <f>VLOOKUP(Table3[[#This Row],[Employee No.]],Table1_1[[Employee No.]:[Gender]],7,FALSE)</f>
        <v>F</v>
      </c>
      <c r="G1043" t="str">
        <f>VLOOKUP(Table3[[#This Row],[Employee No.]],Table1_1[[Employee No.]:[Shift]],9,FALSE)</f>
        <v>SHIFT C</v>
      </c>
    </row>
    <row r="1044" spans="3:13">
      <c r="C1044" s="22" t="s">
        <v>4626</v>
      </c>
      <c r="D1044" t="str">
        <f>VLOOKUP(Table3[[#This Row],[Employee No.]],Table1_1[[Employee No.]:[Employee Name]],2,FALSE)</f>
        <v>NOR ZAHIRAH IZZATY BINTI ISHAK</v>
      </c>
      <c r="E1044" t="str">
        <f>VLOOKUP(Table3[[#This Row],[Employee No.]],Table1_1[[Employee No.]:[Department]],6,FALSE)</f>
        <v>FVI</v>
      </c>
      <c r="F1044" t="str">
        <f>VLOOKUP(Table3[[#This Row],[Employee No.]],Table1_1[[Employee No.]:[Gender]],7,FALSE)</f>
        <v>F</v>
      </c>
      <c r="G1044" t="str">
        <f>VLOOKUP(Table3[[#This Row],[Employee No.]],Table1_1[[Employee No.]:[Shift]],9,FALSE)</f>
        <v>SHIFT B</v>
      </c>
    </row>
    <row r="1045" spans="3:13">
      <c r="C1045" s="22" t="s">
        <v>4665</v>
      </c>
      <c r="D1045" t="str">
        <f>VLOOKUP(Table3[[#This Row],[Employee No.]],Table1_1[[Employee No.]:[Employee Name]],2,FALSE)</f>
        <v>HANA HUMAIRA BINTI YUSRIZAL</v>
      </c>
      <c r="E1045" t="str">
        <f>VLOOKUP(Table3[[#This Row],[Employee No.]],Table1_1[[Employee No.]:[Department]],6,FALSE)</f>
        <v>FVI</v>
      </c>
      <c r="F1045" t="str">
        <f>VLOOKUP(Table3[[#This Row],[Employee No.]],Table1_1[[Employee No.]:[Gender]],7,FALSE)</f>
        <v>F</v>
      </c>
      <c r="G1045" t="str">
        <f>VLOOKUP(Table3[[#This Row],[Employee No.]],Table1_1[[Employee No.]:[Shift]],9,FALSE)</f>
        <v>SHIFT A</v>
      </c>
      <c r="M1045" s="25">
        <v>0</v>
      </c>
    </row>
    <row r="1046" spans="3:13">
      <c r="C1046" s="31" t="s">
        <v>4669</v>
      </c>
      <c r="D1046" t="str">
        <f>VLOOKUP(Table3[[#This Row],[Employee No.]],Table1_1[[Employee No.]:[Employee Name]],2,FALSE)</f>
        <v>IDHAM BIN MUHAMAD AMIRSYARIFUDDIN</v>
      </c>
      <c r="E1046" t="str">
        <f>VLOOKUP(Table3[[#This Row],[Employee No.]],Table1_1[[Employee No.]:[Department]],6,FALSE)</f>
        <v>DRILL</v>
      </c>
      <c r="F1046" t="str">
        <f>VLOOKUP(Table3[[#This Row],[Employee No.]],Table1_1[[Employee No.]:[Gender]],7,FALSE)</f>
        <v>M</v>
      </c>
      <c r="G1046" t="str">
        <f>VLOOKUP(Table3[[#This Row],[Employee No.]],Table1_1[[Employee No.]:[Shift]],9,FALSE)</f>
        <v>SHIFT O</v>
      </c>
    </row>
    <row r="1047" spans="3:13">
      <c r="C1047" s="22" t="s">
        <v>4680</v>
      </c>
      <c r="D1047" t="str">
        <f>VLOOKUP(Table3[[#This Row],[Employee No.]],Table1_1[[Employee No.]:[Employee Name]],2,FALSE)</f>
        <v>MOHAMAD AZIZI BIN MD RADZI</v>
      </c>
      <c r="E1047" t="str">
        <f>VLOOKUP(Table3[[#This Row],[Employee No.]],Table1_1[[Employee No.]:[Department]],6,FALSE)</f>
        <v>AOI</v>
      </c>
      <c r="F1047" t="str">
        <f>VLOOKUP(Table3[[#This Row],[Employee No.]],Table1_1[[Employee No.]:[Gender]],7,FALSE)</f>
        <v>M</v>
      </c>
      <c r="G1047" t="str">
        <f>VLOOKUP(Table3[[#This Row],[Employee No.]],Table1_1[[Employee No.]:[Shift]],9,FALSE)</f>
        <v>SHIFT E</v>
      </c>
      <c r="M1047" s="25">
        <v>0</v>
      </c>
    </row>
    <row r="1048" spans="3:13">
      <c r="C1048" s="22" t="s">
        <v>4688</v>
      </c>
      <c r="D1048" t="str">
        <f>VLOOKUP(Table3[[#This Row],[Employee No.]],Table1_1[[Employee No.]:[Employee Name]],2,FALSE)</f>
        <v>MOHAMAD FARIS BIN MAT KHOSNI</v>
      </c>
      <c r="E1048" t="str">
        <f>VLOOKUP(Table3[[#This Row],[Employee No.]],Table1_1[[Employee No.]:[Department]],6,FALSE)</f>
        <v>ROUTER</v>
      </c>
      <c r="F1048" t="str">
        <f>VLOOKUP(Table3[[#This Row],[Employee No.]],Table1_1[[Employee No.]:[Gender]],7,FALSE)</f>
        <v>M</v>
      </c>
      <c r="G1048" t="str">
        <f>VLOOKUP(Table3[[#This Row],[Employee No.]],Table1_1[[Employee No.]:[Shift]],9,FALSE)</f>
        <v>SHIFT A</v>
      </c>
    </row>
    <row r="1049" spans="3:13">
      <c r="C1049" s="31" t="s">
        <v>4691</v>
      </c>
      <c r="D1049" t="str">
        <f>VLOOKUP(Table3[[#This Row],[Employee No.]],Table1_1[[Employee No.]:[Employee Name]],2,FALSE)</f>
        <v>MOHAMAD HAFIZUL BIN YA'ACOB</v>
      </c>
      <c r="E1049" t="str">
        <f>VLOOKUP(Table3[[#This Row],[Employee No.]],Table1_1[[Employee No.]:[Department]],6,FALSE)</f>
        <v>DRILL</v>
      </c>
      <c r="F1049" t="str">
        <f>VLOOKUP(Table3[[#This Row],[Employee No.]],Table1_1[[Employee No.]:[Gender]],7,FALSE)</f>
        <v>M</v>
      </c>
      <c r="G1049" t="str">
        <f>VLOOKUP(Table3[[#This Row],[Employee No.]],Table1_1[[Employee No.]:[Shift]],9,FALSE)</f>
        <v>SHIFT O</v>
      </c>
    </row>
    <row r="1050" spans="3:13">
      <c r="C1050" s="31" t="s">
        <v>4699</v>
      </c>
      <c r="D1050" t="str">
        <f>VLOOKUP(Table3[[#This Row],[Employee No.]],Table1_1[[Employee No.]:[Employee Name]],2,FALSE)</f>
        <v>MOHAMAD ZAMRI BIN AMIR</v>
      </c>
      <c r="E1050" t="str">
        <f>VLOOKUP(Table3[[#This Row],[Employee No.]],Table1_1[[Employee No.]:[Department]],6,FALSE)</f>
        <v>ROUTER</v>
      </c>
      <c r="F1050" t="str">
        <f>VLOOKUP(Table3[[#This Row],[Employee No.]],Table1_1[[Employee No.]:[Gender]],7,FALSE)</f>
        <v>M</v>
      </c>
      <c r="G1050" t="str">
        <f>VLOOKUP(Table3[[#This Row],[Employee No.]],Table1_1[[Employee No.]:[Shift]],9,FALSE)</f>
        <v>SHIFT C</v>
      </c>
    </row>
    <row r="1051" spans="3:13">
      <c r="C1051" s="22" t="s">
        <v>4718</v>
      </c>
      <c r="D1051" t="str">
        <f>VLOOKUP(Table3[[#This Row],[Employee No.]],Table1_1[[Employee No.]:[Employee Name]],2,FALSE)</f>
        <v>MUHAMMAD AFIQ AMINUDDIN BIN ZAINAL</v>
      </c>
      <c r="E1051" t="str">
        <f>VLOOKUP(Table3[[#This Row],[Employee No.]],Table1_1[[Employee No.]:[Department]],6,FALSE)</f>
        <v>ROUTER</v>
      </c>
      <c r="F1051" t="str">
        <f>VLOOKUP(Table3[[#This Row],[Employee No.]],Table1_1[[Employee No.]:[Gender]],7,FALSE)</f>
        <v>M</v>
      </c>
      <c r="G1051" t="str">
        <f>VLOOKUP(Table3[[#This Row],[Employee No.]],Table1_1[[Employee No.]:[Shift]],9,FALSE)</f>
        <v>SHIFT A</v>
      </c>
    </row>
    <row r="1052" spans="3:13">
      <c r="C1052" s="22" t="s">
        <v>4744</v>
      </c>
      <c r="D1052" t="str">
        <f>VLOOKUP(Table3[[#This Row],[Employee No.]],Table1_1[[Employee No.]:[Employee Name]],2,FALSE)</f>
        <v>MUHAMMAD FAKHRUR RAZI BIN HASWIRA</v>
      </c>
      <c r="E1052" t="str">
        <f>VLOOKUP(Table3[[#This Row],[Employee No.]],Table1_1[[Employee No.]:[Department]],6,FALSE)</f>
        <v>AOI</v>
      </c>
      <c r="F1052" t="str">
        <f>VLOOKUP(Table3[[#This Row],[Employee No.]],Table1_1[[Employee No.]:[Gender]],7,FALSE)</f>
        <v>M</v>
      </c>
      <c r="G1052" t="str">
        <f>VLOOKUP(Table3[[#This Row],[Employee No.]],Table1_1[[Employee No.]:[Shift]],9,FALSE)</f>
        <v>SHIFT E</v>
      </c>
      <c r="M1052" s="25">
        <v>0</v>
      </c>
    </row>
    <row r="1053" spans="3:13">
      <c r="C1053" s="22" t="s">
        <v>4759</v>
      </c>
      <c r="D1053" t="str">
        <f>VLOOKUP(Table3[[#This Row],[Employee No.]],Table1_1[[Employee No.]:[Employee Name]],2,FALSE)</f>
        <v>MUHAMMAD IKRAM BIN SHAMSUL</v>
      </c>
      <c r="E1053" t="str">
        <f>VLOOKUP(Table3[[#This Row],[Employee No.]],Table1_1[[Employee No.]:[Department]],6,FALSE)</f>
        <v>DRILL</v>
      </c>
      <c r="F1053" t="str">
        <f>VLOOKUP(Table3[[#This Row],[Employee No.]],Table1_1[[Employee No.]:[Gender]],7,FALSE)</f>
        <v>M</v>
      </c>
      <c r="G1053" t="str">
        <f>VLOOKUP(Table3[[#This Row],[Employee No.]],Table1_1[[Employee No.]:[Shift]],9,FALSE)</f>
        <v>SHIFT O</v>
      </c>
      <c r="M1053" s="25">
        <v>1</v>
      </c>
    </row>
    <row r="1054" spans="3:13">
      <c r="C1054" s="31" t="s">
        <v>4770</v>
      </c>
      <c r="D1054" t="str">
        <f>VLOOKUP(Table3[[#This Row],[Employee No.]],Table1_1[[Employee No.]:[Employee Name]],2,FALSE)</f>
        <v>MUHAMMAD SYAHMI IQBAL BIN SUHALI</v>
      </c>
      <c r="E1054" t="str">
        <f>VLOOKUP(Table3[[#This Row],[Employee No.]],Table1_1[[Employee No.]:[Department]],6,FALSE)</f>
        <v>DRILL</v>
      </c>
      <c r="F1054" t="str">
        <f>VLOOKUP(Table3[[#This Row],[Employee No.]],Table1_1[[Employee No.]:[Gender]],7,FALSE)</f>
        <v>M</v>
      </c>
      <c r="G1054" t="str">
        <f>VLOOKUP(Table3[[#This Row],[Employee No.]],Table1_1[[Employee No.]:[Shift]],9,FALSE)</f>
        <v>SHIFT O</v>
      </c>
    </row>
    <row r="1055" spans="3:13">
      <c r="C1055" s="31" t="s">
        <v>4774</v>
      </c>
      <c r="D1055" t="str">
        <f>VLOOKUP(Table3[[#This Row],[Employee No.]],Table1_1[[Employee No.]:[Employee Name]],2,FALSE)</f>
        <v>NORFARAHIN BINTI SEBANI</v>
      </c>
      <c r="E1055" t="str">
        <f>VLOOKUP(Table3[[#This Row],[Employee No.]],Table1_1[[Employee No.]:[Department]],6,FALSE)</f>
        <v>FVI</v>
      </c>
      <c r="F1055" t="str">
        <f>VLOOKUP(Table3[[#This Row],[Employee No.]],Table1_1[[Employee No.]:[Gender]],7,FALSE)</f>
        <v>F</v>
      </c>
      <c r="G1055" t="str">
        <f>VLOOKUP(Table3[[#This Row],[Employee No.]],Table1_1[[Employee No.]:[Shift]],9,FALSE)</f>
        <v>SHIFT A</v>
      </c>
      <c r="M1055" s="25">
        <v>0</v>
      </c>
    </row>
    <row r="1056" spans="3:13">
      <c r="C1056" s="31" t="s">
        <v>4778</v>
      </c>
      <c r="D1056" t="str">
        <f>VLOOKUP(Table3[[#This Row],[Employee No.]],Table1_1[[Employee No.]:[Employee Name]],2,FALSE)</f>
        <v>NUR AISYAH BINTI MOHD SHUKORI</v>
      </c>
      <c r="E1056" t="str">
        <f>VLOOKUP(Table3[[#This Row],[Employee No.]],Table1_1[[Employee No.]:[Department]],6,FALSE)</f>
        <v>AOI</v>
      </c>
      <c r="F1056" t="str">
        <f>VLOOKUP(Table3[[#This Row],[Employee No.]],Table1_1[[Employee No.]:[Gender]],7,FALSE)</f>
        <v>F</v>
      </c>
      <c r="G1056" t="str">
        <f>VLOOKUP(Table3[[#This Row],[Employee No.]],Table1_1[[Employee No.]:[Shift]],9,FALSE)</f>
        <v>SHIFT E</v>
      </c>
      <c r="M1056" s="25">
        <v>0</v>
      </c>
    </row>
    <row r="1057" spans="3:7">
      <c r="C1057" s="22" t="s">
        <v>4797</v>
      </c>
      <c r="D1057" t="str">
        <f>VLOOKUP(Table3[[#This Row],[Employee No.]],Table1_1[[Employee No.]:[Employee Name]],2,FALSE)</f>
        <v>SHAMINI A/P MUTHU KUMARAN</v>
      </c>
      <c r="E1057" t="str">
        <f>VLOOKUP(Table3[[#This Row],[Employee No.]],Table1_1[[Employee No.]:[Department]],6,FALSE)</f>
        <v>FVI</v>
      </c>
      <c r="F1057" t="str">
        <f>VLOOKUP(Table3[[#This Row],[Employee No.]],Table1_1[[Employee No.]:[Gender]],7,FALSE)</f>
        <v>F</v>
      </c>
      <c r="G1057" t="str">
        <f>VLOOKUP(Table3[[#This Row],[Employee No.]],Table1_1[[Employee No.]:[Shift]],9,FALSE)</f>
        <v>SHIFT C</v>
      </c>
    </row>
    <row r="1058" spans="3:7">
      <c r="C1058" s="22" t="s">
        <v>4805</v>
      </c>
      <c r="D1058" t="str">
        <f>VLOOKUP(Table3[[#This Row],[Employee No.]],Table1_1[[Employee No.]:[Employee Name]],2,FALSE)</f>
        <v>WAN MUHAMAD ALAUDDIN BIN WAN ISMADI</v>
      </c>
      <c r="E1058" t="str">
        <f>VLOOKUP(Table3[[#This Row],[Employee No.]],Table1_1[[Employee No.]:[Department]],6,FALSE)</f>
        <v>DRILL</v>
      </c>
      <c r="F1058" t="str">
        <f>VLOOKUP(Table3[[#This Row],[Employee No.]],Table1_1[[Employee No.]:[Gender]],7,FALSE)</f>
        <v>M</v>
      </c>
      <c r="G1058" t="str">
        <f>VLOOKUP(Table3[[#This Row],[Employee No.]],Table1_1[[Employee No.]:[Shift]],9,FALSE)</f>
        <v>SHIFT O</v>
      </c>
    </row>
  </sheetData>
  <mergeCells count="1">
    <mergeCell ref="H2:V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23544-ACF2-46F3-B08D-81E0D0E12EDB}">
  <dimension ref="A2:A4"/>
  <sheetViews>
    <sheetView showGridLines="0" tabSelected="1" topLeftCell="A10" zoomScale="90" zoomScaleNormal="90" workbookViewId="0">
      <selection activeCell="E59" sqref="E59"/>
    </sheetView>
  </sheetViews>
  <sheetFormatPr defaultRowHeight="14.45"/>
  <cols>
    <col min="1" max="1" width="8.7109375" style="8"/>
  </cols>
  <sheetData>
    <row r="2" spans="1:1">
      <c r="A2" s="8">
        <f>'Data Analysis'!$C$5</f>
        <v>690</v>
      </c>
    </row>
    <row r="3" spans="1:1">
      <c r="A3" s="8">
        <f>'Data Analysis'!$C$4</f>
        <v>365</v>
      </c>
    </row>
    <row r="4" spans="1:1">
      <c r="A4" s="8">
        <f>'Data Analysis'!$C$6</f>
        <v>1055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FD25A-97EF-4D54-A672-5D2D7024F855}">
  <dimension ref="A2:E231"/>
  <sheetViews>
    <sheetView zoomScale="55" zoomScaleNormal="55" workbookViewId="0">
      <selection activeCell="B208" sqref="B208"/>
    </sheetView>
  </sheetViews>
  <sheetFormatPr defaultRowHeight="14.45"/>
  <cols>
    <col min="1" max="1" width="15.140625" bestFit="1" customWidth="1"/>
    <col min="2" max="2" width="26.28515625" bestFit="1" customWidth="1"/>
    <col min="3" max="3" width="20.140625" bestFit="1" customWidth="1"/>
    <col min="4" max="4" width="18.140625" bestFit="1" customWidth="1"/>
    <col min="5" max="5" width="23.5703125" customWidth="1"/>
    <col min="6" max="6" width="13.140625" bestFit="1" customWidth="1"/>
    <col min="7" max="7" width="23" bestFit="1" customWidth="1"/>
    <col min="8" max="8" width="18" bestFit="1" customWidth="1"/>
    <col min="9" max="9" width="26.85546875" bestFit="1" customWidth="1"/>
    <col min="10" max="10" width="26.42578125" bestFit="1" customWidth="1"/>
    <col min="11" max="11" width="22.140625" bestFit="1" customWidth="1"/>
    <col min="12" max="12" width="36.140625" bestFit="1" customWidth="1"/>
    <col min="13" max="13" width="29.85546875" bestFit="1" customWidth="1"/>
    <col min="14" max="14" width="33" bestFit="1" customWidth="1"/>
    <col min="15" max="15" width="17.42578125" bestFit="1" customWidth="1"/>
    <col min="16" max="16" width="17.5703125" bestFit="1" customWidth="1"/>
    <col min="17" max="84" width="12.42578125" bestFit="1" customWidth="1"/>
    <col min="85" max="983" width="9.85546875" bestFit="1" customWidth="1"/>
    <col min="984" max="1056" width="11.7109375" bestFit="1" customWidth="1"/>
    <col min="1057" max="1057" width="10.7109375" bestFit="1" customWidth="1"/>
  </cols>
  <sheetData>
    <row r="2" spans="1:3">
      <c r="A2" s="32" t="s">
        <v>4827</v>
      </c>
      <c r="B2" s="7"/>
    </row>
    <row r="3" spans="1:3">
      <c r="A3" s="5" t="s">
        <v>4828</v>
      </c>
      <c r="B3" t="s">
        <v>4829</v>
      </c>
    </row>
    <row r="4" spans="1:3">
      <c r="A4" s="6" t="s">
        <v>106</v>
      </c>
      <c r="B4">
        <v>365</v>
      </c>
      <c r="C4">
        <f>GETPIVOTDATA("Employee No.",$A$3,"Gender","F")</f>
        <v>365</v>
      </c>
    </row>
    <row r="5" spans="1:3">
      <c r="A5" s="6" t="s">
        <v>34</v>
      </c>
      <c r="B5">
        <v>690</v>
      </c>
      <c r="C5">
        <f>GETPIVOTDATA("Employee No.",$A$3,"Gender","M")</f>
        <v>690</v>
      </c>
    </row>
    <row r="6" spans="1:3">
      <c r="A6" s="6" t="s">
        <v>4830</v>
      </c>
      <c r="B6">
        <v>1055</v>
      </c>
      <c r="C6">
        <f>GETPIVOTDATA("Employee No.",$A$3)</f>
        <v>1055</v>
      </c>
    </row>
    <row r="11" spans="1:3">
      <c r="A11" s="32" t="s">
        <v>4831</v>
      </c>
      <c r="B11" s="7"/>
    </row>
    <row r="12" spans="1:3">
      <c r="A12" s="5" t="s">
        <v>4828</v>
      </c>
      <c r="B12" t="s">
        <v>4829</v>
      </c>
    </row>
    <row r="13" spans="1:3">
      <c r="A13" s="6" t="s">
        <v>4832</v>
      </c>
      <c r="B13">
        <v>304</v>
      </c>
    </row>
    <row r="14" spans="1:3">
      <c r="A14" s="6" t="s">
        <v>4833</v>
      </c>
      <c r="B14">
        <v>306</v>
      </c>
    </row>
    <row r="15" spans="1:3">
      <c r="A15" s="6" t="s">
        <v>4834</v>
      </c>
      <c r="B15">
        <v>301</v>
      </c>
    </row>
    <row r="16" spans="1:3">
      <c r="A16" s="6" t="s">
        <v>4835</v>
      </c>
      <c r="B16">
        <v>122</v>
      </c>
    </row>
    <row r="17" spans="1:2">
      <c r="A17" s="6" t="s">
        <v>4836</v>
      </c>
      <c r="B17">
        <v>22</v>
      </c>
    </row>
    <row r="18" spans="1:2">
      <c r="A18" s="6" t="s">
        <v>4830</v>
      </c>
      <c r="B18">
        <v>1055</v>
      </c>
    </row>
    <row r="25" spans="1:2">
      <c r="A25" s="32" t="s">
        <v>4837</v>
      </c>
      <c r="B25" s="7"/>
    </row>
    <row r="26" spans="1:2">
      <c r="A26" s="5" t="s">
        <v>4828</v>
      </c>
      <c r="B26" t="s">
        <v>4838</v>
      </c>
    </row>
    <row r="27" spans="1:2">
      <c r="A27" s="6">
        <v>0</v>
      </c>
      <c r="B27">
        <v>192</v>
      </c>
    </row>
    <row r="28" spans="1:2">
      <c r="A28" s="6">
        <v>1</v>
      </c>
      <c r="B28">
        <v>844</v>
      </c>
    </row>
    <row r="29" spans="1:2">
      <c r="A29" s="6" t="s">
        <v>4839</v>
      </c>
    </row>
    <row r="30" spans="1:2">
      <c r="A30" s="6" t="s">
        <v>4830</v>
      </c>
      <c r="B30">
        <v>1036</v>
      </c>
    </row>
    <row r="37" spans="1:2">
      <c r="A37" s="5" t="s">
        <v>4828</v>
      </c>
      <c r="B37" t="s">
        <v>4840</v>
      </c>
    </row>
    <row r="38" spans="1:2">
      <c r="A38" s="6">
        <v>0</v>
      </c>
      <c r="B38">
        <v>91</v>
      </c>
    </row>
    <row r="39" spans="1:2">
      <c r="A39" s="6">
        <v>1</v>
      </c>
      <c r="B39">
        <v>945</v>
      </c>
    </row>
    <row r="40" spans="1:2">
      <c r="A40" s="6" t="s">
        <v>4839</v>
      </c>
    </row>
    <row r="41" spans="1:2">
      <c r="A41" s="6" t="s">
        <v>4830</v>
      </c>
      <c r="B41">
        <v>1036</v>
      </c>
    </row>
    <row r="49" spans="1:2">
      <c r="A49" s="5" t="s">
        <v>4828</v>
      </c>
      <c r="B49" t="s">
        <v>4841</v>
      </c>
    </row>
    <row r="50" spans="1:2">
      <c r="A50" s="6">
        <v>0</v>
      </c>
      <c r="B50">
        <v>87</v>
      </c>
    </row>
    <row r="51" spans="1:2">
      <c r="A51" s="6">
        <v>1</v>
      </c>
      <c r="B51">
        <v>949</v>
      </c>
    </row>
    <row r="52" spans="1:2">
      <c r="A52" s="6" t="s">
        <v>4839</v>
      </c>
    </row>
    <row r="53" spans="1:2">
      <c r="A53" s="6" t="s">
        <v>4830</v>
      </c>
      <c r="B53">
        <v>1036</v>
      </c>
    </row>
    <row r="61" spans="1:2">
      <c r="A61" s="5" t="s">
        <v>4828</v>
      </c>
      <c r="B61" t="s">
        <v>4842</v>
      </c>
    </row>
    <row r="62" spans="1:2">
      <c r="A62" s="6">
        <v>0</v>
      </c>
      <c r="B62">
        <v>105</v>
      </c>
    </row>
    <row r="63" spans="1:2">
      <c r="A63" s="6">
        <v>1</v>
      </c>
      <c r="B63">
        <v>931</v>
      </c>
    </row>
    <row r="64" spans="1:2">
      <c r="A64" s="6" t="s">
        <v>4839</v>
      </c>
    </row>
    <row r="65" spans="1:2">
      <c r="A65" s="6" t="s">
        <v>4830</v>
      </c>
      <c r="B65">
        <v>1036</v>
      </c>
    </row>
    <row r="72" spans="1:2">
      <c r="A72" s="5" t="s">
        <v>4828</v>
      </c>
      <c r="B72" t="s">
        <v>4843</v>
      </c>
    </row>
    <row r="73" spans="1:2">
      <c r="A73" s="6">
        <v>0</v>
      </c>
      <c r="B73">
        <v>89</v>
      </c>
    </row>
    <row r="74" spans="1:2">
      <c r="A74" s="6">
        <v>1</v>
      </c>
      <c r="B74">
        <v>947</v>
      </c>
    </row>
    <row r="75" spans="1:2">
      <c r="A75" s="6" t="s">
        <v>4839</v>
      </c>
    </row>
    <row r="76" spans="1:2">
      <c r="A76" s="6" t="s">
        <v>4830</v>
      </c>
      <c r="B76">
        <v>1036</v>
      </c>
    </row>
    <row r="87" spans="1:2">
      <c r="A87" s="5" t="s">
        <v>4828</v>
      </c>
      <c r="B87" t="s">
        <v>4844</v>
      </c>
    </row>
    <row r="88" spans="1:2">
      <c r="A88" s="6">
        <v>0</v>
      </c>
      <c r="B88">
        <v>150</v>
      </c>
    </row>
    <row r="89" spans="1:2">
      <c r="A89" s="6">
        <v>1</v>
      </c>
      <c r="B89">
        <v>894</v>
      </c>
    </row>
    <row r="90" spans="1:2">
      <c r="A90" s="6" t="s">
        <v>4839</v>
      </c>
    </row>
    <row r="91" spans="1:2">
      <c r="A91" s="6" t="s">
        <v>4830</v>
      </c>
      <c r="B91">
        <v>1044</v>
      </c>
    </row>
    <row r="115" spans="1:2">
      <c r="A115" s="5" t="s">
        <v>4828</v>
      </c>
      <c r="B115" t="s">
        <v>4845</v>
      </c>
    </row>
    <row r="116" spans="1:2">
      <c r="A116" s="6" t="s">
        <v>4839</v>
      </c>
    </row>
    <row r="117" spans="1:2">
      <c r="A117" s="6" t="s">
        <v>4830</v>
      </c>
    </row>
    <row r="125" spans="1:2">
      <c r="A125" s="5" t="s">
        <v>4828</v>
      </c>
      <c r="B125" t="s">
        <v>4846</v>
      </c>
    </row>
    <row r="126" spans="1:2">
      <c r="A126" s="6" t="s">
        <v>4839</v>
      </c>
    </row>
    <row r="127" spans="1:2">
      <c r="A127" s="6" t="s">
        <v>4830</v>
      </c>
    </row>
    <row r="137" spans="1:2">
      <c r="A137" s="5" t="s">
        <v>4828</v>
      </c>
      <c r="B137" t="s">
        <v>4847</v>
      </c>
    </row>
    <row r="138" spans="1:2">
      <c r="A138" s="6" t="s">
        <v>4839</v>
      </c>
    </row>
    <row r="139" spans="1:2">
      <c r="A139" s="6" t="s">
        <v>4830</v>
      </c>
    </row>
    <row r="148" spans="1:2">
      <c r="A148" s="5" t="s">
        <v>4828</v>
      </c>
      <c r="B148" t="s">
        <v>4848</v>
      </c>
    </row>
    <row r="149" spans="1:2">
      <c r="A149" s="6" t="s">
        <v>4839</v>
      </c>
    </row>
    <row r="150" spans="1:2">
      <c r="A150" s="6" t="s">
        <v>4830</v>
      </c>
    </row>
    <row r="160" spans="1:2">
      <c r="A160" s="5" t="s">
        <v>4828</v>
      </c>
      <c r="B160" t="s">
        <v>4849</v>
      </c>
    </row>
    <row r="161" spans="1:2">
      <c r="A161" s="6" t="s">
        <v>4839</v>
      </c>
    </row>
    <row r="162" spans="1:2">
      <c r="A162" s="6" t="s">
        <v>4830</v>
      </c>
    </row>
    <row r="172" spans="1:2">
      <c r="A172" s="5" t="s">
        <v>4828</v>
      </c>
      <c r="B172" t="s">
        <v>4850</v>
      </c>
    </row>
    <row r="173" spans="1:2">
      <c r="A173" s="6" t="s">
        <v>4839</v>
      </c>
    </row>
    <row r="174" spans="1:2">
      <c r="A174" s="6" t="s">
        <v>4830</v>
      </c>
    </row>
    <row r="182" spans="1:2">
      <c r="A182" s="5" t="s">
        <v>4828</v>
      </c>
      <c r="B182" t="s">
        <v>4851</v>
      </c>
    </row>
    <row r="183" spans="1:2">
      <c r="A183" s="6" t="s">
        <v>4839</v>
      </c>
    </row>
    <row r="184" spans="1:2">
      <c r="A184" s="6" t="s">
        <v>4830</v>
      </c>
    </row>
    <row r="194" spans="1:2">
      <c r="A194" s="5" t="s">
        <v>4828</v>
      </c>
      <c r="B194" t="s">
        <v>4852</v>
      </c>
    </row>
    <row r="195" spans="1:2">
      <c r="A195" s="6" t="s">
        <v>4839</v>
      </c>
    </row>
    <row r="196" spans="1:2">
      <c r="A196" s="6" t="s">
        <v>4830</v>
      </c>
    </row>
    <row r="206" spans="1:2">
      <c r="A206" s="5" t="s">
        <v>4828</v>
      </c>
      <c r="B206" t="s">
        <v>4853</v>
      </c>
    </row>
    <row r="207" spans="1:2">
      <c r="A207" s="6" t="s">
        <v>4839</v>
      </c>
    </row>
    <row r="208" spans="1:2">
      <c r="A208" s="6" t="s">
        <v>4830</v>
      </c>
    </row>
    <row r="215" spans="1:5">
      <c r="A215" s="33" t="s">
        <v>4854</v>
      </c>
      <c r="B215" s="7"/>
    </row>
    <row r="216" spans="1:5">
      <c r="A216" s="35" t="s">
        <v>4855</v>
      </c>
      <c r="B216" s="35" t="s">
        <v>4856</v>
      </c>
      <c r="C216" s="35" t="s">
        <v>4857</v>
      </c>
      <c r="D216" s="35" t="s">
        <v>4858</v>
      </c>
      <c r="E216" s="35" t="s">
        <v>4859</v>
      </c>
    </row>
    <row r="217" spans="1:5">
      <c r="A217" s="4" t="str">
        <f>Table3[[#Headers],[Chemical Handling]]</f>
        <v>Chemical Handling</v>
      </c>
      <c r="B217" s="34">
        <f>GETPIVOTDATA("Chemical Handling",$A$26,"Chemical Handling",1)</f>
        <v>844</v>
      </c>
      <c r="C217" s="34">
        <f>GETPIVOTDATA("Employee No.",$A$3)</f>
        <v>1055</v>
      </c>
      <c r="D217" s="36">
        <f>(B217/C217)*100</f>
        <v>80</v>
      </c>
      <c r="E217" s="21">
        <f>100-D217</f>
        <v>20</v>
      </c>
    </row>
    <row r="218" spans="1:5">
      <c r="A218" s="4" t="str">
        <f>Table3[[#Headers],[Safety Ladder]]</f>
        <v>Safety Ladder</v>
      </c>
      <c r="B218" s="34">
        <f>GETPIVOTDATA("Safety Ladder",$A$37,"Safety Ladder",1)</f>
        <v>945</v>
      </c>
      <c r="C218" s="34">
        <f t="shared" ref="C218:C231" si="0">GETPIVOTDATA("Employee No.",$A$3)</f>
        <v>1055</v>
      </c>
      <c r="D218" s="36">
        <f t="shared" ref="D218:D222" si="1">(B218/C218)*100</f>
        <v>89.573459715639814</v>
      </c>
      <c r="E218" s="21">
        <f t="shared" ref="E218:E222" si="2">100-D218</f>
        <v>10.426540284360186</v>
      </c>
    </row>
    <row r="219" spans="1:5">
      <c r="A219" s="4" t="str">
        <f>Table3[[#Headers],[Eyes Safety]]</f>
        <v>Eyes Safety</v>
      </c>
      <c r="B219" s="34">
        <f>GETPIVOTDATA("Eyes Safety",$A$49,"Eyes Safety",1)</f>
        <v>949</v>
      </c>
      <c r="C219" s="34">
        <f t="shared" si="0"/>
        <v>1055</v>
      </c>
      <c r="D219" s="36">
        <f t="shared" si="1"/>
        <v>89.952606635071092</v>
      </c>
      <c r="E219" s="21">
        <f t="shared" si="2"/>
        <v>10.047393364928908</v>
      </c>
    </row>
    <row r="220" spans="1:5">
      <c r="A220" s="4" t="str">
        <f>Table3[[#Headers],[Emergency Shower &amp; Eyewash]]</f>
        <v>Emergency Shower &amp; Eyewash</v>
      </c>
      <c r="B220" s="34">
        <f>GETPIVOTDATA("Emergency Shower &amp; Eyewash",$A$61,"Emergency Shower &amp; Eyewash",1)</f>
        <v>931</v>
      </c>
      <c r="C220" s="34">
        <f t="shared" si="0"/>
        <v>1055</v>
      </c>
      <c r="D220" s="36">
        <f t="shared" si="1"/>
        <v>88.246445497630333</v>
      </c>
      <c r="E220" s="21">
        <f t="shared" si="2"/>
        <v>11.753554502369667</v>
      </c>
    </row>
    <row r="221" spans="1:5">
      <c r="A221" s="4" t="str">
        <f>Table3[[#Headers],[LOTO]]</f>
        <v>LOTO</v>
      </c>
      <c r="B221" s="34">
        <f>GETPIVOTDATA("LOTO",$A$72,"LOTO",1)</f>
        <v>947</v>
      </c>
      <c r="C221" s="34">
        <f t="shared" si="0"/>
        <v>1055</v>
      </c>
      <c r="D221" s="36">
        <f t="shared" si="1"/>
        <v>89.76303317535546</v>
      </c>
      <c r="E221" s="21">
        <f t="shared" si="2"/>
        <v>10.23696682464454</v>
      </c>
    </row>
    <row r="222" spans="1:5">
      <c r="A222" s="4" t="str">
        <f>Table3[[#Headers],[Slip Trip and Fall]]</f>
        <v>Slip Trip and Fall</v>
      </c>
      <c r="B222" s="34">
        <f>GETPIVOTDATA("Slip Trip and Fall",$A$87,"Slip Trip and Fall",1)</f>
        <v>894</v>
      </c>
      <c r="C222" s="34">
        <f t="shared" si="0"/>
        <v>1055</v>
      </c>
      <c r="D222" s="36">
        <f t="shared" si="1"/>
        <v>84.739336492890999</v>
      </c>
      <c r="E222" s="21">
        <f t="shared" si="2"/>
        <v>15.260663507109001</v>
      </c>
    </row>
    <row r="223" spans="1:5">
      <c r="A223" s="4" t="str">
        <f>Table3[[#Headers],[Follow SOP]]</f>
        <v>Follow SOP</v>
      </c>
      <c r="B223" s="34"/>
      <c r="C223" s="34">
        <f t="shared" si="0"/>
        <v>1055</v>
      </c>
      <c r="D223" s="36">
        <f t="shared" ref="D223:D231" si="3">(B223/C223)*100</f>
        <v>0</v>
      </c>
      <c r="E223" s="21"/>
    </row>
    <row r="224" spans="1:5">
      <c r="A224" s="4" t="str">
        <f>Table3[[#Headers],[Hearing Conversation]]</f>
        <v>Hearing Conversation</v>
      </c>
      <c r="B224" s="34"/>
      <c r="C224" s="34">
        <f t="shared" si="0"/>
        <v>1055</v>
      </c>
      <c r="D224" s="36">
        <f t="shared" si="3"/>
        <v>0</v>
      </c>
      <c r="E224" s="21"/>
    </row>
    <row r="225" spans="1:5">
      <c r="A225" s="4" t="str">
        <f>Table3[[#Headers],[Chemical hazard sign]]</f>
        <v>Chemical hazard sign</v>
      </c>
      <c r="B225" s="34"/>
      <c r="C225" s="34">
        <f t="shared" si="0"/>
        <v>1055</v>
      </c>
      <c r="D225" s="36">
        <f t="shared" si="3"/>
        <v>0</v>
      </c>
      <c r="E225" s="21"/>
    </row>
    <row r="226" spans="1:5">
      <c r="A226" s="4" t="str">
        <f>Table3[[#Headers],[Machine Safety ]]</f>
        <v xml:space="preserve">Machine Safety </v>
      </c>
      <c r="B226" s="34"/>
      <c r="C226" s="34">
        <f t="shared" si="0"/>
        <v>1055</v>
      </c>
      <c r="D226" s="36">
        <f t="shared" si="3"/>
        <v>0</v>
      </c>
      <c r="E226" s="21"/>
    </row>
    <row r="227" spans="1:5">
      <c r="A227" s="4" t="str">
        <f>Table3[[#Headers],[Safe use of tools and equipment]]</f>
        <v>Safe use of tools and equipment</v>
      </c>
      <c r="B227" s="34"/>
      <c r="C227" s="34">
        <f t="shared" si="0"/>
        <v>1055</v>
      </c>
      <c r="D227" s="36">
        <f t="shared" si="3"/>
        <v>0</v>
      </c>
      <c r="E227" s="21"/>
    </row>
    <row r="228" spans="1:5">
      <c r="A228" s="4" t="str">
        <f>Table3[[#Headers],[Emergency spill response]]</f>
        <v>Emergency spill response</v>
      </c>
      <c r="B228" s="34"/>
      <c r="C228" s="34">
        <f t="shared" si="0"/>
        <v>1055</v>
      </c>
      <c r="D228" s="36">
        <f t="shared" si="3"/>
        <v>0</v>
      </c>
      <c r="E228" s="21"/>
    </row>
    <row r="229" spans="1:5">
      <c r="A229" s="4" t="str">
        <f>Table3[[#Headers],[Importance of housekeeping]]</f>
        <v>Importance of housekeeping</v>
      </c>
      <c r="B229" s="34"/>
      <c r="C229" s="34">
        <f t="shared" si="0"/>
        <v>1055</v>
      </c>
      <c r="D229" s="36">
        <f t="shared" si="3"/>
        <v>0</v>
      </c>
      <c r="E229" s="21"/>
    </row>
    <row r="230" spans="1:5">
      <c r="A230" s="4" t="str">
        <f>Table3[[#Headers],[Fire Safety]]</f>
        <v>Fire Safety</v>
      </c>
      <c r="B230" s="34"/>
      <c r="C230" s="34">
        <f t="shared" si="0"/>
        <v>1055</v>
      </c>
      <c r="D230" s="36">
        <f t="shared" si="3"/>
        <v>0</v>
      </c>
      <c r="E230" s="21"/>
    </row>
    <row r="231" spans="1:5">
      <c r="A231" s="4" t="str">
        <f>Table3[[#Headers],[Ergonomic]]</f>
        <v>Ergonomic</v>
      </c>
      <c r="B231" s="34"/>
      <c r="C231" s="34">
        <f t="shared" si="0"/>
        <v>1055</v>
      </c>
      <c r="D231" s="36">
        <f t="shared" si="3"/>
        <v>0</v>
      </c>
      <c r="E231" s="21"/>
    </row>
  </sheetData>
  <pageMargins left="0.7" right="0.7" top="0.75" bottom="0.75" header="0.3" footer="0.3"/>
  <pageSetup paperSize="9" orientation="portrait" verticalDpi="0" r:id="rId18"/>
  <drawing r:id="rId19"/>
  <extLst>
    <ext xmlns:x14="http://schemas.microsoft.com/office/spreadsheetml/2009/9/main" uri="{A8765BA9-456A-4dab-B4F3-ACF838C121DE}">
      <x14:slicerList>
        <x14:slicer r:id="rId2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49198-2610-4F8B-ABF0-0EFD93CFE23A}">
  <dimension ref="A2:J1058"/>
  <sheetViews>
    <sheetView zoomScale="60" zoomScaleNormal="60" workbookViewId="0">
      <pane xSplit="3" topLeftCell="D1" activePane="topRight" state="frozen"/>
      <selection pane="topRight" activeCell="C14" sqref="C14"/>
    </sheetView>
  </sheetViews>
  <sheetFormatPr defaultRowHeight="14.45"/>
  <cols>
    <col min="1" max="1" width="12.5703125" bestFit="1" customWidth="1"/>
    <col min="2" max="2" width="24.42578125" bestFit="1" customWidth="1"/>
    <col min="3" max="3" width="62.42578125" bestFit="1" customWidth="1"/>
    <col min="4" max="4" width="32.42578125" bestFit="1" customWidth="1"/>
    <col min="5" max="5" width="44.140625" bestFit="1" customWidth="1"/>
    <col min="6" max="6" width="41.42578125" bestFit="1" customWidth="1"/>
    <col min="7" max="7" width="27.42578125" bestFit="1" customWidth="1"/>
    <col min="8" max="8" width="17.140625" bestFit="1" customWidth="1"/>
    <col min="9" max="9" width="44" bestFit="1" customWidth="1"/>
    <col min="10" max="10" width="14" bestFit="1" customWidth="1"/>
  </cols>
  <sheetData>
    <row r="2" spans="1:10" s="20" customFormat="1" ht="30" customHeight="1"/>
    <row r="3" spans="1:10" s="19" customFormat="1" ht="15.6">
      <c r="A3" s="19" t="s">
        <v>1</v>
      </c>
      <c r="B3" s="19" t="s">
        <v>2</v>
      </c>
      <c r="C3" s="19" t="s">
        <v>4</v>
      </c>
      <c r="D3" s="19" t="s">
        <v>5</v>
      </c>
      <c r="E3" s="19" t="s">
        <v>6</v>
      </c>
      <c r="F3" s="19" t="s">
        <v>7</v>
      </c>
      <c r="G3" s="19" t="s">
        <v>4810</v>
      </c>
      <c r="H3" s="19" t="s">
        <v>11</v>
      </c>
      <c r="I3" s="19" t="s">
        <v>22</v>
      </c>
      <c r="J3" s="19" t="s">
        <v>4811</v>
      </c>
    </row>
    <row r="4" spans="1:10">
      <c r="A4">
        <v>1</v>
      </c>
      <c r="B4" t="s">
        <v>25</v>
      </c>
      <c r="C4" t="s">
        <v>27</v>
      </c>
      <c r="D4" t="s">
        <v>28</v>
      </c>
      <c r="E4" t="s">
        <v>29</v>
      </c>
      <c r="F4" t="s">
        <v>30</v>
      </c>
      <c r="G4" t="str">
        <f t="shared" ref="G4:G67" si="0">IF(OR(ISNUMBER(SEARCH("P1",F4)),ISNUMBER(SEARCH("P2",F4)),ISNUMBER(SEARCH("P3",F4)),ISNUMBER(SEARCH("P4",F4)),ISNUMBER(SEARCH("P5",F4))),"EQUIPMENT",
IF(ISNUMBER(SEARCH("Warehouse",F4)),"WAREHOUSE",
IF(ISNUMBER(SEARCH("WWTP",F4)),"ENVIRONMENT",
IF(OR(ISNUMBER(SEARCH("QC",F4)),ISNUMBER(SEARCH("RELIABILITY",F4)),ISNUMBER(SEARCH("OQA",F4)),ISNUMBER(SEARCH("CHEMICAL",F4))),"QUALITY",
IF(OR(ISNUMBER(SEARCH("OPERATION",F4)),ISNUMBER(SEARCH("PSM",F4))),"HS",
IF(ISNUMBER(SEARCH("FVI",F4)),"FVI",
IF(OR(ISNUMBER(SEARCH("ELECTRICITY",F4)),ISNUMBER(SEARCH("FACILITIES",F4)),ISNUMBER(SEARCH("MECHANICAL",F4))),"FACILITY",F4)))))))</f>
        <v>DF</v>
      </c>
      <c r="H4" t="s">
        <v>34</v>
      </c>
      <c r="I4" t="s">
        <v>40</v>
      </c>
      <c r="J4" t="str">
        <f t="shared" ref="J4:J67" si="1">IF(ISNUMBER(SEARCH("GROUP C",I4)),"SHIFT C",
IF(ISNUMBER(SEARCH("GROUP A",I4)),"SHIFT A",
IF(ISNUMBER(SEARCH("GROUP O",I4)),"SHIFT O",
IF(ISNUMBER(SEARCH("GROUP B",I4)),"SHIFT B",
IF(ISNUMBER(SEARCH("GROUP E",I4)),"SHIFT E","")))))</f>
        <v>SHIFT E</v>
      </c>
    </row>
    <row r="5" spans="1:10">
      <c r="A5">
        <v>2</v>
      </c>
      <c r="B5" t="s">
        <v>41</v>
      </c>
      <c r="C5" t="s">
        <v>42</v>
      </c>
      <c r="D5" t="s">
        <v>28</v>
      </c>
      <c r="E5" t="s">
        <v>29</v>
      </c>
      <c r="F5" t="s">
        <v>43</v>
      </c>
      <c r="G5" t="str">
        <f t="shared" si="0"/>
        <v>AU</v>
      </c>
      <c r="H5" t="s">
        <v>34</v>
      </c>
      <c r="I5" t="s">
        <v>40</v>
      </c>
      <c r="J5" t="str">
        <f t="shared" si="1"/>
        <v>SHIFT E</v>
      </c>
    </row>
    <row r="6" spans="1:10">
      <c r="A6">
        <v>3</v>
      </c>
      <c r="B6" t="s">
        <v>46</v>
      </c>
      <c r="C6" t="s">
        <v>47</v>
      </c>
      <c r="D6" t="s">
        <v>28</v>
      </c>
      <c r="E6" t="s">
        <v>29</v>
      </c>
      <c r="F6" t="s">
        <v>48</v>
      </c>
      <c r="G6" t="str">
        <f t="shared" si="0"/>
        <v>ROUTER</v>
      </c>
      <c r="H6" t="s">
        <v>34</v>
      </c>
      <c r="I6" t="s">
        <v>53</v>
      </c>
      <c r="J6" t="str">
        <f t="shared" si="1"/>
        <v>SHIFT A</v>
      </c>
    </row>
    <row r="7" spans="1:10">
      <c r="A7">
        <v>4</v>
      </c>
      <c r="B7" t="s">
        <v>54</v>
      </c>
      <c r="C7" t="s">
        <v>55</v>
      </c>
      <c r="D7" t="s">
        <v>28</v>
      </c>
      <c r="E7" t="s">
        <v>29</v>
      </c>
      <c r="F7" t="s">
        <v>56</v>
      </c>
      <c r="G7" t="str">
        <f t="shared" si="0"/>
        <v>AOI</v>
      </c>
      <c r="H7" t="s">
        <v>34</v>
      </c>
      <c r="I7" t="s">
        <v>40</v>
      </c>
      <c r="J7" t="str">
        <f t="shared" si="1"/>
        <v>SHIFT E</v>
      </c>
    </row>
    <row r="8" spans="1:10">
      <c r="A8">
        <v>5</v>
      </c>
      <c r="B8" t="s">
        <v>60</v>
      </c>
      <c r="C8" t="s">
        <v>61</v>
      </c>
      <c r="D8" t="s">
        <v>28</v>
      </c>
      <c r="E8" t="s">
        <v>29</v>
      </c>
      <c r="F8" t="s">
        <v>62</v>
      </c>
      <c r="G8" t="str">
        <f t="shared" si="0"/>
        <v>CU</v>
      </c>
      <c r="H8" t="s">
        <v>34</v>
      </c>
      <c r="I8" t="s">
        <v>40</v>
      </c>
      <c r="J8" t="str">
        <f t="shared" si="1"/>
        <v>SHIFT E</v>
      </c>
    </row>
    <row r="9" spans="1:10">
      <c r="A9">
        <v>6</v>
      </c>
      <c r="B9" t="s">
        <v>66</v>
      </c>
      <c r="C9" t="s">
        <v>67</v>
      </c>
      <c r="D9" t="s">
        <v>28</v>
      </c>
      <c r="E9" t="s">
        <v>29</v>
      </c>
      <c r="F9" t="s">
        <v>48</v>
      </c>
      <c r="G9" t="str">
        <f t="shared" si="0"/>
        <v>ROUTER</v>
      </c>
      <c r="H9" t="s">
        <v>34</v>
      </c>
      <c r="I9" t="s">
        <v>53</v>
      </c>
      <c r="J9" t="str">
        <f t="shared" si="1"/>
        <v>SHIFT A</v>
      </c>
    </row>
    <row r="10" spans="1:10">
      <c r="A10">
        <v>7</v>
      </c>
      <c r="B10" t="s">
        <v>70</v>
      </c>
      <c r="C10" t="s">
        <v>71</v>
      </c>
      <c r="D10" t="s">
        <v>28</v>
      </c>
      <c r="E10" t="s">
        <v>29</v>
      </c>
      <c r="F10" t="s">
        <v>72</v>
      </c>
      <c r="G10" t="str">
        <f t="shared" si="0"/>
        <v>BBT</v>
      </c>
      <c r="H10" t="s">
        <v>34</v>
      </c>
      <c r="I10" t="s">
        <v>76</v>
      </c>
      <c r="J10" t="str">
        <f t="shared" si="1"/>
        <v>SHIFT E</v>
      </c>
    </row>
    <row r="11" spans="1:10">
      <c r="A11">
        <v>8</v>
      </c>
      <c r="B11" t="s">
        <v>77</v>
      </c>
      <c r="C11" t="s">
        <v>78</v>
      </c>
      <c r="D11" t="s">
        <v>28</v>
      </c>
      <c r="E11" t="s">
        <v>29</v>
      </c>
      <c r="F11" t="s">
        <v>79</v>
      </c>
      <c r="G11" t="str">
        <f t="shared" si="0"/>
        <v>SM</v>
      </c>
      <c r="H11" t="s">
        <v>34</v>
      </c>
      <c r="I11" t="s">
        <v>40</v>
      </c>
      <c r="J11" t="str">
        <f t="shared" si="1"/>
        <v>SHIFT E</v>
      </c>
    </row>
    <row r="12" spans="1:10">
      <c r="A12">
        <v>9</v>
      </c>
      <c r="B12" t="s">
        <v>83</v>
      </c>
      <c r="C12" t="s">
        <v>84</v>
      </c>
      <c r="D12" t="s">
        <v>28</v>
      </c>
      <c r="E12" t="s">
        <v>29</v>
      </c>
      <c r="F12" t="s">
        <v>85</v>
      </c>
      <c r="G12" t="str">
        <f t="shared" si="0"/>
        <v>DRILL</v>
      </c>
      <c r="H12" t="s">
        <v>34</v>
      </c>
      <c r="I12" t="s">
        <v>89</v>
      </c>
      <c r="J12" t="str">
        <f t="shared" si="1"/>
        <v>SHIFT B</v>
      </c>
    </row>
    <row r="13" spans="1:10">
      <c r="A13">
        <v>10</v>
      </c>
      <c r="B13" t="s">
        <v>90</v>
      </c>
      <c r="C13" t="s">
        <v>91</v>
      </c>
      <c r="D13" t="s">
        <v>28</v>
      </c>
      <c r="E13" t="s">
        <v>29</v>
      </c>
      <c r="F13" t="s">
        <v>79</v>
      </c>
      <c r="G13" t="str">
        <f t="shared" si="0"/>
        <v>SM</v>
      </c>
      <c r="H13" t="s">
        <v>34</v>
      </c>
      <c r="I13" t="s">
        <v>76</v>
      </c>
      <c r="J13" t="str">
        <f t="shared" si="1"/>
        <v>SHIFT E</v>
      </c>
    </row>
    <row r="14" spans="1:10">
      <c r="A14">
        <v>11</v>
      </c>
      <c r="B14" t="s">
        <v>94</v>
      </c>
      <c r="C14" t="s">
        <v>95</v>
      </c>
      <c r="D14" t="s">
        <v>28</v>
      </c>
      <c r="E14" t="s">
        <v>29</v>
      </c>
      <c r="F14" t="s">
        <v>43</v>
      </c>
      <c r="G14" t="str">
        <f t="shared" si="0"/>
        <v>AU</v>
      </c>
      <c r="H14" t="s">
        <v>34</v>
      </c>
      <c r="I14" t="s">
        <v>40</v>
      </c>
      <c r="J14" t="str">
        <f t="shared" si="1"/>
        <v>SHIFT E</v>
      </c>
    </row>
    <row r="15" spans="1:10">
      <c r="A15">
        <v>12</v>
      </c>
      <c r="B15" t="s">
        <v>98</v>
      </c>
      <c r="C15" t="s">
        <v>99</v>
      </c>
      <c r="D15" t="s">
        <v>28</v>
      </c>
      <c r="E15" t="s">
        <v>29</v>
      </c>
      <c r="F15" t="s">
        <v>72</v>
      </c>
      <c r="G15" t="str">
        <f t="shared" si="0"/>
        <v>BBT</v>
      </c>
      <c r="H15" t="s">
        <v>34</v>
      </c>
      <c r="I15" t="s">
        <v>76</v>
      </c>
      <c r="J15" t="str">
        <f t="shared" si="1"/>
        <v>SHIFT E</v>
      </c>
    </row>
    <row r="16" spans="1:10">
      <c r="A16">
        <v>13</v>
      </c>
      <c r="B16" t="s">
        <v>102</v>
      </c>
      <c r="C16" t="s">
        <v>104</v>
      </c>
      <c r="D16" t="s">
        <v>28</v>
      </c>
      <c r="E16" t="s">
        <v>29</v>
      </c>
      <c r="F16" t="s">
        <v>56</v>
      </c>
      <c r="G16" t="str">
        <f t="shared" si="0"/>
        <v>AOI</v>
      </c>
      <c r="H16" t="s">
        <v>106</v>
      </c>
      <c r="I16" t="s">
        <v>76</v>
      </c>
      <c r="J16" t="str">
        <f t="shared" si="1"/>
        <v>SHIFT E</v>
      </c>
    </row>
    <row r="17" spans="1:10">
      <c r="A17">
        <v>14</v>
      </c>
      <c r="B17" t="s">
        <v>109</v>
      </c>
      <c r="C17" t="s">
        <v>110</v>
      </c>
      <c r="D17" t="s">
        <v>28</v>
      </c>
      <c r="E17" t="s">
        <v>29</v>
      </c>
      <c r="F17" t="s">
        <v>56</v>
      </c>
      <c r="G17" t="str">
        <f t="shared" si="0"/>
        <v>AOI</v>
      </c>
      <c r="H17" t="s">
        <v>106</v>
      </c>
      <c r="I17" t="s">
        <v>76</v>
      </c>
      <c r="J17" t="str">
        <f t="shared" si="1"/>
        <v>SHIFT E</v>
      </c>
    </row>
    <row r="18" spans="1:10">
      <c r="A18">
        <v>15</v>
      </c>
      <c r="B18" t="s">
        <v>113</v>
      </c>
      <c r="C18" t="s">
        <v>114</v>
      </c>
      <c r="D18" t="s">
        <v>28</v>
      </c>
      <c r="E18" t="s">
        <v>29</v>
      </c>
      <c r="F18" t="s">
        <v>56</v>
      </c>
      <c r="G18" t="str">
        <f t="shared" si="0"/>
        <v>AOI</v>
      </c>
      <c r="H18" t="s">
        <v>106</v>
      </c>
      <c r="I18" t="s">
        <v>40</v>
      </c>
      <c r="J18" t="str">
        <f t="shared" si="1"/>
        <v>SHIFT E</v>
      </c>
    </row>
    <row r="19" spans="1:10">
      <c r="A19">
        <v>16</v>
      </c>
      <c r="B19" t="s">
        <v>117</v>
      </c>
      <c r="C19" t="s">
        <v>118</v>
      </c>
      <c r="D19" t="s">
        <v>28</v>
      </c>
      <c r="E19" t="s">
        <v>29</v>
      </c>
      <c r="F19" t="s">
        <v>56</v>
      </c>
      <c r="G19" t="str">
        <f t="shared" si="0"/>
        <v>AOI</v>
      </c>
      <c r="H19" t="s">
        <v>106</v>
      </c>
      <c r="I19" t="s">
        <v>40</v>
      </c>
      <c r="J19" t="str">
        <f t="shared" si="1"/>
        <v>SHIFT E</v>
      </c>
    </row>
    <row r="20" spans="1:10">
      <c r="A20">
        <v>17</v>
      </c>
      <c r="B20" t="s">
        <v>121</v>
      </c>
      <c r="C20" t="s">
        <v>122</v>
      </c>
      <c r="D20" t="s">
        <v>28</v>
      </c>
      <c r="E20" t="s">
        <v>29</v>
      </c>
      <c r="F20" t="s">
        <v>123</v>
      </c>
      <c r="G20" t="str">
        <f t="shared" si="0"/>
        <v>PACKING</v>
      </c>
      <c r="H20" t="s">
        <v>106</v>
      </c>
      <c r="I20" t="s">
        <v>89</v>
      </c>
      <c r="J20" t="str">
        <f t="shared" si="1"/>
        <v>SHIFT B</v>
      </c>
    </row>
    <row r="21" spans="1:10">
      <c r="A21">
        <v>18</v>
      </c>
      <c r="B21" t="s">
        <v>129</v>
      </c>
      <c r="C21" t="s">
        <v>130</v>
      </c>
      <c r="D21" t="s">
        <v>28</v>
      </c>
      <c r="E21" t="s">
        <v>29</v>
      </c>
      <c r="F21" t="s">
        <v>79</v>
      </c>
      <c r="G21" t="str">
        <f t="shared" si="0"/>
        <v>SM</v>
      </c>
      <c r="H21" t="s">
        <v>106</v>
      </c>
      <c r="I21" t="s">
        <v>40</v>
      </c>
      <c r="J21" t="str">
        <f t="shared" si="1"/>
        <v>SHIFT E</v>
      </c>
    </row>
    <row r="22" spans="1:10">
      <c r="A22">
        <v>19</v>
      </c>
      <c r="B22" t="s">
        <v>133</v>
      </c>
      <c r="C22" t="s">
        <v>134</v>
      </c>
      <c r="D22" t="s">
        <v>28</v>
      </c>
      <c r="E22" t="s">
        <v>29</v>
      </c>
      <c r="F22" t="s">
        <v>56</v>
      </c>
      <c r="G22" t="str">
        <f t="shared" si="0"/>
        <v>AOI</v>
      </c>
      <c r="H22" t="s">
        <v>106</v>
      </c>
      <c r="I22" t="s">
        <v>40</v>
      </c>
      <c r="J22" t="str">
        <f t="shared" si="1"/>
        <v>SHIFT E</v>
      </c>
    </row>
    <row r="23" spans="1:10">
      <c r="A23">
        <v>20</v>
      </c>
      <c r="B23" t="s">
        <v>137</v>
      </c>
      <c r="C23" t="s">
        <v>138</v>
      </c>
      <c r="D23" t="s">
        <v>28</v>
      </c>
      <c r="E23" t="s">
        <v>29</v>
      </c>
      <c r="F23" t="s">
        <v>85</v>
      </c>
      <c r="G23" t="str">
        <f t="shared" si="0"/>
        <v>DRILL</v>
      </c>
      <c r="H23" t="s">
        <v>106</v>
      </c>
      <c r="I23" t="s">
        <v>53</v>
      </c>
      <c r="J23" t="str">
        <f t="shared" si="1"/>
        <v>SHIFT A</v>
      </c>
    </row>
    <row r="24" spans="1:10">
      <c r="A24">
        <v>21</v>
      </c>
      <c r="B24" t="s">
        <v>141</v>
      </c>
      <c r="C24" t="s">
        <v>142</v>
      </c>
      <c r="D24" t="s">
        <v>28</v>
      </c>
      <c r="E24" t="s">
        <v>29</v>
      </c>
      <c r="F24" t="s">
        <v>123</v>
      </c>
      <c r="G24" t="str">
        <f t="shared" si="0"/>
        <v>PACKING</v>
      </c>
      <c r="H24" t="s">
        <v>106</v>
      </c>
      <c r="I24" t="s">
        <v>146</v>
      </c>
      <c r="J24" t="str">
        <f t="shared" si="1"/>
        <v>SHIFT C</v>
      </c>
    </row>
    <row r="25" spans="1:10">
      <c r="A25">
        <v>22</v>
      </c>
      <c r="B25" t="s">
        <v>147</v>
      </c>
      <c r="C25" t="s">
        <v>148</v>
      </c>
      <c r="D25" t="s">
        <v>28</v>
      </c>
      <c r="E25" t="s">
        <v>29</v>
      </c>
      <c r="F25" t="s">
        <v>72</v>
      </c>
      <c r="G25" t="str">
        <f t="shared" si="0"/>
        <v>BBT</v>
      </c>
      <c r="H25" t="s">
        <v>106</v>
      </c>
      <c r="I25" t="s">
        <v>40</v>
      </c>
      <c r="J25" t="str">
        <f t="shared" si="1"/>
        <v>SHIFT E</v>
      </c>
    </row>
    <row r="26" spans="1:10">
      <c r="A26">
        <v>23</v>
      </c>
      <c r="B26" t="s">
        <v>151</v>
      </c>
      <c r="C26" t="s">
        <v>152</v>
      </c>
      <c r="D26" t="s">
        <v>28</v>
      </c>
      <c r="E26" t="s">
        <v>29</v>
      </c>
      <c r="F26" t="s">
        <v>43</v>
      </c>
      <c r="G26" t="str">
        <f t="shared" si="0"/>
        <v>AU</v>
      </c>
      <c r="H26" t="s">
        <v>34</v>
      </c>
      <c r="I26" t="s">
        <v>76</v>
      </c>
      <c r="J26" t="str">
        <f t="shared" si="1"/>
        <v>SHIFT E</v>
      </c>
    </row>
    <row r="27" spans="1:10">
      <c r="A27">
        <v>24</v>
      </c>
      <c r="B27" t="s">
        <v>155</v>
      </c>
      <c r="C27" t="s">
        <v>156</v>
      </c>
      <c r="D27" t="s">
        <v>28</v>
      </c>
      <c r="E27" t="s">
        <v>29</v>
      </c>
      <c r="F27" t="s">
        <v>62</v>
      </c>
      <c r="G27" t="str">
        <f t="shared" si="0"/>
        <v>CU</v>
      </c>
      <c r="H27" t="s">
        <v>34</v>
      </c>
      <c r="I27" t="s">
        <v>76</v>
      </c>
      <c r="J27" t="str">
        <f t="shared" si="1"/>
        <v>SHIFT E</v>
      </c>
    </row>
    <row r="28" spans="1:10">
      <c r="A28">
        <v>25</v>
      </c>
      <c r="B28" t="s">
        <v>159</v>
      </c>
      <c r="C28" t="s">
        <v>160</v>
      </c>
      <c r="D28" t="s">
        <v>28</v>
      </c>
      <c r="E28" t="s">
        <v>29</v>
      </c>
      <c r="F28" t="s">
        <v>43</v>
      </c>
      <c r="G28" t="str">
        <f t="shared" si="0"/>
        <v>AU</v>
      </c>
      <c r="H28" t="s">
        <v>34</v>
      </c>
      <c r="I28" t="s">
        <v>76</v>
      </c>
      <c r="J28" t="str">
        <f t="shared" si="1"/>
        <v>SHIFT E</v>
      </c>
    </row>
    <row r="29" spans="1:10">
      <c r="A29">
        <v>26</v>
      </c>
      <c r="B29" t="s">
        <v>163</v>
      </c>
      <c r="C29" t="s">
        <v>164</v>
      </c>
      <c r="D29" t="s">
        <v>28</v>
      </c>
      <c r="E29" t="s">
        <v>29</v>
      </c>
      <c r="F29" t="s">
        <v>79</v>
      </c>
      <c r="G29" t="str">
        <f t="shared" si="0"/>
        <v>SM</v>
      </c>
      <c r="H29" t="s">
        <v>34</v>
      </c>
      <c r="I29" t="s">
        <v>76</v>
      </c>
      <c r="J29" t="str">
        <f t="shared" si="1"/>
        <v>SHIFT E</v>
      </c>
    </row>
    <row r="30" spans="1:10">
      <c r="A30">
        <v>27</v>
      </c>
      <c r="B30" t="s">
        <v>167</v>
      </c>
      <c r="C30" t="s">
        <v>168</v>
      </c>
      <c r="D30" t="s">
        <v>28</v>
      </c>
      <c r="E30" t="s">
        <v>29</v>
      </c>
      <c r="F30" t="s">
        <v>62</v>
      </c>
      <c r="G30" t="str">
        <f t="shared" si="0"/>
        <v>CU</v>
      </c>
      <c r="H30" t="s">
        <v>34</v>
      </c>
      <c r="I30" t="s">
        <v>76</v>
      </c>
      <c r="J30" t="str">
        <f t="shared" si="1"/>
        <v>SHIFT E</v>
      </c>
    </row>
    <row r="31" spans="1:10">
      <c r="A31">
        <v>28</v>
      </c>
      <c r="B31" t="s">
        <v>171</v>
      </c>
      <c r="C31" t="s">
        <v>172</v>
      </c>
      <c r="D31" t="s">
        <v>28</v>
      </c>
      <c r="E31" t="s">
        <v>29</v>
      </c>
      <c r="F31" t="s">
        <v>79</v>
      </c>
      <c r="G31" t="str">
        <f t="shared" si="0"/>
        <v>SM</v>
      </c>
      <c r="H31" t="s">
        <v>34</v>
      </c>
      <c r="I31" t="s">
        <v>40</v>
      </c>
      <c r="J31" t="str">
        <f t="shared" si="1"/>
        <v>SHIFT E</v>
      </c>
    </row>
    <row r="32" spans="1:10">
      <c r="A32">
        <v>29</v>
      </c>
      <c r="B32" t="s">
        <v>175</v>
      </c>
      <c r="C32" t="s">
        <v>176</v>
      </c>
      <c r="D32" t="s">
        <v>28</v>
      </c>
      <c r="E32" t="s">
        <v>29</v>
      </c>
      <c r="F32" t="s">
        <v>43</v>
      </c>
      <c r="G32" t="str">
        <f t="shared" si="0"/>
        <v>AU</v>
      </c>
      <c r="H32" t="s">
        <v>34</v>
      </c>
      <c r="I32" t="s">
        <v>40</v>
      </c>
      <c r="J32" t="str">
        <f t="shared" si="1"/>
        <v>SHIFT E</v>
      </c>
    </row>
    <row r="33" spans="1:10">
      <c r="A33">
        <v>30</v>
      </c>
      <c r="B33" t="s">
        <v>179</v>
      </c>
      <c r="C33" t="s">
        <v>180</v>
      </c>
      <c r="D33" t="s">
        <v>28</v>
      </c>
      <c r="E33" t="s">
        <v>29</v>
      </c>
      <c r="F33" t="s">
        <v>48</v>
      </c>
      <c r="G33" t="str">
        <f t="shared" si="0"/>
        <v>ROUTER</v>
      </c>
      <c r="H33" t="s">
        <v>34</v>
      </c>
      <c r="I33" t="s">
        <v>89</v>
      </c>
      <c r="J33" t="str">
        <f t="shared" si="1"/>
        <v>SHIFT B</v>
      </c>
    </row>
    <row r="34" spans="1:10">
      <c r="A34">
        <v>31</v>
      </c>
      <c r="B34" t="s">
        <v>184</v>
      </c>
      <c r="C34" t="s">
        <v>185</v>
      </c>
      <c r="D34" t="s">
        <v>28</v>
      </c>
      <c r="E34" t="s">
        <v>29</v>
      </c>
      <c r="F34" t="s">
        <v>62</v>
      </c>
      <c r="G34" t="str">
        <f t="shared" si="0"/>
        <v>CU</v>
      </c>
      <c r="H34" t="s">
        <v>34</v>
      </c>
      <c r="I34" t="s">
        <v>40</v>
      </c>
      <c r="J34" t="str">
        <f t="shared" si="1"/>
        <v>SHIFT E</v>
      </c>
    </row>
    <row r="35" spans="1:10">
      <c r="A35">
        <v>32</v>
      </c>
      <c r="B35" t="s">
        <v>188</v>
      </c>
      <c r="C35" t="s">
        <v>189</v>
      </c>
      <c r="D35" t="s">
        <v>28</v>
      </c>
      <c r="E35" t="s">
        <v>29</v>
      </c>
      <c r="F35" t="s">
        <v>62</v>
      </c>
      <c r="G35" t="str">
        <f t="shared" si="0"/>
        <v>CU</v>
      </c>
      <c r="H35" t="s">
        <v>34</v>
      </c>
      <c r="I35" t="s">
        <v>76</v>
      </c>
      <c r="J35" t="str">
        <f t="shared" si="1"/>
        <v>SHIFT E</v>
      </c>
    </row>
    <row r="36" spans="1:10">
      <c r="A36">
        <v>33</v>
      </c>
      <c r="B36" t="s">
        <v>192</v>
      </c>
      <c r="C36" t="s">
        <v>193</v>
      </c>
      <c r="D36" t="s">
        <v>28</v>
      </c>
      <c r="E36" t="s">
        <v>29</v>
      </c>
      <c r="F36" t="s">
        <v>85</v>
      </c>
      <c r="G36" t="str">
        <f t="shared" si="0"/>
        <v>DRILL</v>
      </c>
      <c r="H36" t="s">
        <v>34</v>
      </c>
      <c r="I36" t="s">
        <v>53</v>
      </c>
      <c r="J36" t="str">
        <f t="shared" si="1"/>
        <v>SHIFT A</v>
      </c>
    </row>
    <row r="37" spans="1:10">
      <c r="A37">
        <v>34</v>
      </c>
      <c r="B37" t="s">
        <v>196</v>
      </c>
      <c r="C37" t="s">
        <v>197</v>
      </c>
      <c r="D37" t="s">
        <v>28</v>
      </c>
      <c r="E37" t="s">
        <v>29</v>
      </c>
      <c r="F37" t="s">
        <v>30</v>
      </c>
      <c r="G37" t="str">
        <f t="shared" si="0"/>
        <v>DF</v>
      </c>
      <c r="H37" t="s">
        <v>34</v>
      </c>
      <c r="I37" t="s">
        <v>40</v>
      </c>
      <c r="J37" t="str">
        <f t="shared" si="1"/>
        <v>SHIFT E</v>
      </c>
    </row>
    <row r="38" spans="1:10">
      <c r="A38">
        <v>35</v>
      </c>
      <c r="B38" t="s">
        <v>200</v>
      </c>
      <c r="C38" t="s">
        <v>201</v>
      </c>
      <c r="D38" t="s">
        <v>28</v>
      </c>
      <c r="E38" t="s">
        <v>29</v>
      </c>
      <c r="F38" t="s">
        <v>56</v>
      </c>
      <c r="G38" t="str">
        <f t="shared" si="0"/>
        <v>AOI</v>
      </c>
      <c r="H38" t="s">
        <v>106</v>
      </c>
      <c r="I38" t="s">
        <v>89</v>
      </c>
      <c r="J38" t="str">
        <f t="shared" si="1"/>
        <v>SHIFT B</v>
      </c>
    </row>
    <row r="39" spans="1:10">
      <c r="A39">
        <v>36</v>
      </c>
      <c r="B39" t="s">
        <v>205</v>
      </c>
      <c r="C39" t="s">
        <v>206</v>
      </c>
      <c r="D39" t="s">
        <v>28</v>
      </c>
      <c r="E39" t="s">
        <v>29</v>
      </c>
      <c r="F39" t="s">
        <v>56</v>
      </c>
      <c r="G39" t="str">
        <f t="shared" si="0"/>
        <v>AOI</v>
      </c>
      <c r="H39" t="s">
        <v>106</v>
      </c>
      <c r="I39" t="s">
        <v>40</v>
      </c>
      <c r="J39" t="str">
        <f t="shared" si="1"/>
        <v>SHIFT E</v>
      </c>
    </row>
    <row r="40" spans="1:10">
      <c r="A40">
        <v>37</v>
      </c>
      <c r="B40" t="s">
        <v>211</v>
      </c>
      <c r="C40" t="s">
        <v>212</v>
      </c>
      <c r="D40" t="s">
        <v>28</v>
      </c>
      <c r="E40" t="s">
        <v>29</v>
      </c>
      <c r="F40" t="s">
        <v>72</v>
      </c>
      <c r="G40" t="str">
        <f t="shared" si="0"/>
        <v>BBT</v>
      </c>
      <c r="H40" t="s">
        <v>106</v>
      </c>
      <c r="I40" t="s">
        <v>40</v>
      </c>
      <c r="J40" t="str">
        <f t="shared" si="1"/>
        <v>SHIFT E</v>
      </c>
    </row>
    <row r="41" spans="1:10">
      <c r="A41">
        <v>38</v>
      </c>
      <c r="B41" t="s">
        <v>215</v>
      </c>
      <c r="C41" t="s">
        <v>216</v>
      </c>
      <c r="D41" t="s">
        <v>28</v>
      </c>
      <c r="E41" t="s">
        <v>29</v>
      </c>
      <c r="F41" t="s">
        <v>79</v>
      </c>
      <c r="G41" t="str">
        <f t="shared" si="0"/>
        <v>SM</v>
      </c>
      <c r="H41" t="s">
        <v>106</v>
      </c>
      <c r="I41" t="s">
        <v>76</v>
      </c>
      <c r="J41" t="str">
        <f t="shared" si="1"/>
        <v>SHIFT E</v>
      </c>
    </row>
    <row r="42" spans="1:10">
      <c r="A42">
        <v>39</v>
      </c>
      <c r="B42" t="s">
        <v>219</v>
      </c>
      <c r="C42" t="s">
        <v>220</v>
      </c>
      <c r="D42" t="s">
        <v>28</v>
      </c>
      <c r="E42" t="s">
        <v>29</v>
      </c>
      <c r="F42" t="s">
        <v>72</v>
      </c>
      <c r="G42" t="str">
        <f t="shared" si="0"/>
        <v>BBT</v>
      </c>
      <c r="H42" t="s">
        <v>106</v>
      </c>
      <c r="I42" t="s">
        <v>40</v>
      </c>
      <c r="J42" t="str">
        <f t="shared" si="1"/>
        <v>SHIFT E</v>
      </c>
    </row>
    <row r="43" spans="1:10">
      <c r="A43">
        <v>40</v>
      </c>
      <c r="B43" t="s">
        <v>223</v>
      </c>
      <c r="C43" t="s">
        <v>224</v>
      </c>
      <c r="D43" t="s">
        <v>28</v>
      </c>
      <c r="E43" t="s">
        <v>29</v>
      </c>
      <c r="F43" t="s">
        <v>56</v>
      </c>
      <c r="G43" t="str">
        <f t="shared" si="0"/>
        <v>AOI</v>
      </c>
      <c r="H43" t="s">
        <v>106</v>
      </c>
      <c r="I43" t="s">
        <v>89</v>
      </c>
      <c r="J43" t="str">
        <f t="shared" si="1"/>
        <v>SHIFT B</v>
      </c>
    </row>
    <row r="44" spans="1:10">
      <c r="A44">
        <v>41</v>
      </c>
      <c r="B44" t="s">
        <v>227</v>
      </c>
      <c r="C44" t="s">
        <v>228</v>
      </c>
      <c r="D44" t="s">
        <v>28</v>
      </c>
      <c r="E44" t="s">
        <v>29</v>
      </c>
      <c r="F44" t="s">
        <v>85</v>
      </c>
      <c r="G44" t="str">
        <f t="shared" si="0"/>
        <v>DRILL</v>
      </c>
      <c r="H44" t="s">
        <v>106</v>
      </c>
      <c r="I44" t="s">
        <v>146</v>
      </c>
      <c r="J44" t="str">
        <f t="shared" si="1"/>
        <v>SHIFT C</v>
      </c>
    </row>
    <row r="45" spans="1:10">
      <c r="A45">
        <v>42</v>
      </c>
      <c r="B45" t="s">
        <v>232</v>
      </c>
      <c r="C45" t="s">
        <v>233</v>
      </c>
      <c r="D45" t="s">
        <v>28</v>
      </c>
      <c r="E45" t="s">
        <v>29</v>
      </c>
      <c r="F45" t="s">
        <v>56</v>
      </c>
      <c r="G45" t="str">
        <f t="shared" si="0"/>
        <v>AOI</v>
      </c>
      <c r="H45" t="s">
        <v>106</v>
      </c>
      <c r="I45" t="s">
        <v>89</v>
      </c>
      <c r="J45" t="str">
        <f t="shared" si="1"/>
        <v>SHIFT B</v>
      </c>
    </row>
    <row r="46" spans="1:10">
      <c r="A46">
        <v>43</v>
      </c>
      <c r="B46" t="s">
        <v>236</v>
      </c>
      <c r="C46" t="s">
        <v>237</v>
      </c>
      <c r="D46" t="s">
        <v>28</v>
      </c>
      <c r="E46" t="s">
        <v>29</v>
      </c>
      <c r="F46" t="s">
        <v>56</v>
      </c>
      <c r="G46" t="str">
        <f t="shared" si="0"/>
        <v>AOI</v>
      </c>
      <c r="H46" t="s">
        <v>34</v>
      </c>
      <c r="I46" t="s">
        <v>146</v>
      </c>
      <c r="J46" t="str">
        <f t="shared" si="1"/>
        <v>SHIFT C</v>
      </c>
    </row>
    <row r="47" spans="1:10">
      <c r="A47">
        <v>44</v>
      </c>
      <c r="B47" t="s">
        <v>240</v>
      </c>
      <c r="C47" t="s">
        <v>241</v>
      </c>
      <c r="D47" t="s">
        <v>28</v>
      </c>
      <c r="E47" t="s">
        <v>29</v>
      </c>
      <c r="F47" t="s">
        <v>79</v>
      </c>
      <c r="G47" t="str">
        <f t="shared" si="0"/>
        <v>SM</v>
      </c>
      <c r="H47" t="s">
        <v>34</v>
      </c>
      <c r="I47" t="s">
        <v>40</v>
      </c>
      <c r="J47" t="str">
        <f t="shared" si="1"/>
        <v>SHIFT E</v>
      </c>
    </row>
    <row r="48" spans="1:10">
      <c r="A48">
        <v>45</v>
      </c>
      <c r="B48" t="s">
        <v>244</v>
      </c>
      <c r="C48" t="s">
        <v>245</v>
      </c>
      <c r="D48" t="s">
        <v>28</v>
      </c>
      <c r="E48" t="s">
        <v>29</v>
      </c>
      <c r="F48" t="s">
        <v>85</v>
      </c>
      <c r="G48" t="str">
        <f t="shared" si="0"/>
        <v>DRILL</v>
      </c>
      <c r="H48" t="s">
        <v>34</v>
      </c>
      <c r="I48" t="s">
        <v>89</v>
      </c>
      <c r="J48" t="str">
        <f t="shared" si="1"/>
        <v>SHIFT B</v>
      </c>
    </row>
    <row r="49" spans="1:10">
      <c r="A49">
        <v>46</v>
      </c>
      <c r="B49" t="s">
        <v>248</v>
      </c>
      <c r="C49" t="s">
        <v>249</v>
      </c>
      <c r="D49" t="s">
        <v>28</v>
      </c>
      <c r="E49" t="s">
        <v>29</v>
      </c>
      <c r="F49" t="s">
        <v>43</v>
      </c>
      <c r="G49" t="str">
        <f t="shared" si="0"/>
        <v>AU</v>
      </c>
      <c r="H49" t="s">
        <v>34</v>
      </c>
      <c r="I49" t="s">
        <v>40</v>
      </c>
      <c r="J49" t="str">
        <f t="shared" si="1"/>
        <v>SHIFT E</v>
      </c>
    </row>
    <row r="50" spans="1:10">
      <c r="A50">
        <v>47</v>
      </c>
      <c r="B50" t="s">
        <v>252</v>
      </c>
      <c r="C50" t="s">
        <v>253</v>
      </c>
      <c r="D50" t="s">
        <v>28</v>
      </c>
      <c r="E50" t="s">
        <v>29</v>
      </c>
      <c r="F50" t="s">
        <v>85</v>
      </c>
      <c r="G50" t="str">
        <f t="shared" si="0"/>
        <v>DRILL</v>
      </c>
      <c r="H50" t="s">
        <v>34</v>
      </c>
      <c r="I50" t="s">
        <v>146</v>
      </c>
      <c r="J50" t="str">
        <f t="shared" si="1"/>
        <v>SHIFT C</v>
      </c>
    </row>
    <row r="51" spans="1:10">
      <c r="A51">
        <v>48</v>
      </c>
      <c r="B51" t="s">
        <v>256</v>
      </c>
      <c r="C51" t="s">
        <v>257</v>
      </c>
      <c r="D51" t="s">
        <v>28</v>
      </c>
      <c r="E51" t="s">
        <v>29</v>
      </c>
      <c r="F51" t="s">
        <v>43</v>
      </c>
      <c r="G51" t="str">
        <f t="shared" si="0"/>
        <v>AU</v>
      </c>
      <c r="H51" t="s">
        <v>34</v>
      </c>
      <c r="I51" t="s">
        <v>76</v>
      </c>
      <c r="J51" t="str">
        <f t="shared" si="1"/>
        <v>SHIFT E</v>
      </c>
    </row>
    <row r="52" spans="1:10">
      <c r="A52">
        <v>49</v>
      </c>
      <c r="B52" t="s">
        <v>260</v>
      </c>
      <c r="C52" t="s">
        <v>261</v>
      </c>
      <c r="D52" t="s">
        <v>28</v>
      </c>
      <c r="E52" t="s">
        <v>29</v>
      </c>
      <c r="F52" t="s">
        <v>79</v>
      </c>
      <c r="G52" t="str">
        <f t="shared" si="0"/>
        <v>SM</v>
      </c>
      <c r="H52" t="s">
        <v>34</v>
      </c>
      <c r="I52" t="s">
        <v>53</v>
      </c>
      <c r="J52" t="str">
        <f t="shared" si="1"/>
        <v>SHIFT A</v>
      </c>
    </row>
    <row r="53" spans="1:10">
      <c r="A53">
        <v>50</v>
      </c>
      <c r="B53" t="s">
        <v>265</v>
      </c>
      <c r="C53" t="s">
        <v>266</v>
      </c>
      <c r="D53" t="s">
        <v>28</v>
      </c>
      <c r="E53" t="s">
        <v>29</v>
      </c>
      <c r="F53" t="s">
        <v>48</v>
      </c>
      <c r="G53" t="str">
        <f t="shared" si="0"/>
        <v>ROUTER</v>
      </c>
      <c r="H53" t="s">
        <v>34</v>
      </c>
      <c r="I53" t="s">
        <v>146</v>
      </c>
      <c r="J53" t="str">
        <f t="shared" si="1"/>
        <v>SHIFT C</v>
      </c>
    </row>
    <row r="54" spans="1:10">
      <c r="A54">
        <v>51</v>
      </c>
      <c r="B54" t="s">
        <v>269</v>
      </c>
      <c r="C54" t="s">
        <v>270</v>
      </c>
      <c r="D54" t="s">
        <v>28</v>
      </c>
      <c r="E54" t="s">
        <v>29</v>
      </c>
      <c r="F54" t="s">
        <v>79</v>
      </c>
      <c r="G54" t="str">
        <f t="shared" si="0"/>
        <v>SM</v>
      </c>
      <c r="H54" t="s">
        <v>34</v>
      </c>
      <c r="I54" t="s">
        <v>40</v>
      </c>
      <c r="J54" t="str">
        <f t="shared" si="1"/>
        <v>SHIFT E</v>
      </c>
    </row>
    <row r="55" spans="1:10">
      <c r="A55">
        <v>52</v>
      </c>
      <c r="B55" t="s">
        <v>273</v>
      </c>
      <c r="C55" t="s">
        <v>274</v>
      </c>
      <c r="D55" t="s">
        <v>28</v>
      </c>
      <c r="E55" t="s">
        <v>29</v>
      </c>
      <c r="F55" t="s">
        <v>56</v>
      </c>
      <c r="G55" t="str">
        <f t="shared" si="0"/>
        <v>AOI</v>
      </c>
      <c r="H55" t="s">
        <v>34</v>
      </c>
      <c r="I55" t="s">
        <v>40</v>
      </c>
      <c r="J55" t="str">
        <f t="shared" si="1"/>
        <v>SHIFT E</v>
      </c>
    </row>
    <row r="56" spans="1:10">
      <c r="A56">
        <v>53</v>
      </c>
      <c r="B56" t="s">
        <v>277</v>
      </c>
      <c r="C56" t="s">
        <v>278</v>
      </c>
      <c r="D56" t="s">
        <v>28</v>
      </c>
      <c r="E56" t="s">
        <v>29</v>
      </c>
      <c r="F56" t="s">
        <v>79</v>
      </c>
      <c r="G56" t="str">
        <f t="shared" si="0"/>
        <v>SM</v>
      </c>
      <c r="H56" t="s">
        <v>34</v>
      </c>
      <c r="I56" t="s">
        <v>40</v>
      </c>
      <c r="J56" t="str">
        <f t="shared" si="1"/>
        <v>SHIFT E</v>
      </c>
    </row>
    <row r="57" spans="1:10">
      <c r="A57">
        <v>54</v>
      </c>
      <c r="B57" t="s">
        <v>281</v>
      </c>
      <c r="C57" t="s">
        <v>282</v>
      </c>
      <c r="D57" t="s">
        <v>28</v>
      </c>
      <c r="E57" t="s">
        <v>29</v>
      </c>
      <c r="F57" t="s">
        <v>30</v>
      </c>
      <c r="G57" t="str">
        <f t="shared" si="0"/>
        <v>DF</v>
      </c>
      <c r="H57" t="s">
        <v>34</v>
      </c>
      <c r="I57" t="s">
        <v>76</v>
      </c>
      <c r="J57" t="str">
        <f t="shared" si="1"/>
        <v>SHIFT E</v>
      </c>
    </row>
    <row r="58" spans="1:10">
      <c r="A58">
        <v>55</v>
      </c>
      <c r="B58" t="s">
        <v>285</v>
      </c>
      <c r="C58" t="s">
        <v>286</v>
      </c>
      <c r="D58" t="s">
        <v>28</v>
      </c>
      <c r="E58" t="s">
        <v>29</v>
      </c>
      <c r="F58" t="s">
        <v>85</v>
      </c>
      <c r="G58" t="str">
        <f t="shared" si="0"/>
        <v>DRILL</v>
      </c>
      <c r="H58" t="s">
        <v>34</v>
      </c>
      <c r="I58" t="s">
        <v>53</v>
      </c>
      <c r="J58" t="str">
        <f t="shared" si="1"/>
        <v>SHIFT A</v>
      </c>
    </row>
    <row r="59" spans="1:10">
      <c r="A59">
        <v>56</v>
      </c>
      <c r="B59" t="s">
        <v>289</v>
      </c>
      <c r="C59" t="s">
        <v>290</v>
      </c>
      <c r="D59" t="s">
        <v>28</v>
      </c>
      <c r="E59" t="s">
        <v>29</v>
      </c>
      <c r="F59" t="s">
        <v>72</v>
      </c>
      <c r="G59" t="str">
        <f t="shared" si="0"/>
        <v>BBT</v>
      </c>
      <c r="H59" t="s">
        <v>34</v>
      </c>
      <c r="I59" t="s">
        <v>40</v>
      </c>
      <c r="J59" t="str">
        <f t="shared" si="1"/>
        <v>SHIFT E</v>
      </c>
    </row>
    <row r="60" spans="1:10">
      <c r="A60">
        <v>57</v>
      </c>
      <c r="B60" t="s">
        <v>293</v>
      </c>
      <c r="C60" t="s">
        <v>294</v>
      </c>
      <c r="D60" t="s">
        <v>28</v>
      </c>
      <c r="E60" t="s">
        <v>29</v>
      </c>
      <c r="F60" t="s">
        <v>30</v>
      </c>
      <c r="G60" t="str">
        <f t="shared" si="0"/>
        <v>DF</v>
      </c>
      <c r="H60" t="s">
        <v>34</v>
      </c>
      <c r="I60" t="s">
        <v>76</v>
      </c>
      <c r="J60" t="str">
        <f t="shared" si="1"/>
        <v>SHIFT E</v>
      </c>
    </row>
    <row r="61" spans="1:10">
      <c r="A61">
        <v>58</v>
      </c>
      <c r="B61" t="s">
        <v>297</v>
      </c>
      <c r="C61" t="s">
        <v>298</v>
      </c>
      <c r="D61" t="s">
        <v>28</v>
      </c>
      <c r="E61" t="s">
        <v>29</v>
      </c>
      <c r="F61" t="s">
        <v>85</v>
      </c>
      <c r="G61" t="str">
        <f t="shared" si="0"/>
        <v>DRILL</v>
      </c>
      <c r="H61" t="s">
        <v>34</v>
      </c>
      <c r="I61" t="s">
        <v>146</v>
      </c>
      <c r="J61" t="str">
        <f t="shared" si="1"/>
        <v>SHIFT C</v>
      </c>
    </row>
    <row r="62" spans="1:10">
      <c r="A62">
        <v>59</v>
      </c>
      <c r="B62" t="s">
        <v>301</v>
      </c>
      <c r="C62" t="s">
        <v>302</v>
      </c>
      <c r="D62" t="s">
        <v>28</v>
      </c>
      <c r="E62" t="s">
        <v>29</v>
      </c>
      <c r="F62" t="s">
        <v>30</v>
      </c>
      <c r="G62" t="str">
        <f t="shared" si="0"/>
        <v>DF</v>
      </c>
      <c r="H62" t="s">
        <v>34</v>
      </c>
      <c r="I62" t="s">
        <v>76</v>
      </c>
      <c r="J62" t="str">
        <f t="shared" si="1"/>
        <v>SHIFT E</v>
      </c>
    </row>
    <row r="63" spans="1:10">
      <c r="A63">
        <v>60</v>
      </c>
      <c r="B63" t="s">
        <v>305</v>
      </c>
      <c r="C63" t="s">
        <v>306</v>
      </c>
      <c r="D63" t="s">
        <v>28</v>
      </c>
      <c r="E63" t="s">
        <v>29</v>
      </c>
      <c r="F63" t="s">
        <v>48</v>
      </c>
      <c r="G63" t="str">
        <f t="shared" si="0"/>
        <v>ROUTER</v>
      </c>
      <c r="H63" t="s">
        <v>34</v>
      </c>
      <c r="I63" t="s">
        <v>89</v>
      </c>
      <c r="J63" t="str">
        <f t="shared" si="1"/>
        <v>SHIFT B</v>
      </c>
    </row>
    <row r="64" spans="1:10">
      <c r="A64">
        <v>61</v>
      </c>
      <c r="B64" t="s">
        <v>309</v>
      </c>
      <c r="C64" t="s">
        <v>310</v>
      </c>
      <c r="D64" t="s">
        <v>28</v>
      </c>
      <c r="E64" t="s">
        <v>29</v>
      </c>
      <c r="F64" t="s">
        <v>30</v>
      </c>
      <c r="G64" t="str">
        <f t="shared" si="0"/>
        <v>DF</v>
      </c>
      <c r="H64" t="s">
        <v>34</v>
      </c>
      <c r="I64" t="s">
        <v>76</v>
      </c>
      <c r="J64" t="str">
        <f t="shared" si="1"/>
        <v>SHIFT E</v>
      </c>
    </row>
    <row r="65" spans="1:10">
      <c r="A65">
        <v>62</v>
      </c>
      <c r="B65" t="s">
        <v>313</v>
      </c>
      <c r="C65" t="s">
        <v>314</v>
      </c>
      <c r="D65" t="s">
        <v>28</v>
      </c>
      <c r="E65" t="s">
        <v>29</v>
      </c>
      <c r="F65" t="s">
        <v>62</v>
      </c>
      <c r="G65" t="str">
        <f t="shared" si="0"/>
        <v>CU</v>
      </c>
      <c r="H65" t="s">
        <v>34</v>
      </c>
      <c r="I65" t="s">
        <v>76</v>
      </c>
      <c r="J65" t="str">
        <f t="shared" si="1"/>
        <v>SHIFT E</v>
      </c>
    </row>
    <row r="66" spans="1:10">
      <c r="A66">
        <v>63</v>
      </c>
      <c r="B66" t="s">
        <v>317</v>
      </c>
      <c r="C66" t="s">
        <v>318</v>
      </c>
      <c r="D66" t="s">
        <v>28</v>
      </c>
      <c r="E66" t="s">
        <v>29</v>
      </c>
      <c r="F66" t="s">
        <v>48</v>
      </c>
      <c r="G66" t="str">
        <f t="shared" si="0"/>
        <v>ROUTER</v>
      </c>
      <c r="H66" t="s">
        <v>34</v>
      </c>
      <c r="I66" t="s">
        <v>146</v>
      </c>
      <c r="J66" t="str">
        <f t="shared" si="1"/>
        <v>SHIFT C</v>
      </c>
    </row>
    <row r="67" spans="1:10">
      <c r="A67">
        <v>64</v>
      </c>
      <c r="B67" t="s">
        <v>321</v>
      </c>
      <c r="C67" t="s">
        <v>322</v>
      </c>
      <c r="D67" t="s">
        <v>28</v>
      </c>
      <c r="E67" t="s">
        <v>29</v>
      </c>
      <c r="F67" t="s">
        <v>56</v>
      </c>
      <c r="G67" t="str">
        <f t="shared" si="0"/>
        <v>AOI</v>
      </c>
      <c r="H67" t="s">
        <v>34</v>
      </c>
      <c r="I67" t="s">
        <v>76</v>
      </c>
      <c r="J67" t="str">
        <f t="shared" si="1"/>
        <v>SHIFT E</v>
      </c>
    </row>
    <row r="68" spans="1:10">
      <c r="A68">
        <v>65</v>
      </c>
      <c r="B68" t="s">
        <v>325</v>
      </c>
      <c r="C68" t="s">
        <v>326</v>
      </c>
      <c r="D68" t="s">
        <v>28</v>
      </c>
      <c r="E68" t="s">
        <v>29</v>
      </c>
      <c r="F68" t="s">
        <v>72</v>
      </c>
      <c r="G68" t="str">
        <f t="shared" ref="G68:G131" si="2">IF(OR(ISNUMBER(SEARCH("P1",F68)),ISNUMBER(SEARCH("P2",F68)),ISNUMBER(SEARCH("P3",F68)),ISNUMBER(SEARCH("P4",F68)),ISNUMBER(SEARCH("P5",F68))),"EQUIPMENT",
IF(ISNUMBER(SEARCH("Warehouse",F68)),"WAREHOUSE",
IF(ISNUMBER(SEARCH("WWTP",F68)),"ENVIRONMENT",
IF(OR(ISNUMBER(SEARCH("QC",F68)),ISNUMBER(SEARCH("RELIABILITY",F68)),ISNUMBER(SEARCH("OQA",F68)),ISNUMBER(SEARCH("CHEMICAL",F68))),"QUALITY",
IF(OR(ISNUMBER(SEARCH("OPERATION",F68)),ISNUMBER(SEARCH("PSM",F68))),"HS",
IF(ISNUMBER(SEARCH("FVI",F68)),"FVI",
IF(OR(ISNUMBER(SEARCH("ELECTRICITY",F68)),ISNUMBER(SEARCH("FACILITIES",F68)),ISNUMBER(SEARCH("MECHANICAL",F68))),"FACILITY",F68)))))))</f>
        <v>BBT</v>
      </c>
      <c r="H68" t="s">
        <v>106</v>
      </c>
      <c r="I68" t="s">
        <v>76</v>
      </c>
      <c r="J68" t="str">
        <f t="shared" ref="J68:J131" si="3">IF(ISNUMBER(SEARCH("GROUP C",I68)),"SHIFT C",
IF(ISNUMBER(SEARCH("GROUP A",I68)),"SHIFT A",
IF(ISNUMBER(SEARCH("GROUP O",I68)),"SHIFT O",
IF(ISNUMBER(SEARCH("GROUP B",I68)),"SHIFT B",
IF(ISNUMBER(SEARCH("GROUP E",I68)),"SHIFT E","")))))</f>
        <v>SHIFT E</v>
      </c>
    </row>
    <row r="69" spans="1:10">
      <c r="A69">
        <v>66</v>
      </c>
      <c r="B69" t="s">
        <v>329</v>
      </c>
      <c r="C69" t="s">
        <v>330</v>
      </c>
      <c r="D69" t="s">
        <v>28</v>
      </c>
      <c r="E69" t="s">
        <v>29</v>
      </c>
      <c r="F69" t="s">
        <v>56</v>
      </c>
      <c r="G69" t="str">
        <f t="shared" si="2"/>
        <v>AOI</v>
      </c>
      <c r="H69" t="s">
        <v>106</v>
      </c>
      <c r="I69" t="s">
        <v>53</v>
      </c>
      <c r="J69" t="str">
        <f t="shared" si="3"/>
        <v>SHIFT A</v>
      </c>
    </row>
    <row r="70" spans="1:10">
      <c r="A70">
        <v>67</v>
      </c>
      <c r="B70" t="s">
        <v>333</v>
      </c>
      <c r="C70" t="s">
        <v>334</v>
      </c>
      <c r="D70" t="s">
        <v>28</v>
      </c>
      <c r="E70" t="s">
        <v>29</v>
      </c>
      <c r="F70" t="s">
        <v>85</v>
      </c>
      <c r="G70" t="str">
        <f t="shared" si="2"/>
        <v>DRILL</v>
      </c>
      <c r="H70" t="s">
        <v>106</v>
      </c>
      <c r="I70" t="s">
        <v>53</v>
      </c>
      <c r="J70" t="str">
        <f t="shared" si="3"/>
        <v>SHIFT A</v>
      </c>
    </row>
    <row r="71" spans="1:10">
      <c r="A71">
        <v>68</v>
      </c>
      <c r="B71" t="s">
        <v>337</v>
      </c>
      <c r="C71" t="s">
        <v>338</v>
      </c>
      <c r="D71" t="s">
        <v>28</v>
      </c>
      <c r="E71" t="s">
        <v>29</v>
      </c>
      <c r="F71" t="s">
        <v>85</v>
      </c>
      <c r="G71" t="str">
        <f t="shared" si="2"/>
        <v>DRILL</v>
      </c>
      <c r="H71" t="s">
        <v>34</v>
      </c>
      <c r="I71" t="s">
        <v>53</v>
      </c>
      <c r="J71" t="str">
        <f t="shared" si="3"/>
        <v>SHIFT A</v>
      </c>
    </row>
    <row r="72" spans="1:10">
      <c r="A72">
        <v>69</v>
      </c>
      <c r="B72" t="s">
        <v>341</v>
      </c>
      <c r="C72" t="s">
        <v>342</v>
      </c>
      <c r="D72" t="s">
        <v>28</v>
      </c>
      <c r="E72" t="s">
        <v>29</v>
      </c>
      <c r="F72" t="s">
        <v>48</v>
      </c>
      <c r="G72" t="str">
        <f t="shared" si="2"/>
        <v>ROUTER</v>
      </c>
      <c r="H72" t="s">
        <v>34</v>
      </c>
      <c r="I72" t="s">
        <v>89</v>
      </c>
      <c r="J72" t="str">
        <f t="shared" si="3"/>
        <v>SHIFT B</v>
      </c>
    </row>
    <row r="73" spans="1:10">
      <c r="A73">
        <v>70</v>
      </c>
      <c r="B73" t="s">
        <v>345</v>
      </c>
      <c r="C73" t="s">
        <v>346</v>
      </c>
      <c r="D73" t="s">
        <v>28</v>
      </c>
      <c r="E73" t="s">
        <v>29</v>
      </c>
      <c r="F73" t="s">
        <v>62</v>
      </c>
      <c r="G73" t="str">
        <f t="shared" si="2"/>
        <v>CU</v>
      </c>
      <c r="H73" t="s">
        <v>34</v>
      </c>
      <c r="I73" t="s">
        <v>40</v>
      </c>
      <c r="J73" t="str">
        <f t="shared" si="3"/>
        <v>SHIFT E</v>
      </c>
    </row>
    <row r="74" spans="1:10">
      <c r="A74">
        <v>71</v>
      </c>
      <c r="B74" t="s">
        <v>349</v>
      </c>
      <c r="C74" t="s">
        <v>350</v>
      </c>
      <c r="D74" t="s">
        <v>28</v>
      </c>
      <c r="E74" t="s">
        <v>29</v>
      </c>
      <c r="F74" t="s">
        <v>85</v>
      </c>
      <c r="G74" t="str">
        <f t="shared" si="2"/>
        <v>DRILL</v>
      </c>
      <c r="H74" t="s">
        <v>34</v>
      </c>
      <c r="I74" t="s">
        <v>89</v>
      </c>
      <c r="J74" t="str">
        <f t="shared" si="3"/>
        <v>SHIFT B</v>
      </c>
    </row>
    <row r="75" spans="1:10">
      <c r="A75">
        <v>72</v>
      </c>
      <c r="B75" t="s">
        <v>353</v>
      </c>
      <c r="C75" t="s">
        <v>354</v>
      </c>
      <c r="D75" t="s">
        <v>28</v>
      </c>
      <c r="E75" t="s">
        <v>29</v>
      </c>
      <c r="F75" t="s">
        <v>48</v>
      </c>
      <c r="G75" t="str">
        <f t="shared" si="2"/>
        <v>ROUTER</v>
      </c>
      <c r="H75" t="s">
        <v>34</v>
      </c>
      <c r="I75" t="s">
        <v>53</v>
      </c>
      <c r="J75" t="str">
        <f t="shared" si="3"/>
        <v>SHIFT A</v>
      </c>
    </row>
    <row r="76" spans="1:10">
      <c r="A76">
        <v>73</v>
      </c>
      <c r="B76" t="s">
        <v>357</v>
      </c>
      <c r="C76" t="s">
        <v>358</v>
      </c>
      <c r="D76" t="s">
        <v>28</v>
      </c>
      <c r="E76" t="s">
        <v>29</v>
      </c>
      <c r="F76" t="s">
        <v>56</v>
      </c>
      <c r="G76" t="str">
        <f t="shared" si="2"/>
        <v>AOI</v>
      </c>
      <c r="H76" t="s">
        <v>34</v>
      </c>
      <c r="I76" t="s">
        <v>89</v>
      </c>
      <c r="J76" t="str">
        <f t="shared" si="3"/>
        <v>SHIFT B</v>
      </c>
    </row>
    <row r="77" spans="1:10">
      <c r="A77">
        <v>74</v>
      </c>
      <c r="B77" t="s">
        <v>361</v>
      </c>
      <c r="C77" t="s">
        <v>362</v>
      </c>
      <c r="D77" t="s">
        <v>28</v>
      </c>
      <c r="E77" t="s">
        <v>29</v>
      </c>
      <c r="F77" t="s">
        <v>56</v>
      </c>
      <c r="G77" t="str">
        <f t="shared" si="2"/>
        <v>AOI</v>
      </c>
      <c r="H77" t="s">
        <v>34</v>
      </c>
      <c r="I77" t="s">
        <v>76</v>
      </c>
      <c r="J77" t="str">
        <f t="shared" si="3"/>
        <v>SHIFT E</v>
      </c>
    </row>
    <row r="78" spans="1:10">
      <c r="A78">
        <v>75</v>
      </c>
      <c r="B78" t="s">
        <v>366</v>
      </c>
      <c r="C78" t="s">
        <v>367</v>
      </c>
      <c r="D78" t="s">
        <v>28</v>
      </c>
      <c r="E78" t="s">
        <v>29</v>
      </c>
      <c r="F78" t="s">
        <v>72</v>
      </c>
      <c r="G78" t="str">
        <f t="shared" si="2"/>
        <v>BBT</v>
      </c>
      <c r="H78" t="s">
        <v>34</v>
      </c>
      <c r="I78" t="s">
        <v>76</v>
      </c>
      <c r="J78" t="str">
        <f t="shared" si="3"/>
        <v>SHIFT E</v>
      </c>
    </row>
    <row r="79" spans="1:10">
      <c r="A79">
        <v>76</v>
      </c>
      <c r="B79" t="s">
        <v>370</v>
      </c>
      <c r="C79" t="s">
        <v>371</v>
      </c>
      <c r="D79" t="s">
        <v>28</v>
      </c>
      <c r="E79" t="s">
        <v>29</v>
      </c>
      <c r="F79" t="s">
        <v>43</v>
      </c>
      <c r="G79" t="str">
        <f t="shared" si="2"/>
        <v>AU</v>
      </c>
      <c r="H79" t="s">
        <v>34</v>
      </c>
      <c r="I79" t="s">
        <v>40</v>
      </c>
      <c r="J79" t="str">
        <f t="shared" si="3"/>
        <v>SHIFT E</v>
      </c>
    </row>
    <row r="80" spans="1:10">
      <c r="A80">
        <v>77</v>
      </c>
      <c r="B80" t="s">
        <v>374</v>
      </c>
      <c r="C80" t="s">
        <v>375</v>
      </c>
      <c r="D80" t="s">
        <v>28</v>
      </c>
      <c r="E80" t="s">
        <v>29</v>
      </c>
      <c r="F80" t="s">
        <v>79</v>
      </c>
      <c r="G80" t="str">
        <f t="shared" si="2"/>
        <v>SM</v>
      </c>
      <c r="H80" t="s">
        <v>34</v>
      </c>
      <c r="I80" t="s">
        <v>40</v>
      </c>
      <c r="J80" t="str">
        <f t="shared" si="3"/>
        <v>SHIFT E</v>
      </c>
    </row>
    <row r="81" spans="1:10">
      <c r="A81">
        <v>78</v>
      </c>
      <c r="B81" t="s">
        <v>378</v>
      </c>
      <c r="C81" t="s">
        <v>379</v>
      </c>
      <c r="D81" t="s">
        <v>28</v>
      </c>
      <c r="E81" t="s">
        <v>29</v>
      </c>
      <c r="F81" t="s">
        <v>30</v>
      </c>
      <c r="G81" t="str">
        <f t="shared" si="2"/>
        <v>DF</v>
      </c>
      <c r="H81" t="s">
        <v>34</v>
      </c>
      <c r="I81" t="s">
        <v>76</v>
      </c>
      <c r="J81" t="str">
        <f t="shared" si="3"/>
        <v>SHIFT E</v>
      </c>
    </row>
    <row r="82" spans="1:10">
      <c r="A82">
        <v>79</v>
      </c>
      <c r="B82" t="s">
        <v>382</v>
      </c>
      <c r="C82" t="s">
        <v>383</v>
      </c>
      <c r="D82" t="s">
        <v>28</v>
      </c>
      <c r="E82" t="s">
        <v>29</v>
      </c>
      <c r="F82" t="s">
        <v>62</v>
      </c>
      <c r="G82" t="str">
        <f t="shared" si="2"/>
        <v>CU</v>
      </c>
      <c r="H82" t="s">
        <v>34</v>
      </c>
      <c r="I82" t="s">
        <v>40</v>
      </c>
      <c r="J82" t="str">
        <f t="shared" si="3"/>
        <v>SHIFT E</v>
      </c>
    </row>
    <row r="83" spans="1:10">
      <c r="A83">
        <v>80</v>
      </c>
      <c r="B83" t="s">
        <v>386</v>
      </c>
      <c r="C83" t="s">
        <v>387</v>
      </c>
      <c r="D83" t="s">
        <v>28</v>
      </c>
      <c r="E83" t="s">
        <v>29</v>
      </c>
      <c r="F83" t="s">
        <v>85</v>
      </c>
      <c r="G83" t="str">
        <f t="shared" si="2"/>
        <v>DRILL</v>
      </c>
      <c r="H83" t="s">
        <v>34</v>
      </c>
      <c r="I83" t="s">
        <v>146</v>
      </c>
      <c r="J83" t="str">
        <f t="shared" si="3"/>
        <v>SHIFT C</v>
      </c>
    </row>
    <row r="84" spans="1:10">
      <c r="A84">
        <v>81</v>
      </c>
      <c r="B84" t="s">
        <v>390</v>
      </c>
      <c r="C84" t="s">
        <v>391</v>
      </c>
      <c r="D84" t="s">
        <v>28</v>
      </c>
      <c r="E84" t="s">
        <v>29</v>
      </c>
      <c r="F84" t="s">
        <v>56</v>
      </c>
      <c r="G84" t="str">
        <f t="shared" si="2"/>
        <v>AOI</v>
      </c>
      <c r="H84" t="s">
        <v>106</v>
      </c>
      <c r="I84" t="s">
        <v>53</v>
      </c>
      <c r="J84" t="str">
        <f t="shared" si="3"/>
        <v>SHIFT A</v>
      </c>
    </row>
    <row r="85" spans="1:10">
      <c r="A85">
        <v>82</v>
      </c>
      <c r="B85" t="s">
        <v>394</v>
      </c>
      <c r="C85" t="s">
        <v>395</v>
      </c>
      <c r="D85" t="s">
        <v>28</v>
      </c>
      <c r="E85" t="s">
        <v>29</v>
      </c>
      <c r="F85" t="s">
        <v>56</v>
      </c>
      <c r="G85" t="str">
        <f t="shared" si="2"/>
        <v>AOI</v>
      </c>
      <c r="H85" t="s">
        <v>106</v>
      </c>
      <c r="I85" t="s">
        <v>76</v>
      </c>
      <c r="J85" t="str">
        <f t="shared" si="3"/>
        <v>SHIFT E</v>
      </c>
    </row>
    <row r="86" spans="1:10">
      <c r="A86">
        <v>83</v>
      </c>
      <c r="B86" t="s">
        <v>398</v>
      </c>
      <c r="C86" t="s">
        <v>399</v>
      </c>
      <c r="D86" t="s">
        <v>28</v>
      </c>
      <c r="E86" t="s">
        <v>29</v>
      </c>
      <c r="F86" t="s">
        <v>85</v>
      </c>
      <c r="G86" t="str">
        <f t="shared" si="2"/>
        <v>DRILL</v>
      </c>
      <c r="H86" t="s">
        <v>34</v>
      </c>
      <c r="I86" t="s">
        <v>146</v>
      </c>
      <c r="J86" t="str">
        <f t="shared" si="3"/>
        <v>SHIFT C</v>
      </c>
    </row>
    <row r="87" spans="1:10">
      <c r="A87">
        <v>96</v>
      </c>
      <c r="B87" t="s">
        <v>488</v>
      </c>
      <c r="C87" t="s">
        <v>489</v>
      </c>
      <c r="D87" t="s">
        <v>490</v>
      </c>
      <c r="E87" t="s">
        <v>491</v>
      </c>
      <c r="F87" t="s">
        <v>492</v>
      </c>
      <c r="G87" t="str">
        <f t="shared" si="2"/>
        <v>QUALITY</v>
      </c>
      <c r="H87" t="s">
        <v>106</v>
      </c>
      <c r="I87" t="s">
        <v>146</v>
      </c>
      <c r="J87" t="str">
        <f t="shared" si="3"/>
        <v>SHIFT C</v>
      </c>
    </row>
    <row r="88" spans="1:10">
      <c r="A88">
        <v>97</v>
      </c>
      <c r="B88" t="s">
        <v>497</v>
      </c>
      <c r="C88" t="s">
        <v>498</v>
      </c>
      <c r="D88" t="s">
        <v>499</v>
      </c>
      <c r="E88" t="s">
        <v>29</v>
      </c>
      <c r="F88" t="s">
        <v>79</v>
      </c>
      <c r="G88" t="str">
        <f t="shared" si="2"/>
        <v>SM</v>
      </c>
      <c r="H88" t="s">
        <v>34</v>
      </c>
      <c r="I88" t="s">
        <v>146</v>
      </c>
      <c r="J88" t="str">
        <f t="shared" si="3"/>
        <v>SHIFT C</v>
      </c>
    </row>
    <row r="89" spans="1:10">
      <c r="A89">
        <v>108</v>
      </c>
      <c r="B89" t="s">
        <v>548</v>
      </c>
      <c r="C89" t="s">
        <v>549</v>
      </c>
      <c r="D89" t="s">
        <v>499</v>
      </c>
      <c r="E89" t="s">
        <v>29</v>
      </c>
      <c r="F89" t="s">
        <v>537</v>
      </c>
      <c r="G89" t="str">
        <f t="shared" si="2"/>
        <v>MLB</v>
      </c>
      <c r="H89" t="s">
        <v>34</v>
      </c>
      <c r="I89" t="s">
        <v>53</v>
      </c>
      <c r="J89" t="str">
        <f t="shared" si="3"/>
        <v>SHIFT A</v>
      </c>
    </row>
    <row r="90" spans="1:10">
      <c r="A90">
        <v>133</v>
      </c>
      <c r="B90" t="s">
        <v>666</v>
      </c>
      <c r="C90" t="s">
        <v>667</v>
      </c>
      <c r="D90" t="s">
        <v>668</v>
      </c>
      <c r="E90" t="s">
        <v>446</v>
      </c>
      <c r="F90" t="s">
        <v>516</v>
      </c>
      <c r="G90" t="str">
        <f t="shared" si="2"/>
        <v>EQUIPMENT</v>
      </c>
      <c r="H90" t="s">
        <v>34</v>
      </c>
      <c r="I90" t="s">
        <v>146</v>
      </c>
      <c r="J90" t="str">
        <f t="shared" si="3"/>
        <v>SHIFT C</v>
      </c>
    </row>
    <row r="91" spans="1:10">
      <c r="A91">
        <v>139</v>
      </c>
      <c r="B91" t="s">
        <v>704</v>
      </c>
      <c r="C91" t="s">
        <v>705</v>
      </c>
      <c r="D91" t="s">
        <v>668</v>
      </c>
      <c r="E91" t="s">
        <v>706</v>
      </c>
      <c r="F91" t="s">
        <v>707</v>
      </c>
      <c r="G91" t="str">
        <f t="shared" si="2"/>
        <v>FACILITY</v>
      </c>
      <c r="H91" t="s">
        <v>34</v>
      </c>
      <c r="I91" t="s">
        <v>89</v>
      </c>
      <c r="J91" t="str">
        <f t="shared" si="3"/>
        <v>SHIFT B</v>
      </c>
    </row>
    <row r="92" spans="1:10">
      <c r="A92">
        <v>144</v>
      </c>
      <c r="B92" t="s">
        <v>731</v>
      </c>
      <c r="C92" t="s">
        <v>732</v>
      </c>
      <c r="D92" t="s">
        <v>733</v>
      </c>
      <c r="E92" t="s">
        <v>446</v>
      </c>
      <c r="F92" t="s">
        <v>615</v>
      </c>
      <c r="G92" t="str">
        <f t="shared" si="2"/>
        <v>EQUIPMENT</v>
      </c>
      <c r="H92" t="s">
        <v>34</v>
      </c>
      <c r="I92" t="s">
        <v>146</v>
      </c>
      <c r="J92" t="str">
        <f t="shared" si="3"/>
        <v>SHIFT C</v>
      </c>
    </row>
    <row r="93" spans="1:10">
      <c r="A93">
        <v>145</v>
      </c>
      <c r="B93" t="s">
        <v>736</v>
      </c>
      <c r="C93" t="s">
        <v>737</v>
      </c>
      <c r="D93" t="s">
        <v>738</v>
      </c>
      <c r="E93" t="s">
        <v>453</v>
      </c>
      <c r="F93" t="s">
        <v>739</v>
      </c>
      <c r="G93" t="str">
        <f t="shared" si="2"/>
        <v>RODI</v>
      </c>
      <c r="H93" t="s">
        <v>34</v>
      </c>
      <c r="I93" t="s">
        <v>89</v>
      </c>
      <c r="J93" t="str">
        <f t="shared" si="3"/>
        <v>SHIFT B</v>
      </c>
    </row>
    <row r="94" spans="1:10">
      <c r="A94">
        <v>146</v>
      </c>
      <c r="B94" t="s">
        <v>742</v>
      </c>
      <c r="C94" t="s">
        <v>743</v>
      </c>
      <c r="D94" t="s">
        <v>738</v>
      </c>
      <c r="E94" t="s">
        <v>744</v>
      </c>
      <c r="F94" t="s">
        <v>745</v>
      </c>
      <c r="G94" t="str">
        <f t="shared" si="2"/>
        <v>HS</v>
      </c>
      <c r="H94" t="s">
        <v>106</v>
      </c>
      <c r="I94" t="s">
        <v>146</v>
      </c>
      <c r="J94" t="str">
        <f t="shared" si="3"/>
        <v>SHIFT C</v>
      </c>
    </row>
    <row r="95" spans="1:10">
      <c r="A95">
        <v>147</v>
      </c>
      <c r="B95" t="s">
        <v>748</v>
      </c>
      <c r="C95" t="s">
        <v>749</v>
      </c>
      <c r="D95" t="s">
        <v>668</v>
      </c>
      <c r="E95" t="s">
        <v>446</v>
      </c>
      <c r="F95" t="s">
        <v>516</v>
      </c>
      <c r="G95" t="str">
        <f t="shared" si="2"/>
        <v>EQUIPMENT</v>
      </c>
      <c r="H95" t="s">
        <v>34</v>
      </c>
      <c r="I95" t="s">
        <v>752</v>
      </c>
      <c r="J95" t="str">
        <f t="shared" si="3"/>
        <v>SHIFT O</v>
      </c>
    </row>
    <row r="96" spans="1:10">
      <c r="A96">
        <v>148</v>
      </c>
      <c r="B96" t="s">
        <v>753</v>
      </c>
      <c r="C96" t="s">
        <v>754</v>
      </c>
      <c r="D96" t="s">
        <v>755</v>
      </c>
      <c r="E96" t="s">
        <v>417</v>
      </c>
      <c r="F96" t="s">
        <v>756</v>
      </c>
      <c r="G96" t="str">
        <f t="shared" si="2"/>
        <v>WAREHOUSE</v>
      </c>
      <c r="H96" t="s">
        <v>34</v>
      </c>
      <c r="I96" t="s">
        <v>89</v>
      </c>
      <c r="J96" t="str">
        <f t="shared" si="3"/>
        <v>SHIFT B</v>
      </c>
    </row>
    <row r="97" spans="1:10">
      <c r="A97">
        <v>149</v>
      </c>
      <c r="B97" t="s">
        <v>760</v>
      </c>
      <c r="C97" t="s">
        <v>761</v>
      </c>
      <c r="D97" t="s">
        <v>762</v>
      </c>
      <c r="E97" t="s">
        <v>453</v>
      </c>
      <c r="F97" t="s">
        <v>739</v>
      </c>
      <c r="G97" t="str">
        <f t="shared" si="2"/>
        <v>RODI</v>
      </c>
      <c r="H97" t="s">
        <v>34</v>
      </c>
      <c r="I97" t="s">
        <v>146</v>
      </c>
      <c r="J97" t="str">
        <f t="shared" si="3"/>
        <v>SHIFT C</v>
      </c>
    </row>
    <row r="98" spans="1:10">
      <c r="A98">
        <v>150</v>
      </c>
      <c r="B98" t="s">
        <v>766</v>
      </c>
      <c r="C98" t="s">
        <v>767</v>
      </c>
      <c r="D98" t="s">
        <v>738</v>
      </c>
      <c r="E98" t="s">
        <v>453</v>
      </c>
      <c r="F98" t="s">
        <v>739</v>
      </c>
      <c r="G98" t="str">
        <f t="shared" si="2"/>
        <v>RODI</v>
      </c>
      <c r="H98" t="s">
        <v>34</v>
      </c>
      <c r="I98" t="s">
        <v>53</v>
      </c>
      <c r="J98" t="str">
        <f t="shared" si="3"/>
        <v>SHIFT A</v>
      </c>
    </row>
    <row r="99" spans="1:10">
      <c r="A99">
        <v>151</v>
      </c>
      <c r="B99" t="s">
        <v>770</v>
      </c>
      <c r="C99" t="s">
        <v>771</v>
      </c>
      <c r="D99" t="s">
        <v>755</v>
      </c>
      <c r="E99" t="s">
        <v>417</v>
      </c>
      <c r="F99" t="s">
        <v>756</v>
      </c>
      <c r="G99" t="str">
        <f t="shared" si="2"/>
        <v>WAREHOUSE</v>
      </c>
      <c r="H99" t="s">
        <v>34</v>
      </c>
      <c r="I99" t="s">
        <v>146</v>
      </c>
      <c r="J99" t="str">
        <f t="shared" si="3"/>
        <v>SHIFT C</v>
      </c>
    </row>
    <row r="100" spans="1:10">
      <c r="A100">
        <v>152</v>
      </c>
      <c r="B100" t="s">
        <v>774</v>
      </c>
      <c r="C100" t="s">
        <v>775</v>
      </c>
      <c r="D100" t="s">
        <v>738</v>
      </c>
      <c r="E100" t="s">
        <v>744</v>
      </c>
      <c r="F100" t="s">
        <v>38</v>
      </c>
      <c r="G100" t="str">
        <f t="shared" si="2"/>
        <v>HS</v>
      </c>
      <c r="H100" t="s">
        <v>34</v>
      </c>
      <c r="I100" t="s">
        <v>89</v>
      </c>
      <c r="J100" t="str">
        <f t="shared" si="3"/>
        <v>SHIFT B</v>
      </c>
    </row>
    <row r="101" spans="1:10">
      <c r="A101">
        <v>154</v>
      </c>
      <c r="B101" t="s">
        <v>783</v>
      </c>
      <c r="C101" t="s">
        <v>784</v>
      </c>
      <c r="D101" t="s">
        <v>762</v>
      </c>
      <c r="E101" t="s">
        <v>706</v>
      </c>
      <c r="F101" t="s">
        <v>707</v>
      </c>
      <c r="G101" t="str">
        <f t="shared" si="2"/>
        <v>FACILITY</v>
      </c>
      <c r="H101" t="s">
        <v>34</v>
      </c>
      <c r="I101" t="s">
        <v>146</v>
      </c>
      <c r="J101" t="str">
        <f t="shared" si="3"/>
        <v>SHIFT C</v>
      </c>
    </row>
    <row r="102" spans="1:10">
      <c r="A102">
        <v>155</v>
      </c>
      <c r="B102" t="s">
        <v>787</v>
      </c>
      <c r="C102" t="s">
        <v>788</v>
      </c>
      <c r="D102" t="s">
        <v>762</v>
      </c>
      <c r="E102" t="s">
        <v>453</v>
      </c>
      <c r="F102" t="s">
        <v>454</v>
      </c>
      <c r="G102" t="str">
        <f t="shared" si="2"/>
        <v>ENVIRONMENT</v>
      </c>
      <c r="H102" t="s">
        <v>34</v>
      </c>
      <c r="I102" t="s">
        <v>89</v>
      </c>
      <c r="J102" t="str">
        <f t="shared" si="3"/>
        <v>SHIFT B</v>
      </c>
    </row>
    <row r="103" spans="1:10">
      <c r="A103">
        <v>156</v>
      </c>
      <c r="B103" t="s">
        <v>791</v>
      </c>
      <c r="C103" t="s">
        <v>792</v>
      </c>
      <c r="D103" t="s">
        <v>668</v>
      </c>
      <c r="E103" t="s">
        <v>453</v>
      </c>
      <c r="F103" t="s">
        <v>454</v>
      </c>
      <c r="G103" t="str">
        <f t="shared" si="2"/>
        <v>ENVIRONMENT</v>
      </c>
      <c r="H103" t="s">
        <v>34</v>
      </c>
      <c r="I103" t="s">
        <v>53</v>
      </c>
      <c r="J103" t="str">
        <f t="shared" si="3"/>
        <v>SHIFT A</v>
      </c>
    </row>
    <row r="104" spans="1:10">
      <c r="A104">
        <v>158</v>
      </c>
      <c r="B104" t="s">
        <v>800</v>
      </c>
      <c r="C104" t="s">
        <v>801</v>
      </c>
      <c r="D104" t="s">
        <v>738</v>
      </c>
      <c r="E104" t="s">
        <v>744</v>
      </c>
      <c r="F104" t="s">
        <v>745</v>
      </c>
      <c r="G104" t="str">
        <f t="shared" si="2"/>
        <v>HS</v>
      </c>
      <c r="H104" t="s">
        <v>106</v>
      </c>
      <c r="I104" t="s">
        <v>89</v>
      </c>
      <c r="J104" t="str">
        <f t="shared" si="3"/>
        <v>SHIFT B</v>
      </c>
    </row>
    <row r="105" spans="1:10">
      <c r="A105">
        <v>159</v>
      </c>
      <c r="B105" t="s">
        <v>804</v>
      </c>
      <c r="C105" t="s">
        <v>805</v>
      </c>
      <c r="D105" t="s">
        <v>668</v>
      </c>
      <c r="E105" t="s">
        <v>744</v>
      </c>
      <c r="F105" t="s">
        <v>745</v>
      </c>
      <c r="G105" t="str">
        <f t="shared" si="2"/>
        <v>HS</v>
      </c>
      <c r="H105" t="s">
        <v>34</v>
      </c>
      <c r="I105" t="s">
        <v>89</v>
      </c>
      <c r="J105" t="str">
        <f t="shared" si="3"/>
        <v>SHIFT B</v>
      </c>
    </row>
    <row r="106" spans="1:10">
      <c r="A106">
        <v>163</v>
      </c>
      <c r="B106" t="s">
        <v>828</v>
      </c>
      <c r="C106" t="s">
        <v>829</v>
      </c>
      <c r="D106" t="s">
        <v>499</v>
      </c>
      <c r="E106" t="s">
        <v>491</v>
      </c>
      <c r="F106" t="s">
        <v>830</v>
      </c>
      <c r="G106" t="str">
        <f t="shared" si="2"/>
        <v>QUALITY</v>
      </c>
      <c r="H106" t="s">
        <v>106</v>
      </c>
      <c r="I106" t="s">
        <v>146</v>
      </c>
      <c r="J106" t="str">
        <f t="shared" si="3"/>
        <v>SHIFT C</v>
      </c>
    </row>
    <row r="107" spans="1:10">
      <c r="A107">
        <v>165</v>
      </c>
      <c r="B107" t="s">
        <v>839</v>
      </c>
      <c r="C107" t="s">
        <v>840</v>
      </c>
      <c r="D107" t="s">
        <v>762</v>
      </c>
      <c r="E107" t="s">
        <v>706</v>
      </c>
      <c r="F107" t="s">
        <v>707</v>
      </c>
      <c r="G107" t="str">
        <f t="shared" si="2"/>
        <v>FACILITY</v>
      </c>
      <c r="H107" t="s">
        <v>34</v>
      </c>
      <c r="I107" t="s">
        <v>89</v>
      </c>
      <c r="J107" t="str">
        <f t="shared" si="3"/>
        <v>SHIFT B</v>
      </c>
    </row>
    <row r="108" spans="1:10">
      <c r="A108">
        <v>166</v>
      </c>
      <c r="B108" t="s">
        <v>843</v>
      </c>
      <c r="C108" t="s">
        <v>844</v>
      </c>
      <c r="D108" t="s">
        <v>738</v>
      </c>
      <c r="E108" t="s">
        <v>453</v>
      </c>
      <c r="F108" t="s">
        <v>454</v>
      </c>
      <c r="G108" t="str">
        <f t="shared" si="2"/>
        <v>ENVIRONMENT</v>
      </c>
      <c r="H108" t="s">
        <v>34</v>
      </c>
      <c r="I108" t="s">
        <v>146</v>
      </c>
      <c r="J108" t="str">
        <f t="shared" si="3"/>
        <v>SHIFT C</v>
      </c>
    </row>
    <row r="109" spans="1:10">
      <c r="A109">
        <v>167</v>
      </c>
      <c r="B109" t="s">
        <v>847</v>
      </c>
      <c r="C109" t="s">
        <v>848</v>
      </c>
      <c r="D109" t="s">
        <v>762</v>
      </c>
      <c r="E109" t="s">
        <v>706</v>
      </c>
      <c r="F109" t="s">
        <v>707</v>
      </c>
      <c r="G109" t="str">
        <f t="shared" si="2"/>
        <v>FACILITY</v>
      </c>
      <c r="H109" t="s">
        <v>34</v>
      </c>
      <c r="I109" t="s">
        <v>146</v>
      </c>
      <c r="J109" t="str">
        <f t="shared" si="3"/>
        <v>SHIFT C</v>
      </c>
    </row>
    <row r="110" spans="1:10">
      <c r="A110">
        <v>168</v>
      </c>
      <c r="B110" t="s">
        <v>850</v>
      </c>
      <c r="C110" t="s">
        <v>851</v>
      </c>
      <c r="D110" t="s">
        <v>762</v>
      </c>
      <c r="E110" t="s">
        <v>706</v>
      </c>
      <c r="F110" t="s">
        <v>707</v>
      </c>
      <c r="G110" t="str">
        <f t="shared" si="2"/>
        <v>FACILITY</v>
      </c>
      <c r="H110" t="s">
        <v>34</v>
      </c>
      <c r="I110" t="s">
        <v>53</v>
      </c>
      <c r="J110" t="str">
        <f t="shared" si="3"/>
        <v>SHIFT A</v>
      </c>
    </row>
    <row r="111" spans="1:10">
      <c r="A111">
        <v>169</v>
      </c>
      <c r="B111" t="s">
        <v>854</v>
      </c>
      <c r="C111" t="s">
        <v>855</v>
      </c>
      <c r="D111" t="s">
        <v>762</v>
      </c>
      <c r="E111" t="s">
        <v>706</v>
      </c>
      <c r="F111" t="s">
        <v>707</v>
      </c>
      <c r="G111" t="str">
        <f t="shared" si="2"/>
        <v>FACILITY</v>
      </c>
      <c r="H111" t="s">
        <v>34</v>
      </c>
      <c r="I111" t="s">
        <v>146</v>
      </c>
      <c r="J111" t="str">
        <f t="shared" si="3"/>
        <v>SHIFT C</v>
      </c>
    </row>
    <row r="112" spans="1:10">
      <c r="A112">
        <v>170</v>
      </c>
      <c r="B112" t="s">
        <v>858</v>
      </c>
      <c r="C112" t="s">
        <v>859</v>
      </c>
      <c r="D112" t="s">
        <v>738</v>
      </c>
      <c r="E112" t="s">
        <v>446</v>
      </c>
      <c r="F112" t="s">
        <v>860</v>
      </c>
      <c r="G112" t="str">
        <f t="shared" si="2"/>
        <v>EQUIPMENT</v>
      </c>
      <c r="H112" t="s">
        <v>34</v>
      </c>
      <c r="I112" t="s">
        <v>89</v>
      </c>
      <c r="J112" t="str">
        <f t="shared" si="3"/>
        <v>SHIFT B</v>
      </c>
    </row>
    <row r="113" spans="1:10">
      <c r="A113">
        <v>171</v>
      </c>
      <c r="B113" t="s">
        <v>864</v>
      </c>
      <c r="C113" t="s">
        <v>865</v>
      </c>
      <c r="D113" t="s">
        <v>762</v>
      </c>
      <c r="E113" t="s">
        <v>446</v>
      </c>
      <c r="F113" t="s">
        <v>860</v>
      </c>
      <c r="G113" t="str">
        <f t="shared" si="2"/>
        <v>EQUIPMENT</v>
      </c>
      <c r="H113" t="s">
        <v>34</v>
      </c>
      <c r="I113" t="s">
        <v>89</v>
      </c>
      <c r="J113" t="str">
        <f t="shared" si="3"/>
        <v>SHIFT B</v>
      </c>
    </row>
    <row r="114" spans="1:10">
      <c r="A114">
        <v>172</v>
      </c>
      <c r="B114" t="s">
        <v>868</v>
      </c>
      <c r="C114" t="s">
        <v>869</v>
      </c>
      <c r="D114" t="s">
        <v>762</v>
      </c>
      <c r="E114" t="s">
        <v>706</v>
      </c>
      <c r="F114" t="s">
        <v>870</v>
      </c>
      <c r="G114" t="str">
        <f t="shared" si="2"/>
        <v>FACILITY</v>
      </c>
      <c r="H114" t="s">
        <v>34</v>
      </c>
      <c r="I114" t="s">
        <v>89</v>
      </c>
      <c r="J114" t="str">
        <f t="shared" si="3"/>
        <v>SHIFT B</v>
      </c>
    </row>
    <row r="115" spans="1:10">
      <c r="A115">
        <v>173</v>
      </c>
      <c r="B115" t="s">
        <v>874</v>
      </c>
      <c r="C115" t="s">
        <v>875</v>
      </c>
      <c r="D115" t="s">
        <v>738</v>
      </c>
      <c r="E115" t="s">
        <v>446</v>
      </c>
      <c r="F115" t="s">
        <v>516</v>
      </c>
      <c r="G115" t="str">
        <f t="shared" si="2"/>
        <v>EQUIPMENT</v>
      </c>
      <c r="H115" t="s">
        <v>34</v>
      </c>
      <c r="I115" t="s">
        <v>89</v>
      </c>
      <c r="J115" t="str">
        <f t="shared" si="3"/>
        <v>SHIFT B</v>
      </c>
    </row>
    <row r="116" spans="1:10">
      <c r="A116">
        <v>174</v>
      </c>
      <c r="B116" t="s">
        <v>878</v>
      </c>
      <c r="C116" t="s">
        <v>879</v>
      </c>
      <c r="D116" t="s">
        <v>880</v>
      </c>
      <c r="E116" t="s">
        <v>417</v>
      </c>
      <c r="F116" t="s">
        <v>756</v>
      </c>
      <c r="G116" t="str">
        <f t="shared" si="2"/>
        <v>WAREHOUSE</v>
      </c>
      <c r="H116" t="s">
        <v>34</v>
      </c>
      <c r="I116" t="s">
        <v>53</v>
      </c>
      <c r="J116" t="str">
        <f t="shared" si="3"/>
        <v>SHIFT A</v>
      </c>
    </row>
    <row r="117" spans="1:10">
      <c r="A117">
        <v>175</v>
      </c>
      <c r="B117" t="s">
        <v>883</v>
      </c>
      <c r="C117" t="s">
        <v>884</v>
      </c>
      <c r="D117" t="s">
        <v>738</v>
      </c>
      <c r="E117" t="s">
        <v>744</v>
      </c>
      <c r="F117" t="s">
        <v>745</v>
      </c>
      <c r="G117" t="str">
        <f t="shared" si="2"/>
        <v>HS</v>
      </c>
      <c r="H117" t="s">
        <v>34</v>
      </c>
      <c r="I117" t="s">
        <v>53</v>
      </c>
      <c r="J117" t="str">
        <f t="shared" si="3"/>
        <v>SHIFT A</v>
      </c>
    </row>
    <row r="118" spans="1:10">
      <c r="A118">
        <v>179</v>
      </c>
      <c r="B118" t="s">
        <v>902</v>
      </c>
      <c r="C118" t="s">
        <v>903</v>
      </c>
      <c r="D118" t="s">
        <v>738</v>
      </c>
      <c r="E118" t="s">
        <v>706</v>
      </c>
      <c r="F118" t="s">
        <v>707</v>
      </c>
      <c r="G118" t="str">
        <f t="shared" si="2"/>
        <v>FACILITY</v>
      </c>
      <c r="H118" t="s">
        <v>34</v>
      </c>
      <c r="I118" t="s">
        <v>89</v>
      </c>
      <c r="J118" t="str">
        <f t="shared" si="3"/>
        <v>SHIFT B</v>
      </c>
    </row>
    <row r="119" spans="1:10">
      <c r="A119">
        <v>181</v>
      </c>
      <c r="B119" t="s">
        <v>909</v>
      </c>
      <c r="C119" t="s">
        <v>910</v>
      </c>
      <c r="D119" t="s">
        <v>738</v>
      </c>
      <c r="E119" t="s">
        <v>453</v>
      </c>
      <c r="F119" t="s">
        <v>454</v>
      </c>
      <c r="G119" t="str">
        <f t="shared" si="2"/>
        <v>ENVIRONMENT</v>
      </c>
      <c r="H119" t="s">
        <v>34</v>
      </c>
      <c r="I119" t="s">
        <v>53</v>
      </c>
      <c r="J119" t="str">
        <f t="shared" si="3"/>
        <v>SHIFT A</v>
      </c>
    </row>
    <row r="120" spans="1:10">
      <c r="A120">
        <v>182</v>
      </c>
      <c r="B120" t="s">
        <v>914</v>
      </c>
      <c r="C120" t="s">
        <v>915</v>
      </c>
      <c r="D120" t="s">
        <v>668</v>
      </c>
      <c r="E120" t="s">
        <v>453</v>
      </c>
      <c r="F120" t="s">
        <v>454</v>
      </c>
      <c r="G120" t="str">
        <f t="shared" si="2"/>
        <v>ENVIRONMENT</v>
      </c>
      <c r="H120" t="s">
        <v>34</v>
      </c>
      <c r="I120" t="s">
        <v>146</v>
      </c>
      <c r="J120" t="str">
        <f t="shared" si="3"/>
        <v>SHIFT C</v>
      </c>
    </row>
    <row r="121" spans="1:10">
      <c r="A121">
        <v>183</v>
      </c>
      <c r="B121" t="s">
        <v>918</v>
      </c>
      <c r="C121" t="s">
        <v>919</v>
      </c>
      <c r="D121" t="s">
        <v>755</v>
      </c>
      <c r="E121" t="s">
        <v>417</v>
      </c>
      <c r="F121" t="s">
        <v>695</v>
      </c>
      <c r="G121" t="str">
        <f t="shared" si="2"/>
        <v>WAREHOUSE</v>
      </c>
      <c r="H121" t="s">
        <v>34</v>
      </c>
      <c r="I121" t="s">
        <v>53</v>
      </c>
      <c r="J121" t="str">
        <f t="shared" si="3"/>
        <v>SHIFT A</v>
      </c>
    </row>
    <row r="122" spans="1:10">
      <c r="A122">
        <v>186</v>
      </c>
      <c r="B122" t="s">
        <v>932</v>
      </c>
      <c r="C122" t="s">
        <v>933</v>
      </c>
      <c r="D122" t="s">
        <v>733</v>
      </c>
      <c r="E122" t="s">
        <v>446</v>
      </c>
      <c r="F122" t="s">
        <v>516</v>
      </c>
      <c r="G122" t="str">
        <f t="shared" si="2"/>
        <v>EQUIPMENT</v>
      </c>
      <c r="H122" t="s">
        <v>34</v>
      </c>
      <c r="I122" t="s">
        <v>146</v>
      </c>
      <c r="J122" t="str">
        <f t="shared" si="3"/>
        <v>SHIFT C</v>
      </c>
    </row>
    <row r="123" spans="1:10">
      <c r="A123">
        <v>188</v>
      </c>
      <c r="B123" t="s">
        <v>940</v>
      </c>
      <c r="C123" t="s">
        <v>941</v>
      </c>
      <c r="D123" t="s">
        <v>738</v>
      </c>
      <c r="E123" t="s">
        <v>744</v>
      </c>
      <c r="F123" t="s">
        <v>38</v>
      </c>
      <c r="G123" t="str">
        <f t="shared" si="2"/>
        <v>HS</v>
      </c>
      <c r="H123" t="s">
        <v>106</v>
      </c>
      <c r="I123" t="s">
        <v>146</v>
      </c>
      <c r="J123" t="str">
        <f t="shared" si="3"/>
        <v>SHIFT C</v>
      </c>
    </row>
    <row r="124" spans="1:10">
      <c r="A124">
        <v>191</v>
      </c>
      <c r="B124" t="s">
        <v>955</v>
      </c>
      <c r="C124" t="s">
        <v>956</v>
      </c>
      <c r="D124" t="s">
        <v>733</v>
      </c>
      <c r="E124" t="s">
        <v>491</v>
      </c>
      <c r="F124" t="s">
        <v>950</v>
      </c>
      <c r="G124" t="str">
        <f t="shared" si="2"/>
        <v>QUALITY</v>
      </c>
      <c r="H124" t="s">
        <v>34</v>
      </c>
      <c r="I124" t="s">
        <v>53</v>
      </c>
      <c r="J124" t="str">
        <f t="shared" si="3"/>
        <v>SHIFT A</v>
      </c>
    </row>
    <row r="125" spans="1:10">
      <c r="A125">
        <v>192</v>
      </c>
      <c r="B125" t="s">
        <v>959</v>
      </c>
      <c r="C125" t="s">
        <v>960</v>
      </c>
      <c r="D125" t="s">
        <v>762</v>
      </c>
      <c r="E125" t="s">
        <v>446</v>
      </c>
      <c r="F125" t="s">
        <v>516</v>
      </c>
      <c r="G125" t="str">
        <f t="shared" si="2"/>
        <v>EQUIPMENT</v>
      </c>
      <c r="H125" t="s">
        <v>34</v>
      </c>
      <c r="I125" t="s">
        <v>146</v>
      </c>
      <c r="J125" t="str">
        <f t="shared" si="3"/>
        <v>SHIFT C</v>
      </c>
    </row>
    <row r="126" spans="1:10">
      <c r="A126">
        <v>193</v>
      </c>
      <c r="B126" t="s">
        <v>963</v>
      </c>
      <c r="C126" t="s">
        <v>964</v>
      </c>
      <c r="D126" t="s">
        <v>738</v>
      </c>
      <c r="E126" t="s">
        <v>446</v>
      </c>
      <c r="F126" t="s">
        <v>516</v>
      </c>
      <c r="G126" t="str">
        <f t="shared" si="2"/>
        <v>EQUIPMENT</v>
      </c>
      <c r="H126" t="s">
        <v>34</v>
      </c>
      <c r="I126" t="s">
        <v>53</v>
      </c>
      <c r="J126" t="str">
        <f t="shared" si="3"/>
        <v>SHIFT A</v>
      </c>
    </row>
    <row r="127" spans="1:10">
      <c r="A127">
        <v>195</v>
      </c>
      <c r="B127" t="s">
        <v>972</v>
      </c>
      <c r="C127" t="s">
        <v>973</v>
      </c>
      <c r="D127" t="s">
        <v>762</v>
      </c>
      <c r="E127" t="s">
        <v>453</v>
      </c>
      <c r="F127" t="s">
        <v>454</v>
      </c>
      <c r="G127" t="str">
        <f t="shared" si="2"/>
        <v>ENVIRONMENT</v>
      </c>
      <c r="H127" t="s">
        <v>34</v>
      </c>
      <c r="I127" t="s">
        <v>89</v>
      </c>
      <c r="J127" t="str">
        <f t="shared" si="3"/>
        <v>SHIFT B</v>
      </c>
    </row>
    <row r="128" spans="1:10">
      <c r="A128">
        <v>196</v>
      </c>
      <c r="B128" t="s">
        <v>976</v>
      </c>
      <c r="C128" t="s">
        <v>977</v>
      </c>
      <c r="D128" t="s">
        <v>733</v>
      </c>
      <c r="E128" t="s">
        <v>491</v>
      </c>
      <c r="F128" t="s">
        <v>978</v>
      </c>
      <c r="G128" t="str">
        <f t="shared" si="2"/>
        <v>QUALITY</v>
      </c>
      <c r="H128" t="s">
        <v>106</v>
      </c>
      <c r="I128" t="s">
        <v>146</v>
      </c>
      <c r="J128" t="str">
        <f t="shared" si="3"/>
        <v>SHIFT C</v>
      </c>
    </row>
    <row r="129" spans="1:10">
      <c r="A129">
        <v>198</v>
      </c>
      <c r="B129" t="s">
        <v>986</v>
      </c>
      <c r="C129" t="s">
        <v>987</v>
      </c>
      <c r="D129" t="s">
        <v>738</v>
      </c>
      <c r="E129" t="s">
        <v>453</v>
      </c>
      <c r="F129" t="s">
        <v>454</v>
      </c>
      <c r="G129" t="str">
        <f t="shared" si="2"/>
        <v>ENVIRONMENT</v>
      </c>
      <c r="H129" t="s">
        <v>34</v>
      </c>
      <c r="I129" t="s">
        <v>53</v>
      </c>
      <c r="J129" t="str">
        <f t="shared" si="3"/>
        <v>SHIFT A</v>
      </c>
    </row>
    <row r="130" spans="1:10">
      <c r="A130">
        <v>199</v>
      </c>
      <c r="B130" t="s">
        <v>990</v>
      </c>
      <c r="C130" t="s">
        <v>991</v>
      </c>
      <c r="D130" t="s">
        <v>762</v>
      </c>
      <c r="E130" t="s">
        <v>446</v>
      </c>
      <c r="F130" t="s">
        <v>516</v>
      </c>
      <c r="G130" t="str">
        <f t="shared" si="2"/>
        <v>EQUIPMENT</v>
      </c>
      <c r="H130" t="s">
        <v>34</v>
      </c>
      <c r="I130" t="s">
        <v>53</v>
      </c>
      <c r="J130" t="str">
        <f t="shared" si="3"/>
        <v>SHIFT A</v>
      </c>
    </row>
    <row r="131" spans="1:10">
      <c r="A131">
        <v>200</v>
      </c>
      <c r="B131" t="s">
        <v>994</v>
      </c>
      <c r="C131" t="s">
        <v>995</v>
      </c>
      <c r="D131" t="s">
        <v>738</v>
      </c>
      <c r="E131" t="s">
        <v>706</v>
      </c>
      <c r="F131" t="s">
        <v>996</v>
      </c>
      <c r="G131" t="str">
        <f t="shared" si="2"/>
        <v>FACILITY</v>
      </c>
      <c r="H131" t="s">
        <v>34</v>
      </c>
      <c r="I131" t="s">
        <v>53</v>
      </c>
      <c r="J131" t="str">
        <f t="shared" si="3"/>
        <v>SHIFT A</v>
      </c>
    </row>
    <row r="132" spans="1:10">
      <c r="A132">
        <v>202</v>
      </c>
      <c r="B132" t="s">
        <v>1004</v>
      </c>
      <c r="C132" t="s">
        <v>1005</v>
      </c>
      <c r="D132" t="s">
        <v>738</v>
      </c>
      <c r="E132" t="s">
        <v>706</v>
      </c>
      <c r="F132" t="s">
        <v>996</v>
      </c>
      <c r="G132" t="str">
        <f t="shared" ref="G132:G195" si="4">IF(OR(ISNUMBER(SEARCH("P1",F132)),ISNUMBER(SEARCH("P2",F132)),ISNUMBER(SEARCH("P3",F132)),ISNUMBER(SEARCH("P4",F132)),ISNUMBER(SEARCH("P5",F132))),"EQUIPMENT",
IF(ISNUMBER(SEARCH("Warehouse",F132)),"WAREHOUSE",
IF(ISNUMBER(SEARCH("WWTP",F132)),"ENVIRONMENT",
IF(OR(ISNUMBER(SEARCH("QC",F132)),ISNUMBER(SEARCH("RELIABILITY",F132)),ISNUMBER(SEARCH("OQA",F132)),ISNUMBER(SEARCH("CHEMICAL",F132))),"QUALITY",
IF(OR(ISNUMBER(SEARCH("OPERATION",F132)),ISNUMBER(SEARCH("PSM",F132))),"HS",
IF(ISNUMBER(SEARCH("FVI",F132)),"FVI",
IF(OR(ISNUMBER(SEARCH("ELECTRICITY",F132)),ISNUMBER(SEARCH("FACILITIES",F132)),ISNUMBER(SEARCH("MECHANICAL",F132))),"FACILITY",F132)))))))</f>
        <v>FACILITY</v>
      </c>
      <c r="H132" t="s">
        <v>34</v>
      </c>
      <c r="I132" t="s">
        <v>53</v>
      </c>
      <c r="J132" t="str">
        <f t="shared" ref="J132:J195" si="5">IF(ISNUMBER(SEARCH("GROUP C",I132)),"SHIFT C",
IF(ISNUMBER(SEARCH("GROUP A",I132)),"SHIFT A",
IF(ISNUMBER(SEARCH("GROUP O",I132)),"SHIFT O",
IF(ISNUMBER(SEARCH("GROUP B",I132)),"SHIFT B",
IF(ISNUMBER(SEARCH("GROUP E",I132)),"SHIFT E","")))))</f>
        <v>SHIFT A</v>
      </c>
    </row>
    <row r="133" spans="1:10">
      <c r="A133">
        <v>203</v>
      </c>
      <c r="B133" t="s">
        <v>1008</v>
      </c>
      <c r="C133" t="s">
        <v>1009</v>
      </c>
      <c r="D133" t="s">
        <v>738</v>
      </c>
      <c r="E133" t="s">
        <v>446</v>
      </c>
      <c r="F133" t="s">
        <v>860</v>
      </c>
      <c r="G133" t="str">
        <f t="shared" si="4"/>
        <v>EQUIPMENT</v>
      </c>
      <c r="H133" t="s">
        <v>34</v>
      </c>
      <c r="I133" t="s">
        <v>146</v>
      </c>
      <c r="J133" t="str">
        <f t="shared" si="5"/>
        <v>SHIFT C</v>
      </c>
    </row>
    <row r="134" spans="1:10">
      <c r="A134">
        <v>205</v>
      </c>
      <c r="B134" t="s">
        <v>1016</v>
      </c>
      <c r="C134" t="s">
        <v>1017</v>
      </c>
      <c r="D134" t="s">
        <v>738</v>
      </c>
      <c r="E134" t="s">
        <v>446</v>
      </c>
      <c r="F134" t="s">
        <v>615</v>
      </c>
      <c r="G134" t="str">
        <f t="shared" si="4"/>
        <v>EQUIPMENT</v>
      </c>
      <c r="H134" t="s">
        <v>34</v>
      </c>
      <c r="I134" t="s">
        <v>53</v>
      </c>
      <c r="J134" t="str">
        <f t="shared" si="5"/>
        <v>SHIFT A</v>
      </c>
    </row>
    <row r="135" spans="1:10">
      <c r="A135">
        <v>208</v>
      </c>
      <c r="B135" t="s">
        <v>1029</v>
      </c>
      <c r="C135" t="s">
        <v>1030</v>
      </c>
      <c r="D135" t="s">
        <v>28</v>
      </c>
      <c r="E135" t="s">
        <v>29</v>
      </c>
      <c r="F135" t="s">
        <v>56</v>
      </c>
      <c r="G135" t="str">
        <f t="shared" si="4"/>
        <v>AOI</v>
      </c>
      <c r="H135" t="s">
        <v>106</v>
      </c>
      <c r="I135" t="s">
        <v>146</v>
      </c>
      <c r="J135" t="str">
        <f t="shared" si="5"/>
        <v>SHIFT C</v>
      </c>
    </row>
    <row r="136" spans="1:10">
      <c r="A136">
        <v>209</v>
      </c>
      <c r="B136" t="s">
        <v>1035</v>
      </c>
      <c r="C136" t="s">
        <v>1036</v>
      </c>
      <c r="D136" t="s">
        <v>765</v>
      </c>
      <c r="E136" t="s">
        <v>491</v>
      </c>
      <c r="F136" t="s">
        <v>950</v>
      </c>
      <c r="G136" t="str">
        <f t="shared" si="4"/>
        <v>QUALITY</v>
      </c>
      <c r="H136" t="s">
        <v>34</v>
      </c>
      <c r="I136" t="s">
        <v>89</v>
      </c>
      <c r="J136" t="str">
        <f t="shared" si="5"/>
        <v>SHIFT B</v>
      </c>
    </row>
    <row r="137" spans="1:10">
      <c r="A137">
        <v>210</v>
      </c>
      <c r="B137" t="s">
        <v>1039</v>
      </c>
      <c r="C137" t="s">
        <v>1040</v>
      </c>
      <c r="D137" t="s">
        <v>1041</v>
      </c>
      <c r="E137" t="s">
        <v>491</v>
      </c>
      <c r="F137" t="s">
        <v>1042</v>
      </c>
      <c r="G137" t="str">
        <f t="shared" si="4"/>
        <v>QUALITY</v>
      </c>
      <c r="H137" t="s">
        <v>34</v>
      </c>
      <c r="I137" t="s">
        <v>89</v>
      </c>
      <c r="J137" t="str">
        <f t="shared" si="5"/>
        <v>SHIFT B</v>
      </c>
    </row>
    <row r="138" spans="1:10">
      <c r="A138">
        <v>211</v>
      </c>
      <c r="B138" t="s">
        <v>1045</v>
      </c>
      <c r="C138" t="s">
        <v>1046</v>
      </c>
      <c r="D138" t="s">
        <v>28</v>
      </c>
      <c r="E138" t="s">
        <v>491</v>
      </c>
      <c r="F138" t="s">
        <v>1042</v>
      </c>
      <c r="G138" t="str">
        <f t="shared" si="4"/>
        <v>QUALITY</v>
      </c>
      <c r="H138" t="s">
        <v>34</v>
      </c>
      <c r="I138" t="s">
        <v>146</v>
      </c>
      <c r="J138" t="str">
        <f t="shared" si="5"/>
        <v>SHIFT C</v>
      </c>
    </row>
    <row r="139" spans="1:10">
      <c r="A139">
        <v>212</v>
      </c>
      <c r="B139" t="s">
        <v>1049</v>
      </c>
      <c r="C139" t="s">
        <v>1050</v>
      </c>
      <c r="D139" t="s">
        <v>28</v>
      </c>
      <c r="E139" t="s">
        <v>491</v>
      </c>
      <c r="F139" t="s">
        <v>1042</v>
      </c>
      <c r="G139" t="str">
        <f t="shared" si="4"/>
        <v>QUALITY</v>
      </c>
      <c r="H139" t="s">
        <v>34</v>
      </c>
      <c r="I139" t="s">
        <v>89</v>
      </c>
      <c r="J139" t="str">
        <f t="shared" si="5"/>
        <v>SHIFT B</v>
      </c>
    </row>
    <row r="140" spans="1:10">
      <c r="A140">
        <v>213</v>
      </c>
      <c r="B140" t="s">
        <v>1052</v>
      </c>
      <c r="C140" t="s">
        <v>1053</v>
      </c>
      <c r="D140" t="s">
        <v>1054</v>
      </c>
      <c r="E140" t="s">
        <v>29</v>
      </c>
      <c r="F140" t="s">
        <v>72</v>
      </c>
      <c r="G140" t="str">
        <f t="shared" si="4"/>
        <v>BBT</v>
      </c>
      <c r="H140" t="s">
        <v>34</v>
      </c>
      <c r="I140" t="s">
        <v>752</v>
      </c>
      <c r="J140" t="str">
        <f t="shared" si="5"/>
        <v>SHIFT O</v>
      </c>
    </row>
    <row r="141" spans="1:10">
      <c r="A141">
        <v>214</v>
      </c>
      <c r="B141" t="s">
        <v>1056</v>
      </c>
      <c r="C141" t="s">
        <v>1057</v>
      </c>
      <c r="D141" t="s">
        <v>28</v>
      </c>
      <c r="E141" t="s">
        <v>29</v>
      </c>
      <c r="F141" t="s">
        <v>1058</v>
      </c>
      <c r="G141" t="str">
        <f t="shared" si="4"/>
        <v>LASER</v>
      </c>
      <c r="H141" t="s">
        <v>34</v>
      </c>
      <c r="I141" t="s">
        <v>53</v>
      </c>
      <c r="J141" t="str">
        <f t="shared" si="5"/>
        <v>SHIFT A</v>
      </c>
    </row>
    <row r="142" spans="1:10">
      <c r="A142">
        <v>215</v>
      </c>
      <c r="B142" t="s">
        <v>1062</v>
      </c>
      <c r="C142" t="s">
        <v>1063</v>
      </c>
      <c r="D142" t="s">
        <v>1064</v>
      </c>
      <c r="E142" t="s">
        <v>475</v>
      </c>
      <c r="F142" t="s">
        <v>476</v>
      </c>
      <c r="G142" t="str">
        <f t="shared" si="4"/>
        <v>DESIGN</v>
      </c>
      <c r="H142" t="s">
        <v>34</v>
      </c>
      <c r="I142" t="s">
        <v>146</v>
      </c>
      <c r="J142" t="str">
        <f t="shared" si="5"/>
        <v>SHIFT C</v>
      </c>
    </row>
    <row r="143" spans="1:10">
      <c r="A143">
        <v>216</v>
      </c>
      <c r="B143" t="s">
        <v>1067</v>
      </c>
      <c r="C143" t="s">
        <v>1068</v>
      </c>
      <c r="D143" t="s">
        <v>28</v>
      </c>
      <c r="E143" t="s">
        <v>475</v>
      </c>
      <c r="F143" t="s">
        <v>476</v>
      </c>
      <c r="G143" t="str">
        <f t="shared" si="4"/>
        <v>DESIGN</v>
      </c>
      <c r="H143" t="s">
        <v>106</v>
      </c>
      <c r="I143" t="s">
        <v>53</v>
      </c>
      <c r="J143" t="str">
        <f t="shared" si="5"/>
        <v>SHIFT A</v>
      </c>
    </row>
    <row r="144" spans="1:10">
      <c r="A144">
        <v>217</v>
      </c>
      <c r="B144" t="s">
        <v>1071</v>
      </c>
      <c r="C144" t="s">
        <v>1072</v>
      </c>
      <c r="D144" t="s">
        <v>765</v>
      </c>
      <c r="E144" t="s">
        <v>475</v>
      </c>
      <c r="F144" t="s">
        <v>476</v>
      </c>
      <c r="G144" t="str">
        <f t="shared" si="4"/>
        <v>DESIGN</v>
      </c>
      <c r="H144" t="s">
        <v>106</v>
      </c>
      <c r="I144" t="s">
        <v>146</v>
      </c>
      <c r="J144" t="str">
        <f t="shared" si="5"/>
        <v>SHIFT C</v>
      </c>
    </row>
    <row r="145" spans="1:10">
      <c r="A145">
        <v>218</v>
      </c>
      <c r="B145" t="s">
        <v>1075</v>
      </c>
      <c r="C145" t="s">
        <v>1076</v>
      </c>
      <c r="D145" t="s">
        <v>1054</v>
      </c>
      <c r="E145" t="s">
        <v>475</v>
      </c>
      <c r="F145" t="s">
        <v>476</v>
      </c>
      <c r="G145" t="str">
        <f t="shared" si="4"/>
        <v>DESIGN</v>
      </c>
      <c r="H145" t="s">
        <v>106</v>
      </c>
      <c r="I145" t="s">
        <v>53</v>
      </c>
      <c r="J145" t="str">
        <f t="shared" si="5"/>
        <v>SHIFT A</v>
      </c>
    </row>
    <row r="146" spans="1:10">
      <c r="A146">
        <v>219</v>
      </c>
      <c r="B146" t="s">
        <v>1079</v>
      </c>
      <c r="C146" t="s">
        <v>1080</v>
      </c>
      <c r="D146" t="s">
        <v>1081</v>
      </c>
      <c r="E146" t="s">
        <v>475</v>
      </c>
      <c r="F146" t="s">
        <v>476</v>
      </c>
      <c r="G146" t="str">
        <f t="shared" si="4"/>
        <v>DESIGN</v>
      </c>
      <c r="H146" t="s">
        <v>106</v>
      </c>
      <c r="I146" t="s">
        <v>89</v>
      </c>
      <c r="J146" t="str">
        <f t="shared" si="5"/>
        <v>SHIFT B</v>
      </c>
    </row>
    <row r="147" spans="1:10">
      <c r="A147">
        <v>220</v>
      </c>
      <c r="B147" t="s">
        <v>1084</v>
      </c>
      <c r="C147" t="s">
        <v>1085</v>
      </c>
      <c r="D147" t="s">
        <v>28</v>
      </c>
      <c r="E147" t="s">
        <v>475</v>
      </c>
      <c r="F147" t="s">
        <v>476</v>
      </c>
      <c r="G147" t="str">
        <f t="shared" si="4"/>
        <v>DESIGN</v>
      </c>
      <c r="H147" t="s">
        <v>34</v>
      </c>
      <c r="I147" t="s">
        <v>53</v>
      </c>
      <c r="J147" t="str">
        <f t="shared" si="5"/>
        <v>SHIFT A</v>
      </c>
    </row>
    <row r="148" spans="1:10">
      <c r="A148">
        <v>221</v>
      </c>
      <c r="B148" t="s">
        <v>1088</v>
      </c>
      <c r="C148" t="s">
        <v>1089</v>
      </c>
      <c r="D148" t="s">
        <v>1054</v>
      </c>
      <c r="E148" t="s">
        <v>29</v>
      </c>
      <c r="F148" t="s">
        <v>56</v>
      </c>
      <c r="G148" t="str">
        <f t="shared" si="4"/>
        <v>AOI</v>
      </c>
      <c r="H148" t="s">
        <v>34</v>
      </c>
      <c r="I148" t="s">
        <v>53</v>
      </c>
      <c r="J148" t="str">
        <f t="shared" si="5"/>
        <v>SHIFT A</v>
      </c>
    </row>
    <row r="149" spans="1:10">
      <c r="A149">
        <v>222</v>
      </c>
      <c r="B149" t="s">
        <v>1092</v>
      </c>
      <c r="C149" t="s">
        <v>1093</v>
      </c>
      <c r="D149" t="s">
        <v>28</v>
      </c>
      <c r="E149" t="s">
        <v>29</v>
      </c>
      <c r="F149" t="s">
        <v>43</v>
      </c>
      <c r="G149" t="str">
        <f t="shared" si="4"/>
        <v>AU</v>
      </c>
      <c r="H149" t="s">
        <v>34</v>
      </c>
      <c r="I149" t="s">
        <v>53</v>
      </c>
      <c r="J149" t="str">
        <f t="shared" si="5"/>
        <v>SHIFT A</v>
      </c>
    </row>
    <row r="150" spans="1:10">
      <c r="A150">
        <v>223</v>
      </c>
      <c r="B150" t="s">
        <v>1097</v>
      </c>
      <c r="C150" t="s">
        <v>1098</v>
      </c>
      <c r="D150" t="s">
        <v>28</v>
      </c>
      <c r="E150" t="s">
        <v>29</v>
      </c>
      <c r="F150" t="s">
        <v>72</v>
      </c>
      <c r="G150" t="str">
        <f t="shared" si="4"/>
        <v>BBT</v>
      </c>
      <c r="H150" t="s">
        <v>34</v>
      </c>
      <c r="I150" t="s">
        <v>89</v>
      </c>
      <c r="J150" t="str">
        <f t="shared" si="5"/>
        <v>SHIFT B</v>
      </c>
    </row>
    <row r="151" spans="1:10">
      <c r="A151">
        <v>225</v>
      </c>
      <c r="B151" t="s">
        <v>1106</v>
      </c>
      <c r="C151" t="s">
        <v>1107</v>
      </c>
      <c r="D151" t="s">
        <v>28</v>
      </c>
      <c r="E151" t="s">
        <v>29</v>
      </c>
      <c r="F151" t="s">
        <v>43</v>
      </c>
      <c r="G151" t="str">
        <f t="shared" si="4"/>
        <v>AU</v>
      </c>
      <c r="H151" t="s">
        <v>106</v>
      </c>
      <c r="I151" t="s">
        <v>53</v>
      </c>
      <c r="J151" t="str">
        <f t="shared" si="5"/>
        <v>SHIFT A</v>
      </c>
    </row>
    <row r="152" spans="1:10">
      <c r="A152">
        <v>226</v>
      </c>
      <c r="B152" t="s">
        <v>1110</v>
      </c>
      <c r="C152" t="s">
        <v>1111</v>
      </c>
      <c r="D152" t="s">
        <v>1054</v>
      </c>
      <c r="E152" t="s">
        <v>29</v>
      </c>
      <c r="F152" t="s">
        <v>1058</v>
      </c>
      <c r="G152" t="str">
        <f t="shared" si="4"/>
        <v>LASER</v>
      </c>
      <c r="H152" t="s">
        <v>34</v>
      </c>
      <c r="I152" t="s">
        <v>89</v>
      </c>
      <c r="J152" t="str">
        <f t="shared" si="5"/>
        <v>SHIFT B</v>
      </c>
    </row>
    <row r="153" spans="1:10">
      <c r="A153">
        <v>227</v>
      </c>
      <c r="B153" t="s">
        <v>1114</v>
      </c>
      <c r="C153" t="s">
        <v>1115</v>
      </c>
      <c r="D153" t="s">
        <v>1054</v>
      </c>
      <c r="E153" t="s">
        <v>29</v>
      </c>
      <c r="F153" t="s">
        <v>123</v>
      </c>
      <c r="G153" t="str">
        <f t="shared" si="4"/>
        <v>PACKING</v>
      </c>
      <c r="H153" t="s">
        <v>106</v>
      </c>
      <c r="I153" t="s">
        <v>89</v>
      </c>
      <c r="J153" t="str">
        <f t="shared" si="5"/>
        <v>SHIFT B</v>
      </c>
    </row>
    <row r="154" spans="1:10">
      <c r="A154">
        <v>228</v>
      </c>
      <c r="B154" t="s">
        <v>1117</v>
      </c>
      <c r="C154" t="s">
        <v>1118</v>
      </c>
      <c r="D154" t="s">
        <v>28</v>
      </c>
      <c r="E154" t="s">
        <v>29</v>
      </c>
      <c r="F154" t="s">
        <v>123</v>
      </c>
      <c r="G154" t="str">
        <f t="shared" si="4"/>
        <v>PACKING</v>
      </c>
      <c r="H154" t="s">
        <v>106</v>
      </c>
      <c r="I154" t="s">
        <v>89</v>
      </c>
      <c r="J154" t="str">
        <f t="shared" si="5"/>
        <v>SHIFT B</v>
      </c>
    </row>
    <row r="155" spans="1:10">
      <c r="A155">
        <v>229</v>
      </c>
      <c r="B155" t="s">
        <v>1121</v>
      </c>
      <c r="C155" t="s">
        <v>1122</v>
      </c>
      <c r="D155" t="s">
        <v>28</v>
      </c>
      <c r="E155" t="s">
        <v>475</v>
      </c>
      <c r="F155" t="s">
        <v>476</v>
      </c>
      <c r="G155" t="str">
        <f t="shared" si="4"/>
        <v>DESIGN</v>
      </c>
      <c r="H155" t="s">
        <v>34</v>
      </c>
      <c r="I155" t="s">
        <v>53</v>
      </c>
      <c r="J155" t="str">
        <f t="shared" si="5"/>
        <v>SHIFT A</v>
      </c>
    </row>
    <row r="156" spans="1:10">
      <c r="A156">
        <v>230</v>
      </c>
      <c r="B156" t="s">
        <v>1125</v>
      </c>
      <c r="C156" t="s">
        <v>144</v>
      </c>
      <c r="D156" t="s">
        <v>1126</v>
      </c>
      <c r="E156" t="s">
        <v>29</v>
      </c>
      <c r="F156" t="s">
        <v>123</v>
      </c>
      <c r="G156" t="str">
        <f t="shared" si="4"/>
        <v>PACKING</v>
      </c>
      <c r="H156" t="s">
        <v>106</v>
      </c>
      <c r="I156" t="s">
        <v>146</v>
      </c>
      <c r="J156" t="str">
        <f t="shared" si="5"/>
        <v>SHIFT C</v>
      </c>
    </row>
    <row r="157" spans="1:10">
      <c r="A157">
        <v>231</v>
      </c>
      <c r="B157" t="s">
        <v>1129</v>
      </c>
      <c r="C157" t="s">
        <v>1130</v>
      </c>
      <c r="D157" t="s">
        <v>28</v>
      </c>
      <c r="E157" t="s">
        <v>29</v>
      </c>
      <c r="F157" t="s">
        <v>48</v>
      </c>
      <c r="G157" t="str">
        <f t="shared" si="4"/>
        <v>ROUTER</v>
      </c>
      <c r="H157" t="s">
        <v>34</v>
      </c>
      <c r="I157" t="s">
        <v>146</v>
      </c>
      <c r="J157" t="str">
        <f t="shared" si="5"/>
        <v>SHIFT C</v>
      </c>
    </row>
    <row r="158" spans="1:10">
      <c r="A158">
        <v>232</v>
      </c>
      <c r="B158" t="s">
        <v>1133</v>
      </c>
      <c r="C158" t="s">
        <v>1134</v>
      </c>
      <c r="D158" t="s">
        <v>499</v>
      </c>
      <c r="E158" t="s">
        <v>29</v>
      </c>
      <c r="F158" t="s">
        <v>43</v>
      </c>
      <c r="G158" t="str">
        <f t="shared" si="4"/>
        <v>AU</v>
      </c>
      <c r="H158" t="s">
        <v>34</v>
      </c>
      <c r="I158" t="s">
        <v>146</v>
      </c>
      <c r="J158" t="str">
        <f t="shared" si="5"/>
        <v>SHIFT C</v>
      </c>
    </row>
    <row r="159" spans="1:10">
      <c r="A159">
        <v>233</v>
      </c>
      <c r="B159" t="s">
        <v>1137</v>
      </c>
      <c r="C159" t="s">
        <v>1138</v>
      </c>
      <c r="D159" t="s">
        <v>765</v>
      </c>
      <c r="E159" t="s">
        <v>491</v>
      </c>
      <c r="F159" t="s">
        <v>830</v>
      </c>
      <c r="G159" t="str">
        <f t="shared" si="4"/>
        <v>QUALITY</v>
      </c>
      <c r="H159" t="s">
        <v>34</v>
      </c>
      <c r="I159" t="s">
        <v>89</v>
      </c>
      <c r="J159" t="str">
        <f t="shared" si="5"/>
        <v>SHIFT B</v>
      </c>
    </row>
    <row r="160" spans="1:10">
      <c r="A160">
        <v>234</v>
      </c>
      <c r="B160" t="s">
        <v>1141</v>
      </c>
      <c r="C160" t="s">
        <v>1142</v>
      </c>
      <c r="D160" t="s">
        <v>1054</v>
      </c>
      <c r="E160" t="s">
        <v>29</v>
      </c>
      <c r="F160" t="s">
        <v>72</v>
      </c>
      <c r="G160" t="str">
        <f t="shared" si="4"/>
        <v>BBT</v>
      </c>
      <c r="H160" t="s">
        <v>34</v>
      </c>
      <c r="I160" t="s">
        <v>53</v>
      </c>
      <c r="J160" t="str">
        <f t="shared" si="5"/>
        <v>SHIFT A</v>
      </c>
    </row>
    <row r="161" spans="1:10">
      <c r="A161">
        <v>235</v>
      </c>
      <c r="B161" t="s">
        <v>1146</v>
      </c>
      <c r="C161" t="s">
        <v>1147</v>
      </c>
      <c r="D161" t="s">
        <v>28</v>
      </c>
      <c r="E161" t="s">
        <v>29</v>
      </c>
      <c r="F161" t="s">
        <v>72</v>
      </c>
      <c r="G161" t="str">
        <f t="shared" si="4"/>
        <v>BBT</v>
      </c>
      <c r="H161" t="s">
        <v>34</v>
      </c>
      <c r="I161" t="s">
        <v>146</v>
      </c>
      <c r="J161" t="str">
        <f t="shared" si="5"/>
        <v>SHIFT C</v>
      </c>
    </row>
    <row r="162" spans="1:10">
      <c r="A162">
        <v>236</v>
      </c>
      <c r="B162" t="s">
        <v>1151</v>
      </c>
      <c r="C162" t="s">
        <v>1152</v>
      </c>
      <c r="D162" t="s">
        <v>28</v>
      </c>
      <c r="E162" t="s">
        <v>29</v>
      </c>
      <c r="F162" t="s">
        <v>30</v>
      </c>
      <c r="G162" t="str">
        <f t="shared" si="4"/>
        <v>DF</v>
      </c>
      <c r="H162" t="s">
        <v>34</v>
      </c>
      <c r="I162" t="s">
        <v>146</v>
      </c>
      <c r="J162" t="str">
        <f t="shared" si="5"/>
        <v>SHIFT C</v>
      </c>
    </row>
    <row r="163" spans="1:10">
      <c r="A163">
        <v>237</v>
      </c>
      <c r="B163" t="s">
        <v>1156</v>
      </c>
      <c r="C163" t="s">
        <v>1157</v>
      </c>
      <c r="D163" t="s">
        <v>28</v>
      </c>
      <c r="E163" t="s">
        <v>29</v>
      </c>
      <c r="F163" t="s">
        <v>72</v>
      </c>
      <c r="G163" t="str">
        <f t="shared" si="4"/>
        <v>BBT</v>
      </c>
      <c r="H163" t="s">
        <v>34</v>
      </c>
      <c r="I163" t="s">
        <v>146</v>
      </c>
      <c r="J163" t="str">
        <f t="shared" si="5"/>
        <v>SHIFT C</v>
      </c>
    </row>
    <row r="164" spans="1:10">
      <c r="A164">
        <v>238</v>
      </c>
      <c r="B164" t="s">
        <v>1160</v>
      </c>
      <c r="C164" t="s">
        <v>1161</v>
      </c>
      <c r="D164" t="s">
        <v>28</v>
      </c>
      <c r="E164" t="s">
        <v>475</v>
      </c>
      <c r="F164" t="s">
        <v>476</v>
      </c>
      <c r="G164" t="str">
        <f t="shared" si="4"/>
        <v>DESIGN</v>
      </c>
      <c r="H164" t="s">
        <v>34</v>
      </c>
      <c r="I164" t="s">
        <v>89</v>
      </c>
      <c r="J164" t="str">
        <f t="shared" si="5"/>
        <v>SHIFT B</v>
      </c>
    </row>
    <row r="165" spans="1:10">
      <c r="A165">
        <v>239</v>
      </c>
      <c r="B165" t="s">
        <v>1164</v>
      </c>
      <c r="C165" t="s">
        <v>1095</v>
      </c>
      <c r="D165" t="s">
        <v>499</v>
      </c>
      <c r="E165" t="s">
        <v>29</v>
      </c>
      <c r="F165" t="s">
        <v>43</v>
      </c>
      <c r="G165" t="str">
        <f t="shared" si="4"/>
        <v>AU</v>
      </c>
      <c r="H165" t="s">
        <v>34</v>
      </c>
      <c r="I165" t="s">
        <v>53</v>
      </c>
      <c r="J165" t="str">
        <f t="shared" si="5"/>
        <v>SHIFT A</v>
      </c>
    </row>
    <row r="166" spans="1:10">
      <c r="A166">
        <v>240</v>
      </c>
      <c r="B166" t="s">
        <v>1167</v>
      </c>
      <c r="C166" t="s">
        <v>1168</v>
      </c>
      <c r="D166" t="s">
        <v>28</v>
      </c>
      <c r="E166" t="s">
        <v>475</v>
      </c>
      <c r="F166" t="s">
        <v>476</v>
      </c>
      <c r="G166" t="str">
        <f t="shared" si="4"/>
        <v>DESIGN</v>
      </c>
      <c r="H166" t="s">
        <v>106</v>
      </c>
      <c r="I166" t="s">
        <v>146</v>
      </c>
      <c r="J166" t="str">
        <f t="shared" si="5"/>
        <v>SHIFT C</v>
      </c>
    </row>
    <row r="167" spans="1:10">
      <c r="A167">
        <v>241</v>
      </c>
      <c r="B167" t="s">
        <v>1171</v>
      </c>
      <c r="C167" t="s">
        <v>1172</v>
      </c>
      <c r="D167" t="s">
        <v>28</v>
      </c>
      <c r="E167" t="s">
        <v>29</v>
      </c>
      <c r="F167" t="s">
        <v>72</v>
      </c>
      <c r="G167" t="str">
        <f t="shared" si="4"/>
        <v>BBT</v>
      </c>
      <c r="H167" t="s">
        <v>106</v>
      </c>
      <c r="I167" t="s">
        <v>146</v>
      </c>
      <c r="J167" t="str">
        <f t="shared" si="5"/>
        <v>SHIFT C</v>
      </c>
    </row>
    <row r="168" spans="1:10">
      <c r="A168">
        <v>242</v>
      </c>
      <c r="B168" t="s">
        <v>1175</v>
      </c>
      <c r="C168" t="s">
        <v>1176</v>
      </c>
      <c r="D168" t="s">
        <v>499</v>
      </c>
      <c r="E168" t="s">
        <v>475</v>
      </c>
      <c r="F168" t="s">
        <v>476</v>
      </c>
      <c r="G168" t="str">
        <f t="shared" si="4"/>
        <v>DESIGN</v>
      </c>
      <c r="H168" t="s">
        <v>34</v>
      </c>
      <c r="I168" t="s">
        <v>146</v>
      </c>
      <c r="J168" t="str">
        <f t="shared" si="5"/>
        <v>SHIFT C</v>
      </c>
    </row>
    <row r="169" spans="1:10">
      <c r="A169">
        <v>243</v>
      </c>
      <c r="B169" t="s">
        <v>1179</v>
      </c>
      <c r="C169" t="s">
        <v>1180</v>
      </c>
      <c r="D169" t="s">
        <v>28</v>
      </c>
      <c r="E169" t="s">
        <v>29</v>
      </c>
      <c r="F169" t="s">
        <v>56</v>
      </c>
      <c r="G169" t="str">
        <f t="shared" si="4"/>
        <v>AOI</v>
      </c>
      <c r="H169" t="s">
        <v>34</v>
      </c>
      <c r="I169" t="s">
        <v>53</v>
      </c>
      <c r="J169" t="str">
        <f t="shared" si="5"/>
        <v>SHIFT A</v>
      </c>
    </row>
    <row r="170" spans="1:10">
      <c r="A170">
        <v>244</v>
      </c>
      <c r="B170" t="s">
        <v>1183</v>
      </c>
      <c r="C170" t="s">
        <v>1184</v>
      </c>
      <c r="D170" t="s">
        <v>28</v>
      </c>
      <c r="E170" t="s">
        <v>29</v>
      </c>
      <c r="F170" t="s">
        <v>72</v>
      </c>
      <c r="G170" t="str">
        <f t="shared" si="4"/>
        <v>BBT</v>
      </c>
      <c r="H170" t="s">
        <v>34</v>
      </c>
      <c r="I170" t="s">
        <v>146</v>
      </c>
      <c r="J170" t="str">
        <f t="shared" si="5"/>
        <v>SHIFT C</v>
      </c>
    </row>
    <row r="171" spans="1:10">
      <c r="A171">
        <v>245</v>
      </c>
      <c r="B171" t="s">
        <v>1187</v>
      </c>
      <c r="C171" t="s">
        <v>1188</v>
      </c>
      <c r="D171" t="s">
        <v>28</v>
      </c>
      <c r="E171" t="s">
        <v>29</v>
      </c>
      <c r="F171" t="s">
        <v>56</v>
      </c>
      <c r="G171" t="str">
        <f t="shared" si="4"/>
        <v>AOI</v>
      </c>
      <c r="H171" t="s">
        <v>34</v>
      </c>
      <c r="I171" t="s">
        <v>146</v>
      </c>
      <c r="J171" t="str">
        <f t="shared" si="5"/>
        <v>SHIFT C</v>
      </c>
    </row>
    <row r="172" spans="1:10">
      <c r="A172">
        <v>246</v>
      </c>
      <c r="B172" t="s">
        <v>1191</v>
      </c>
      <c r="C172" t="s">
        <v>1192</v>
      </c>
      <c r="D172" t="s">
        <v>28</v>
      </c>
      <c r="E172" t="s">
        <v>29</v>
      </c>
      <c r="F172" t="s">
        <v>43</v>
      </c>
      <c r="G172" t="str">
        <f t="shared" si="4"/>
        <v>AU</v>
      </c>
      <c r="H172" t="s">
        <v>34</v>
      </c>
      <c r="I172" t="s">
        <v>40</v>
      </c>
      <c r="J172" t="str">
        <f t="shared" si="5"/>
        <v>SHIFT E</v>
      </c>
    </row>
    <row r="173" spans="1:10">
      <c r="A173">
        <v>247</v>
      </c>
      <c r="B173" t="s">
        <v>1195</v>
      </c>
      <c r="C173" t="s">
        <v>1196</v>
      </c>
      <c r="D173" t="s">
        <v>28</v>
      </c>
      <c r="E173" t="s">
        <v>29</v>
      </c>
      <c r="F173" t="s">
        <v>123</v>
      </c>
      <c r="G173" t="str">
        <f t="shared" si="4"/>
        <v>PACKING</v>
      </c>
      <c r="H173" t="s">
        <v>106</v>
      </c>
      <c r="I173" t="s">
        <v>53</v>
      </c>
      <c r="J173" t="str">
        <f t="shared" si="5"/>
        <v>SHIFT A</v>
      </c>
    </row>
    <row r="174" spans="1:10">
      <c r="A174">
        <v>248</v>
      </c>
      <c r="B174" t="s">
        <v>1201</v>
      </c>
      <c r="C174" t="s">
        <v>1202</v>
      </c>
      <c r="D174" t="s">
        <v>28</v>
      </c>
      <c r="E174" t="s">
        <v>29</v>
      </c>
      <c r="F174" t="s">
        <v>1058</v>
      </c>
      <c r="G174" t="str">
        <f t="shared" si="4"/>
        <v>LASER</v>
      </c>
      <c r="H174" t="s">
        <v>34</v>
      </c>
      <c r="I174" t="s">
        <v>146</v>
      </c>
      <c r="J174" t="str">
        <f t="shared" si="5"/>
        <v>SHIFT C</v>
      </c>
    </row>
    <row r="175" spans="1:10">
      <c r="A175">
        <v>249</v>
      </c>
      <c r="B175" t="s">
        <v>1205</v>
      </c>
      <c r="C175" t="s">
        <v>1206</v>
      </c>
      <c r="D175" t="s">
        <v>28</v>
      </c>
      <c r="E175" t="s">
        <v>491</v>
      </c>
      <c r="F175" t="s">
        <v>830</v>
      </c>
      <c r="G175" t="str">
        <f t="shared" si="4"/>
        <v>QUALITY</v>
      </c>
      <c r="H175" t="s">
        <v>34</v>
      </c>
      <c r="I175" t="s">
        <v>89</v>
      </c>
      <c r="J175" t="str">
        <f t="shared" si="5"/>
        <v>SHIFT B</v>
      </c>
    </row>
    <row r="176" spans="1:10">
      <c r="A176">
        <v>250</v>
      </c>
      <c r="B176" t="s">
        <v>1209</v>
      </c>
      <c r="C176" t="s">
        <v>1210</v>
      </c>
      <c r="D176" t="s">
        <v>1211</v>
      </c>
      <c r="E176" t="s">
        <v>475</v>
      </c>
      <c r="F176" t="s">
        <v>559</v>
      </c>
      <c r="G176" t="str">
        <f t="shared" si="4"/>
        <v>FVI</v>
      </c>
      <c r="H176" t="s">
        <v>106</v>
      </c>
      <c r="I176" t="s">
        <v>752</v>
      </c>
      <c r="J176" t="str">
        <f t="shared" si="5"/>
        <v>SHIFT O</v>
      </c>
    </row>
    <row r="177" spans="1:10">
      <c r="A177">
        <v>252</v>
      </c>
      <c r="B177" t="s">
        <v>1220</v>
      </c>
      <c r="C177" t="s">
        <v>1221</v>
      </c>
      <c r="D177" t="s">
        <v>499</v>
      </c>
      <c r="E177" t="s">
        <v>29</v>
      </c>
      <c r="F177" t="s">
        <v>1216</v>
      </c>
      <c r="G177" t="str">
        <f t="shared" si="4"/>
        <v>FVI</v>
      </c>
      <c r="H177" t="s">
        <v>106</v>
      </c>
      <c r="I177" t="s">
        <v>53</v>
      </c>
      <c r="J177" t="str">
        <f t="shared" si="5"/>
        <v>SHIFT A</v>
      </c>
    </row>
    <row r="178" spans="1:10">
      <c r="A178">
        <v>253</v>
      </c>
      <c r="B178" t="s">
        <v>1224</v>
      </c>
      <c r="C178" t="s">
        <v>1225</v>
      </c>
      <c r="D178" t="s">
        <v>28</v>
      </c>
      <c r="E178" t="s">
        <v>29</v>
      </c>
      <c r="F178" t="s">
        <v>79</v>
      </c>
      <c r="G178" t="str">
        <f t="shared" si="4"/>
        <v>SM</v>
      </c>
      <c r="H178" t="s">
        <v>34</v>
      </c>
      <c r="I178" t="s">
        <v>53</v>
      </c>
      <c r="J178" t="str">
        <f t="shared" si="5"/>
        <v>SHIFT A</v>
      </c>
    </row>
    <row r="179" spans="1:10">
      <c r="A179">
        <v>254</v>
      </c>
      <c r="B179" t="s">
        <v>1228</v>
      </c>
      <c r="C179" t="s">
        <v>1229</v>
      </c>
      <c r="D179" t="s">
        <v>28</v>
      </c>
      <c r="E179" t="s">
        <v>29</v>
      </c>
      <c r="F179" t="s">
        <v>1216</v>
      </c>
      <c r="G179" t="str">
        <f t="shared" si="4"/>
        <v>FVI</v>
      </c>
      <c r="H179" t="s">
        <v>34</v>
      </c>
      <c r="I179" t="s">
        <v>89</v>
      </c>
      <c r="J179" t="str">
        <f t="shared" si="5"/>
        <v>SHIFT B</v>
      </c>
    </row>
    <row r="180" spans="1:10">
      <c r="A180">
        <v>255</v>
      </c>
      <c r="B180" t="s">
        <v>1232</v>
      </c>
      <c r="C180" t="s">
        <v>1233</v>
      </c>
      <c r="D180" t="s">
        <v>28</v>
      </c>
      <c r="E180" t="s">
        <v>491</v>
      </c>
      <c r="F180" t="s">
        <v>1042</v>
      </c>
      <c r="G180" t="str">
        <f t="shared" si="4"/>
        <v>QUALITY</v>
      </c>
      <c r="H180" t="s">
        <v>34</v>
      </c>
      <c r="I180" t="s">
        <v>146</v>
      </c>
      <c r="J180" t="str">
        <f t="shared" si="5"/>
        <v>SHIFT C</v>
      </c>
    </row>
    <row r="181" spans="1:10">
      <c r="A181">
        <v>256</v>
      </c>
      <c r="B181" t="s">
        <v>1235</v>
      </c>
      <c r="C181" t="s">
        <v>1236</v>
      </c>
      <c r="D181" t="s">
        <v>28</v>
      </c>
      <c r="E181" t="s">
        <v>491</v>
      </c>
      <c r="F181" t="s">
        <v>1042</v>
      </c>
      <c r="G181" t="str">
        <f t="shared" si="4"/>
        <v>QUALITY</v>
      </c>
      <c r="H181" t="s">
        <v>106</v>
      </c>
      <c r="I181" t="s">
        <v>146</v>
      </c>
      <c r="J181" t="str">
        <f t="shared" si="5"/>
        <v>SHIFT C</v>
      </c>
    </row>
    <row r="182" spans="1:10">
      <c r="A182">
        <v>257</v>
      </c>
      <c r="B182" t="s">
        <v>1239</v>
      </c>
      <c r="C182" t="s">
        <v>1240</v>
      </c>
      <c r="D182" t="s">
        <v>762</v>
      </c>
      <c r="E182" t="s">
        <v>446</v>
      </c>
      <c r="F182" t="s">
        <v>615</v>
      </c>
      <c r="G182" t="str">
        <f t="shared" si="4"/>
        <v>EQUIPMENT</v>
      </c>
      <c r="H182" t="s">
        <v>34</v>
      </c>
      <c r="I182" t="s">
        <v>53</v>
      </c>
      <c r="J182" t="str">
        <f t="shared" si="5"/>
        <v>SHIFT A</v>
      </c>
    </row>
    <row r="183" spans="1:10">
      <c r="A183">
        <v>259</v>
      </c>
      <c r="B183" t="s">
        <v>1247</v>
      </c>
      <c r="C183" t="s">
        <v>1248</v>
      </c>
      <c r="D183" t="s">
        <v>499</v>
      </c>
      <c r="E183" t="s">
        <v>491</v>
      </c>
      <c r="F183" t="s">
        <v>830</v>
      </c>
      <c r="G183" t="str">
        <f t="shared" si="4"/>
        <v>QUALITY</v>
      </c>
      <c r="H183" t="s">
        <v>106</v>
      </c>
      <c r="I183" t="s">
        <v>89</v>
      </c>
      <c r="J183" t="str">
        <f t="shared" si="5"/>
        <v>SHIFT B</v>
      </c>
    </row>
    <row r="184" spans="1:10">
      <c r="A184">
        <v>261</v>
      </c>
      <c r="B184" t="s">
        <v>1255</v>
      </c>
      <c r="C184" t="s">
        <v>1256</v>
      </c>
      <c r="D184" t="s">
        <v>762</v>
      </c>
      <c r="E184" t="s">
        <v>446</v>
      </c>
      <c r="F184" t="s">
        <v>615</v>
      </c>
      <c r="G184" t="str">
        <f t="shared" si="4"/>
        <v>EQUIPMENT</v>
      </c>
      <c r="H184" t="s">
        <v>34</v>
      </c>
      <c r="I184" t="s">
        <v>89</v>
      </c>
      <c r="J184" t="str">
        <f t="shared" si="5"/>
        <v>SHIFT B</v>
      </c>
    </row>
    <row r="185" spans="1:10">
      <c r="A185">
        <v>263</v>
      </c>
      <c r="B185" t="s">
        <v>1263</v>
      </c>
      <c r="C185" t="s">
        <v>1100</v>
      </c>
      <c r="D185" t="s">
        <v>1126</v>
      </c>
      <c r="E185" t="s">
        <v>29</v>
      </c>
      <c r="F185" t="s">
        <v>72</v>
      </c>
      <c r="G185" t="str">
        <f t="shared" si="4"/>
        <v>BBT</v>
      </c>
      <c r="H185" t="s">
        <v>106</v>
      </c>
      <c r="I185" t="s">
        <v>89</v>
      </c>
      <c r="J185" t="str">
        <f t="shared" si="5"/>
        <v>SHIFT B</v>
      </c>
    </row>
    <row r="186" spans="1:10">
      <c r="A186">
        <v>266</v>
      </c>
      <c r="B186" t="s">
        <v>1276</v>
      </c>
      <c r="C186" t="s">
        <v>1277</v>
      </c>
      <c r="D186" t="s">
        <v>28</v>
      </c>
      <c r="E186" t="s">
        <v>29</v>
      </c>
      <c r="F186" t="s">
        <v>1216</v>
      </c>
      <c r="G186" t="str">
        <f t="shared" si="4"/>
        <v>FVI</v>
      </c>
      <c r="H186" t="s">
        <v>106</v>
      </c>
      <c r="I186" t="s">
        <v>89</v>
      </c>
      <c r="J186" t="str">
        <f t="shared" si="5"/>
        <v>SHIFT B</v>
      </c>
    </row>
    <row r="187" spans="1:10">
      <c r="A187">
        <v>267</v>
      </c>
      <c r="B187" t="s">
        <v>1280</v>
      </c>
      <c r="C187" t="s">
        <v>1281</v>
      </c>
      <c r="D187" t="s">
        <v>28</v>
      </c>
      <c r="E187" t="s">
        <v>29</v>
      </c>
      <c r="F187" t="s">
        <v>1216</v>
      </c>
      <c r="G187" t="str">
        <f t="shared" si="4"/>
        <v>FVI</v>
      </c>
      <c r="H187" t="s">
        <v>106</v>
      </c>
      <c r="I187" t="s">
        <v>146</v>
      </c>
      <c r="J187" t="str">
        <f t="shared" si="5"/>
        <v>SHIFT C</v>
      </c>
    </row>
    <row r="188" spans="1:10">
      <c r="A188">
        <v>268</v>
      </c>
      <c r="B188" t="s">
        <v>1284</v>
      </c>
      <c r="C188" t="s">
        <v>1285</v>
      </c>
      <c r="D188" t="s">
        <v>28</v>
      </c>
      <c r="E188" t="s">
        <v>29</v>
      </c>
      <c r="F188" t="s">
        <v>1216</v>
      </c>
      <c r="G188" t="str">
        <f t="shared" si="4"/>
        <v>FVI</v>
      </c>
      <c r="H188" t="s">
        <v>34</v>
      </c>
      <c r="I188" t="s">
        <v>146</v>
      </c>
      <c r="J188" t="str">
        <f t="shared" si="5"/>
        <v>SHIFT C</v>
      </c>
    </row>
    <row r="189" spans="1:10">
      <c r="A189">
        <v>269</v>
      </c>
      <c r="B189" t="s">
        <v>1288</v>
      </c>
      <c r="C189" t="s">
        <v>1289</v>
      </c>
      <c r="D189" t="s">
        <v>1054</v>
      </c>
      <c r="E189" t="s">
        <v>29</v>
      </c>
      <c r="F189" t="s">
        <v>43</v>
      </c>
      <c r="G189" t="str">
        <f t="shared" si="4"/>
        <v>AU</v>
      </c>
      <c r="H189" t="s">
        <v>106</v>
      </c>
      <c r="I189" t="s">
        <v>89</v>
      </c>
      <c r="J189" t="str">
        <f t="shared" si="5"/>
        <v>SHIFT B</v>
      </c>
    </row>
    <row r="190" spans="1:10">
      <c r="A190">
        <v>271</v>
      </c>
      <c r="B190" t="s">
        <v>1297</v>
      </c>
      <c r="C190" t="s">
        <v>1298</v>
      </c>
      <c r="D190" t="s">
        <v>28</v>
      </c>
      <c r="E190" t="s">
        <v>29</v>
      </c>
      <c r="F190" t="s">
        <v>537</v>
      </c>
      <c r="G190" t="str">
        <f t="shared" si="4"/>
        <v>MLB</v>
      </c>
      <c r="H190" t="s">
        <v>34</v>
      </c>
      <c r="I190" t="s">
        <v>89</v>
      </c>
      <c r="J190" t="str">
        <f t="shared" si="5"/>
        <v>SHIFT B</v>
      </c>
    </row>
    <row r="191" spans="1:10">
      <c r="A191">
        <v>272</v>
      </c>
      <c r="B191" t="s">
        <v>1301</v>
      </c>
      <c r="C191" t="s">
        <v>1302</v>
      </c>
      <c r="D191" t="s">
        <v>28</v>
      </c>
      <c r="E191" t="s">
        <v>29</v>
      </c>
      <c r="F191" t="s">
        <v>1216</v>
      </c>
      <c r="G191" t="str">
        <f t="shared" si="4"/>
        <v>FVI</v>
      </c>
      <c r="H191" t="s">
        <v>34</v>
      </c>
      <c r="I191" t="s">
        <v>53</v>
      </c>
      <c r="J191" t="str">
        <f t="shared" si="5"/>
        <v>SHIFT A</v>
      </c>
    </row>
    <row r="192" spans="1:10">
      <c r="A192">
        <v>273</v>
      </c>
      <c r="B192" t="s">
        <v>1305</v>
      </c>
      <c r="C192" t="s">
        <v>1306</v>
      </c>
      <c r="D192" t="s">
        <v>28</v>
      </c>
      <c r="E192" t="s">
        <v>29</v>
      </c>
      <c r="F192" t="s">
        <v>537</v>
      </c>
      <c r="G192" t="str">
        <f t="shared" si="4"/>
        <v>MLB</v>
      </c>
      <c r="H192" t="s">
        <v>34</v>
      </c>
      <c r="I192" t="s">
        <v>53</v>
      </c>
      <c r="J192" t="str">
        <f t="shared" si="5"/>
        <v>SHIFT A</v>
      </c>
    </row>
    <row r="193" spans="1:10">
      <c r="A193">
        <v>274</v>
      </c>
      <c r="B193" t="s">
        <v>1309</v>
      </c>
      <c r="C193" t="s">
        <v>1310</v>
      </c>
      <c r="D193" t="s">
        <v>28</v>
      </c>
      <c r="E193" t="s">
        <v>29</v>
      </c>
      <c r="F193" t="s">
        <v>123</v>
      </c>
      <c r="G193" t="str">
        <f t="shared" si="4"/>
        <v>PACKING</v>
      </c>
      <c r="H193" t="s">
        <v>34</v>
      </c>
      <c r="I193" t="s">
        <v>53</v>
      </c>
      <c r="J193" t="str">
        <f t="shared" si="5"/>
        <v>SHIFT A</v>
      </c>
    </row>
    <row r="194" spans="1:10">
      <c r="A194">
        <v>275</v>
      </c>
      <c r="B194" t="s">
        <v>1313</v>
      </c>
      <c r="C194" t="s">
        <v>1314</v>
      </c>
      <c r="D194" t="s">
        <v>28</v>
      </c>
      <c r="E194" t="s">
        <v>29</v>
      </c>
      <c r="F194" t="s">
        <v>1216</v>
      </c>
      <c r="G194" t="str">
        <f t="shared" si="4"/>
        <v>FVI</v>
      </c>
      <c r="H194" t="s">
        <v>106</v>
      </c>
      <c r="I194" t="s">
        <v>89</v>
      </c>
      <c r="J194" t="str">
        <f t="shared" si="5"/>
        <v>SHIFT B</v>
      </c>
    </row>
    <row r="195" spans="1:10">
      <c r="A195">
        <v>276</v>
      </c>
      <c r="B195" t="s">
        <v>1317</v>
      </c>
      <c r="C195" t="s">
        <v>1318</v>
      </c>
      <c r="D195" t="s">
        <v>28</v>
      </c>
      <c r="E195" t="s">
        <v>29</v>
      </c>
      <c r="F195" t="s">
        <v>48</v>
      </c>
      <c r="G195" t="str">
        <f t="shared" si="4"/>
        <v>ROUTER</v>
      </c>
      <c r="H195" t="s">
        <v>34</v>
      </c>
      <c r="I195" t="s">
        <v>53</v>
      </c>
      <c r="J195" t="str">
        <f t="shared" si="5"/>
        <v>SHIFT A</v>
      </c>
    </row>
    <row r="196" spans="1:10">
      <c r="A196">
        <v>277</v>
      </c>
      <c r="B196" t="s">
        <v>1321</v>
      </c>
      <c r="C196" t="s">
        <v>1322</v>
      </c>
      <c r="D196" t="s">
        <v>28</v>
      </c>
      <c r="E196" t="s">
        <v>29</v>
      </c>
      <c r="F196" t="s">
        <v>1216</v>
      </c>
      <c r="G196" t="str">
        <f t="shared" ref="G196:G259" si="6">IF(OR(ISNUMBER(SEARCH("P1",F196)),ISNUMBER(SEARCH("P2",F196)),ISNUMBER(SEARCH("P3",F196)),ISNUMBER(SEARCH("P4",F196)),ISNUMBER(SEARCH("P5",F196))),"EQUIPMENT",
IF(ISNUMBER(SEARCH("Warehouse",F196)),"WAREHOUSE",
IF(ISNUMBER(SEARCH("WWTP",F196)),"ENVIRONMENT",
IF(OR(ISNUMBER(SEARCH("QC",F196)),ISNUMBER(SEARCH("RELIABILITY",F196)),ISNUMBER(SEARCH("OQA",F196)),ISNUMBER(SEARCH("CHEMICAL",F196))),"QUALITY",
IF(OR(ISNUMBER(SEARCH("OPERATION",F196)),ISNUMBER(SEARCH("PSM",F196))),"HS",
IF(ISNUMBER(SEARCH("FVI",F196)),"FVI",
IF(OR(ISNUMBER(SEARCH("ELECTRICITY",F196)),ISNUMBER(SEARCH("FACILITIES",F196)),ISNUMBER(SEARCH("MECHANICAL",F196))),"FACILITY",F196)))))))</f>
        <v>FVI</v>
      </c>
      <c r="H196" t="s">
        <v>106</v>
      </c>
      <c r="I196" t="s">
        <v>53</v>
      </c>
      <c r="J196" t="str">
        <f t="shared" ref="J196:J259" si="7">IF(ISNUMBER(SEARCH("GROUP C",I196)),"SHIFT C",
IF(ISNUMBER(SEARCH("GROUP A",I196)),"SHIFT A",
IF(ISNUMBER(SEARCH("GROUP O",I196)),"SHIFT O",
IF(ISNUMBER(SEARCH("GROUP B",I196)),"SHIFT B",
IF(ISNUMBER(SEARCH("GROUP E",I196)),"SHIFT E","")))))</f>
        <v>SHIFT A</v>
      </c>
    </row>
    <row r="197" spans="1:10">
      <c r="A197">
        <v>278</v>
      </c>
      <c r="B197" t="s">
        <v>1325</v>
      </c>
      <c r="C197" t="s">
        <v>1326</v>
      </c>
      <c r="D197" t="s">
        <v>28</v>
      </c>
      <c r="E197" t="s">
        <v>687</v>
      </c>
      <c r="F197" t="s">
        <v>687</v>
      </c>
      <c r="G197" t="str">
        <f t="shared" si="6"/>
        <v>PRODUCTION CONTROL</v>
      </c>
      <c r="H197" t="s">
        <v>106</v>
      </c>
      <c r="I197" t="s">
        <v>53</v>
      </c>
      <c r="J197" t="str">
        <f t="shared" si="7"/>
        <v>SHIFT A</v>
      </c>
    </row>
    <row r="198" spans="1:10">
      <c r="A198">
        <v>279</v>
      </c>
      <c r="B198" t="s">
        <v>1329</v>
      </c>
      <c r="C198" t="s">
        <v>1330</v>
      </c>
      <c r="D198" t="s">
        <v>1211</v>
      </c>
      <c r="E198" t="s">
        <v>475</v>
      </c>
      <c r="F198" t="s">
        <v>559</v>
      </c>
      <c r="G198" t="str">
        <f t="shared" si="6"/>
        <v>FVI</v>
      </c>
      <c r="H198" t="s">
        <v>106</v>
      </c>
      <c r="I198" t="s">
        <v>752</v>
      </c>
      <c r="J198" t="str">
        <f t="shared" si="7"/>
        <v>SHIFT O</v>
      </c>
    </row>
    <row r="199" spans="1:10">
      <c r="A199">
        <v>280</v>
      </c>
      <c r="B199" t="s">
        <v>1333</v>
      </c>
      <c r="C199" t="s">
        <v>1334</v>
      </c>
      <c r="D199" t="s">
        <v>28</v>
      </c>
      <c r="E199" t="s">
        <v>29</v>
      </c>
      <c r="F199" t="s">
        <v>680</v>
      </c>
      <c r="G199" t="str">
        <f t="shared" si="6"/>
        <v>CHAMFER</v>
      </c>
      <c r="H199" t="s">
        <v>106</v>
      </c>
      <c r="I199" t="s">
        <v>146</v>
      </c>
      <c r="J199" t="str">
        <f t="shared" si="7"/>
        <v>SHIFT C</v>
      </c>
    </row>
    <row r="200" spans="1:10">
      <c r="A200">
        <v>281</v>
      </c>
      <c r="B200" t="s">
        <v>1337</v>
      </c>
      <c r="C200" t="s">
        <v>1338</v>
      </c>
      <c r="D200" t="s">
        <v>28</v>
      </c>
      <c r="E200" t="s">
        <v>29</v>
      </c>
      <c r="F200" t="s">
        <v>48</v>
      </c>
      <c r="G200" t="str">
        <f t="shared" si="6"/>
        <v>ROUTER</v>
      </c>
      <c r="H200" t="s">
        <v>34</v>
      </c>
      <c r="I200" t="s">
        <v>89</v>
      </c>
      <c r="J200" t="str">
        <f t="shared" si="7"/>
        <v>SHIFT B</v>
      </c>
    </row>
    <row r="201" spans="1:10">
      <c r="A201">
        <v>282</v>
      </c>
      <c r="B201" t="s">
        <v>1341</v>
      </c>
      <c r="C201" t="s">
        <v>1342</v>
      </c>
      <c r="D201" t="s">
        <v>28</v>
      </c>
      <c r="E201" t="s">
        <v>29</v>
      </c>
      <c r="F201" t="s">
        <v>1216</v>
      </c>
      <c r="G201" t="str">
        <f t="shared" si="6"/>
        <v>FVI</v>
      </c>
      <c r="H201" t="s">
        <v>34</v>
      </c>
      <c r="I201" t="s">
        <v>146</v>
      </c>
      <c r="J201" t="str">
        <f t="shared" si="7"/>
        <v>SHIFT C</v>
      </c>
    </row>
    <row r="202" spans="1:10">
      <c r="A202">
        <v>283</v>
      </c>
      <c r="B202" t="s">
        <v>1345</v>
      </c>
      <c r="C202" t="s">
        <v>1346</v>
      </c>
      <c r="D202" t="s">
        <v>28</v>
      </c>
      <c r="E202" t="s">
        <v>29</v>
      </c>
      <c r="F202" t="s">
        <v>48</v>
      </c>
      <c r="G202" t="str">
        <f t="shared" si="6"/>
        <v>ROUTER</v>
      </c>
      <c r="H202" t="s">
        <v>34</v>
      </c>
      <c r="I202" t="s">
        <v>53</v>
      </c>
      <c r="J202" t="str">
        <f t="shared" si="7"/>
        <v>SHIFT A</v>
      </c>
    </row>
    <row r="203" spans="1:10">
      <c r="A203">
        <v>284</v>
      </c>
      <c r="B203" t="s">
        <v>1349</v>
      </c>
      <c r="C203" t="s">
        <v>1350</v>
      </c>
      <c r="D203" t="s">
        <v>28</v>
      </c>
      <c r="E203" t="s">
        <v>29</v>
      </c>
      <c r="F203" t="s">
        <v>1216</v>
      </c>
      <c r="G203" t="str">
        <f t="shared" si="6"/>
        <v>FVI</v>
      </c>
      <c r="H203" t="s">
        <v>34</v>
      </c>
      <c r="I203" t="s">
        <v>89</v>
      </c>
      <c r="J203" t="str">
        <f t="shared" si="7"/>
        <v>SHIFT B</v>
      </c>
    </row>
    <row r="204" spans="1:10">
      <c r="A204">
        <v>285</v>
      </c>
      <c r="B204" t="s">
        <v>1353</v>
      </c>
      <c r="C204" t="s">
        <v>1354</v>
      </c>
      <c r="D204" t="s">
        <v>28</v>
      </c>
      <c r="E204" t="s">
        <v>29</v>
      </c>
      <c r="F204" t="s">
        <v>1216</v>
      </c>
      <c r="G204" t="str">
        <f t="shared" si="6"/>
        <v>FVI</v>
      </c>
      <c r="H204" t="s">
        <v>34</v>
      </c>
      <c r="I204" t="s">
        <v>89</v>
      </c>
      <c r="J204" t="str">
        <f t="shared" si="7"/>
        <v>SHIFT B</v>
      </c>
    </row>
    <row r="205" spans="1:10">
      <c r="A205">
        <v>286</v>
      </c>
      <c r="B205" t="s">
        <v>1357</v>
      </c>
      <c r="C205" t="s">
        <v>263</v>
      </c>
      <c r="D205" t="s">
        <v>499</v>
      </c>
      <c r="E205" t="s">
        <v>29</v>
      </c>
      <c r="F205" t="s">
        <v>79</v>
      </c>
      <c r="G205" t="str">
        <f t="shared" si="6"/>
        <v>SM</v>
      </c>
      <c r="H205" t="s">
        <v>34</v>
      </c>
      <c r="I205" t="s">
        <v>53</v>
      </c>
      <c r="J205" t="str">
        <f t="shared" si="7"/>
        <v>SHIFT A</v>
      </c>
    </row>
    <row r="206" spans="1:10">
      <c r="A206">
        <v>287</v>
      </c>
      <c r="B206" t="s">
        <v>1360</v>
      </c>
      <c r="C206" t="s">
        <v>1361</v>
      </c>
      <c r="D206" t="s">
        <v>28</v>
      </c>
      <c r="E206" t="s">
        <v>491</v>
      </c>
      <c r="F206" t="s">
        <v>1042</v>
      </c>
      <c r="G206" t="str">
        <f t="shared" si="6"/>
        <v>QUALITY</v>
      </c>
      <c r="H206" t="s">
        <v>106</v>
      </c>
      <c r="I206" t="s">
        <v>53</v>
      </c>
      <c r="J206" t="str">
        <f t="shared" si="7"/>
        <v>SHIFT A</v>
      </c>
    </row>
    <row r="207" spans="1:10">
      <c r="A207">
        <v>288</v>
      </c>
      <c r="B207" t="s">
        <v>1364</v>
      </c>
      <c r="C207" t="s">
        <v>1365</v>
      </c>
      <c r="D207" t="s">
        <v>28</v>
      </c>
      <c r="E207" t="s">
        <v>29</v>
      </c>
      <c r="F207" t="s">
        <v>1216</v>
      </c>
      <c r="G207" t="str">
        <f t="shared" si="6"/>
        <v>FVI</v>
      </c>
      <c r="H207" t="s">
        <v>106</v>
      </c>
      <c r="I207" t="s">
        <v>146</v>
      </c>
      <c r="J207" t="str">
        <f t="shared" si="7"/>
        <v>SHIFT C</v>
      </c>
    </row>
    <row r="208" spans="1:10">
      <c r="A208">
        <v>289</v>
      </c>
      <c r="B208" t="s">
        <v>1368</v>
      </c>
      <c r="C208" t="s">
        <v>1369</v>
      </c>
      <c r="D208" t="s">
        <v>28</v>
      </c>
      <c r="E208" t="s">
        <v>29</v>
      </c>
      <c r="F208" t="s">
        <v>1216</v>
      </c>
      <c r="G208" t="str">
        <f t="shared" si="6"/>
        <v>FVI</v>
      </c>
      <c r="H208" t="s">
        <v>106</v>
      </c>
      <c r="I208" t="s">
        <v>146</v>
      </c>
      <c r="J208" t="str">
        <f t="shared" si="7"/>
        <v>SHIFT C</v>
      </c>
    </row>
    <row r="209" spans="1:10">
      <c r="A209">
        <v>290</v>
      </c>
      <c r="B209" t="s">
        <v>1372</v>
      </c>
      <c r="C209" t="s">
        <v>1373</v>
      </c>
      <c r="D209" t="s">
        <v>28</v>
      </c>
      <c r="E209" t="s">
        <v>29</v>
      </c>
      <c r="F209" t="s">
        <v>48</v>
      </c>
      <c r="G209" t="str">
        <f t="shared" si="6"/>
        <v>ROUTER</v>
      </c>
      <c r="H209" t="s">
        <v>34</v>
      </c>
      <c r="I209" t="s">
        <v>53</v>
      </c>
      <c r="J209" t="str">
        <f t="shared" si="7"/>
        <v>SHIFT A</v>
      </c>
    </row>
    <row r="210" spans="1:10">
      <c r="A210">
        <v>291</v>
      </c>
      <c r="B210" t="s">
        <v>1376</v>
      </c>
      <c r="C210" t="s">
        <v>1377</v>
      </c>
      <c r="D210" t="s">
        <v>28</v>
      </c>
      <c r="E210" t="s">
        <v>29</v>
      </c>
      <c r="F210" t="s">
        <v>48</v>
      </c>
      <c r="G210" t="str">
        <f t="shared" si="6"/>
        <v>ROUTER</v>
      </c>
      <c r="H210" t="s">
        <v>34</v>
      </c>
      <c r="I210" t="s">
        <v>146</v>
      </c>
      <c r="J210" t="str">
        <f t="shared" si="7"/>
        <v>SHIFT C</v>
      </c>
    </row>
    <row r="211" spans="1:10">
      <c r="A211">
        <v>292</v>
      </c>
      <c r="B211" t="s">
        <v>1380</v>
      </c>
      <c r="C211" t="s">
        <v>1381</v>
      </c>
      <c r="D211" t="s">
        <v>28</v>
      </c>
      <c r="E211" t="s">
        <v>29</v>
      </c>
      <c r="F211" t="s">
        <v>1216</v>
      </c>
      <c r="G211" t="str">
        <f t="shared" si="6"/>
        <v>FVI</v>
      </c>
      <c r="H211" t="s">
        <v>34</v>
      </c>
      <c r="I211" t="s">
        <v>53</v>
      </c>
      <c r="J211" t="str">
        <f t="shared" si="7"/>
        <v>SHIFT A</v>
      </c>
    </row>
    <row r="212" spans="1:10">
      <c r="A212">
        <v>293</v>
      </c>
      <c r="B212" t="s">
        <v>1384</v>
      </c>
      <c r="C212" t="s">
        <v>1385</v>
      </c>
      <c r="D212" t="s">
        <v>28</v>
      </c>
      <c r="E212" t="s">
        <v>29</v>
      </c>
      <c r="F212" t="s">
        <v>79</v>
      </c>
      <c r="G212" t="str">
        <f t="shared" si="6"/>
        <v>SM</v>
      </c>
      <c r="H212" t="s">
        <v>34</v>
      </c>
      <c r="I212" t="s">
        <v>89</v>
      </c>
      <c r="J212" t="str">
        <f t="shared" si="7"/>
        <v>SHIFT B</v>
      </c>
    </row>
    <row r="213" spans="1:10">
      <c r="A213">
        <v>294</v>
      </c>
      <c r="B213" t="s">
        <v>1389</v>
      </c>
      <c r="C213" t="s">
        <v>1390</v>
      </c>
      <c r="D213" t="s">
        <v>28</v>
      </c>
      <c r="E213" t="s">
        <v>29</v>
      </c>
      <c r="F213" t="s">
        <v>79</v>
      </c>
      <c r="G213" t="str">
        <f t="shared" si="6"/>
        <v>SM</v>
      </c>
      <c r="H213" t="s">
        <v>34</v>
      </c>
      <c r="I213" t="s">
        <v>40</v>
      </c>
      <c r="J213" t="str">
        <f t="shared" si="7"/>
        <v>SHIFT E</v>
      </c>
    </row>
    <row r="214" spans="1:10">
      <c r="A214">
        <v>295</v>
      </c>
      <c r="B214" t="s">
        <v>1393</v>
      </c>
      <c r="C214" t="s">
        <v>1394</v>
      </c>
      <c r="D214" t="s">
        <v>1054</v>
      </c>
      <c r="E214" t="s">
        <v>29</v>
      </c>
      <c r="F214" t="s">
        <v>1395</v>
      </c>
      <c r="G214" t="str">
        <f t="shared" si="6"/>
        <v>MAKE UP</v>
      </c>
      <c r="H214" t="s">
        <v>34</v>
      </c>
      <c r="I214" t="s">
        <v>752</v>
      </c>
      <c r="J214" t="str">
        <f t="shared" si="7"/>
        <v>SHIFT O</v>
      </c>
    </row>
    <row r="215" spans="1:10">
      <c r="A215">
        <v>296</v>
      </c>
      <c r="B215" t="s">
        <v>1399</v>
      </c>
      <c r="C215" t="s">
        <v>1400</v>
      </c>
      <c r="D215" t="s">
        <v>28</v>
      </c>
      <c r="E215" t="s">
        <v>29</v>
      </c>
      <c r="F215" t="s">
        <v>56</v>
      </c>
      <c r="G215" t="str">
        <f t="shared" si="6"/>
        <v>AOI</v>
      </c>
      <c r="H215" t="s">
        <v>106</v>
      </c>
      <c r="I215" t="s">
        <v>53</v>
      </c>
      <c r="J215" t="str">
        <f t="shared" si="7"/>
        <v>SHIFT A</v>
      </c>
    </row>
    <row r="216" spans="1:10">
      <c r="A216">
        <v>297</v>
      </c>
      <c r="B216" t="s">
        <v>1403</v>
      </c>
      <c r="C216" t="s">
        <v>1404</v>
      </c>
      <c r="D216" t="s">
        <v>28</v>
      </c>
      <c r="E216" t="s">
        <v>29</v>
      </c>
      <c r="F216" t="s">
        <v>72</v>
      </c>
      <c r="G216" t="str">
        <f t="shared" si="6"/>
        <v>BBT</v>
      </c>
      <c r="H216" t="s">
        <v>34</v>
      </c>
      <c r="I216" t="s">
        <v>76</v>
      </c>
      <c r="J216" t="str">
        <f t="shared" si="7"/>
        <v>SHIFT E</v>
      </c>
    </row>
    <row r="217" spans="1:10">
      <c r="A217">
        <v>298</v>
      </c>
      <c r="B217" t="s">
        <v>1407</v>
      </c>
      <c r="C217" t="s">
        <v>1408</v>
      </c>
      <c r="D217" t="s">
        <v>28</v>
      </c>
      <c r="E217" t="s">
        <v>29</v>
      </c>
      <c r="F217" t="s">
        <v>1058</v>
      </c>
      <c r="G217" t="str">
        <f t="shared" si="6"/>
        <v>LASER</v>
      </c>
      <c r="H217" t="s">
        <v>34</v>
      </c>
      <c r="I217" t="s">
        <v>53</v>
      </c>
      <c r="J217" t="str">
        <f t="shared" si="7"/>
        <v>SHIFT A</v>
      </c>
    </row>
    <row r="218" spans="1:10">
      <c r="A218">
        <v>301</v>
      </c>
      <c r="B218" t="s">
        <v>1418</v>
      </c>
      <c r="C218" t="s">
        <v>1419</v>
      </c>
      <c r="D218" t="s">
        <v>762</v>
      </c>
      <c r="E218" t="s">
        <v>446</v>
      </c>
      <c r="F218" t="s">
        <v>516</v>
      </c>
      <c r="G218" t="str">
        <f t="shared" si="6"/>
        <v>EQUIPMENT</v>
      </c>
      <c r="H218" t="s">
        <v>34</v>
      </c>
      <c r="I218" t="s">
        <v>146</v>
      </c>
      <c r="J218" t="str">
        <f t="shared" si="7"/>
        <v>SHIFT C</v>
      </c>
    </row>
    <row r="219" spans="1:10">
      <c r="A219">
        <v>302</v>
      </c>
      <c r="B219" t="s">
        <v>1422</v>
      </c>
      <c r="C219" t="s">
        <v>1423</v>
      </c>
      <c r="D219" t="s">
        <v>28</v>
      </c>
      <c r="E219" t="s">
        <v>29</v>
      </c>
      <c r="F219" t="s">
        <v>85</v>
      </c>
      <c r="G219" t="str">
        <f t="shared" si="6"/>
        <v>DRILL</v>
      </c>
      <c r="H219" t="s">
        <v>34</v>
      </c>
      <c r="I219" t="s">
        <v>146</v>
      </c>
      <c r="J219" t="str">
        <f t="shared" si="7"/>
        <v>SHIFT C</v>
      </c>
    </row>
    <row r="220" spans="1:10">
      <c r="A220">
        <v>303</v>
      </c>
      <c r="B220" t="s">
        <v>1426</v>
      </c>
      <c r="C220" t="s">
        <v>1427</v>
      </c>
      <c r="D220" t="s">
        <v>28</v>
      </c>
      <c r="E220" t="s">
        <v>29</v>
      </c>
      <c r="F220" t="s">
        <v>79</v>
      </c>
      <c r="G220" t="str">
        <f t="shared" si="6"/>
        <v>SM</v>
      </c>
      <c r="H220" t="s">
        <v>34</v>
      </c>
      <c r="I220" t="s">
        <v>76</v>
      </c>
      <c r="J220" t="str">
        <f t="shared" si="7"/>
        <v>SHIFT E</v>
      </c>
    </row>
    <row r="221" spans="1:10">
      <c r="A221">
        <v>304</v>
      </c>
      <c r="B221" t="s">
        <v>1430</v>
      </c>
      <c r="C221" t="s">
        <v>1431</v>
      </c>
      <c r="D221" t="s">
        <v>1064</v>
      </c>
      <c r="E221" t="s">
        <v>29</v>
      </c>
      <c r="F221" t="s">
        <v>537</v>
      </c>
      <c r="G221" t="str">
        <f t="shared" si="6"/>
        <v>MLB</v>
      </c>
      <c r="H221" t="s">
        <v>34</v>
      </c>
      <c r="I221" t="s">
        <v>89</v>
      </c>
      <c r="J221" t="str">
        <f t="shared" si="7"/>
        <v>SHIFT B</v>
      </c>
    </row>
    <row r="222" spans="1:10">
      <c r="A222">
        <v>307</v>
      </c>
      <c r="B222" t="s">
        <v>1441</v>
      </c>
      <c r="C222" t="s">
        <v>1442</v>
      </c>
      <c r="D222" t="s">
        <v>1443</v>
      </c>
      <c r="E222" t="s">
        <v>417</v>
      </c>
      <c r="F222" t="s">
        <v>695</v>
      </c>
      <c r="G222" t="str">
        <f t="shared" si="6"/>
        <v>WAREHOUSE</v>
      </c>
      <c r="H222" t="s">
        <v>34</v>
      </c>
      <c r="I222" t="s">
        <v>146</v>
      </c>
      <c r="J222" t="str">
        <f t="shared" si="7"/>
        <v>SHIFT C</v>
      </c>
    </row>
    <row r="223" spans="1:10">
      <c r="A223">
        <v>309</v>
      </c>
      <c r="B223" t="s">
        <v>1450</v>
      </c>
      <c r="C223" t="s">
        <v>1451</v>
      </c>
      <c r="D223" t="s">
        <v>499</v>
      </c>
      <c r="E223" t="s">
        <v>491</v>
      </c>
      <c r="F223" t="s">
        <v>830</v>
      </c>
      <c r="G223" t="str">
        <f t="shared" si="6"/>
        <v>QUALITY</v>
      </c>
      <c r="H223" t="s">
        <v>106</v>
      </c>
      <c r="I223" t="s">
        <v>53</v>
      </c>
      <c r="J223" t="str">
        <f t="shared" si="7"/>
        <v>SHIFT A</v>
      </c>
    </row>
    <row r="224" spans="1:10">
      <c r="A224">
        <v>310</v>
      </c>
      <c r="B224" t="s">
        <v>1454</v>
      </c>
      <c r="C224" t="s">
        <v>1455</v>
      </c>
      <c r="D224" t="s">
        <v>1041</v>
      </c>
      <c r="E224" t="s">
        <v>491</v>
      </c>
      <c r="F224" t="s">
        <v>950</v>
      </c>
      <c r="G224" t="str">
        <f t="shared" si="6"/>
        <v>QUALITY</v>
      </c>
      <c r="H224" t="s">
        <v>106</v>
      </c>
      <c r="I224" t="s">
        <v>146</v>
      </c>
      <c r="J224" t="str">
        <f t="shared" si="7"/>
        <v>SHIFT C</v>
      </c>
    </row>
    <row r="225" spans="1:10">
      <c r="A225">
        <v>312</v>
      </c>
      <c r="B225" t="s">
        <v>1462</v>
      </c>
      <c r="C225" t="s">
        <v>1463</v>
      </c>
      <c r="D225" t="s">
        <v>765</v>
      </c>
      <c r="E225" t="s">
        <v>491</v>
      </c>
      <c r="F225" t="s">
        <v>978</v>
      </c>
      <c r="G225" t="str">
        <f t="shared" si="6"/>
        <v>QUALITY</v>
      </c>
      <c r="H225" t="s">
        <v>34</v>
      </c>
      <c r="I225" t="s">
        <v>89</v>
      </c>
      <c r="J225" t="str">
        <f t="shared" si="7"/>
        <v>SHIFT B</v>
      </c>
    </row>
    <row r="226" spans="1:10">
      <c r="A226">
        <v>314</v>
      </c>
      <c r="B226" t="s">
        <v>1470</v>
      </c>
      <c r="C226" t="s">
        <v>1471</v>
      </c>
      <c r="D226" t="s">
        <v>28</v>
      </c>
      <c r="E226" t="s">
        <v>491</v>
      </c>
      <c r="F226" t="s">
        <v>1472</v>
      </c>
      <c r="G226" t="str">
        <f t="shared" si="6"/>
        <v>QUALITY</v>
      </c>
      <c r="H226" t="s">
        <v>106</v>
      </c>
      <c r="I226" t="s">
        <v>752</v>
      </c>
      <c r="J226" t="str">
        <f t="shared" si="7"/>
        <v>SHIFT O</v>
      </c>
    </row>
    <row r="227" spans="1:10">
      <c r="A227">
        <v>315</v>
      </c>
      <c r="B227" t="s">
        <v>1475</v>
      </c>
      <c r="C227" t="s">
        <v>1476</v>
      </c>
      <c r="D227" t="s">
        <v>1064</v>
      </c>
      <c r="E227" t="s">
        <v>475</v>
      </c>
      <c r="F227" t="s">
        <v>476</v>
      </c>
      <c r="G227" t="str">
        <f t="shared" si="6"/>
        <v>DESIGN</v>
      </c>
      <c r="H227" t="s">
        <v>34</v>
      </c>
      <c r="I227" t="s">
        <v>53</v>
      </c>
      <c r="J227" t="str">
        <f t="shared" si="7"/>
        <v>SHIFT A</v>
      </c>
    </row>
    <row r="228" spans="1:10">
      <c r="A228">
        <v>316</v>
      </c>
      <c r="B228" t="s">
        <v>1479</v>
      </c>
      <c r="C228" t="s">
        <v>1480</v>
      </c>
      <c r="D228" t="s">
        <v>28</v>
      </c>
      <c r="E228" t="s">
        <v>29</v>
      </c>
      <c r="F228" t="s">
        <v>48</v>
      </c>
      <c r="G228" t="str">
        <f t="shared" si="6"/>
        <v>ROUTER</v>
      </c>
      <c r="H228" t="s">
        <v>34</v>
      </c>
      <c r="I228" t="s">
        <v>146</v>
      </c>
      <c r="J228" t="str">
        <f t="shared" si="7"/>
        <v>SHIFT C</v>
      </c>
    </row>
    <row r="229" spans="1:10">
      <c r="A229">
        <v>317</v>
      </c>
      <c r="B229" t="s">
        <v>1483</v>
      </c>
      <c r="C229" t="s">
        <v>1060</v>
      </c>
      <c r="D229" t="s">
        <v>499</v>
      </c>
      <c r="E229" t="s">
        <v>29</v>
      </c>
      <c r="F229" t="s">
        <v>85</v>
      </c>
      <c r="G229" t="str">
        <f t="shared" si="6"/>
        <v>DRILL</v>
      </c>
      <c r="H229" t="s">
        <v>34</v>
      </c>
      <c r="I229" t="s">
        <v>53</v>
      </c>
      <c r="J229" t="str">
        <f t="shared" si="7"/>
        <v>SHIFT A</v>
      </c>
    </row>
    <row r="230" spans="1:10">
      <c r="A230">
        <v>318</v>
      </c>
      <c r="B230" t="s">
        <v>1486</v>
      </c>
      <c r="C230" t="s">
        <v>1487</v>
      </c>
      <c r="D230" t="s">
        <v>28</v>
      </c>
      <c r="E230" t="s">
        <v>29</v>
      </c>
      <c r="F230" t="s">
        <v>43</v>
      </c>
      <c r="G230" t="str">
        <f t="shared" si="6"/>
        <v>AU</v>
      </c>
      <c r="H230" t="s">
        <v>34</v>
      </c>
      <c r="I230" t="s">
        <v>76</v>
      </c>
      <c r="J230" t="str">
        <f t="shared" si="7"/>
        <v>SHIFT E</v>
      </c>
    </row>
    <row r="231" spans="1:10">
      <c r="A231">
        <v>319</v>
      </c>
      <c r="B231" t="s">
        <v>1490</v>
      </c>
      <c r="C231" t="s">
        <v>1491</v>
      </c>
      <c r="D231" t="s">
        <v>28</v>
      </c>
      <c r="E231" t="s">
        <v>29</v>
      </c>
      <c r="F231" t="s">
        <v>48</v>
      </c>
      <c r="G231" t="str">
        <f t="shared" si="6"/>
        <v>ROUTER</v>
      </c>
      <c r="H231" t="s">
        <v>34</v>
      </c>
      <c r="I231" t="s">
        <v>53</v>
      </c>
      <c r="J231" t="str">
        <f t="shared" si="7"/>
        <v>SHIFT A</v>
      </c>
    </row>
    <row r="232" spans="1:10">
      <c r="A232">
        <v>320</v>
      </c>
      <c r="B232" t="s">
        <v>1494</v>
      </c>
      <c r="C232" t="s">
        <v>1495</v>
      </c>
      <c r="D232" t="s">
        <v>28</v>
      </c>
      <c r="E232" t="s">
        <v>417</v>
      </c>
      <c r="F232" t="s">
        <v>674</v>
      </c>
      <c r="G232" t="str">
        <f t="shared" si="6"/>
        <v>WAREHOUSE</v>
      </c>
      <c r="H232" t="s">
        <v>34</v>
      </c>
      <c r="I232" t="s">
        <v>146</v>
      </c>
      <c r="J232" t="str">
        <f t="shared" si="7"/>
        <v>SHIFT C</v>
      </c>
    </row>
    <row r="233" spans="1:10">
      <c r="A233">
        <v>321</v>
      </c>
      <c r="B233" t="s">
        <v>1498</v>
      </c>
      <c r="C233" t="s">
        <v>1499</v>
      </c>
      <c r="D233" t="s">
        <v>1064</v>
      </c>
      <c r="E233" t="s">
        <v>29</v>
      </c>
      <c r="F233" t="s">
        <v>123</v>
      </c>
      <c r="G233" t="str">
        <f t="shared" si="6"/>
        <v>PACKING</v>
      </c>
      <c r="H233" t="s">
        <v>34</v>
      </c>
      <c r="I233" t="s">
        <v>146</v>
      </c>
      <c r="J233" t="str">
        <f t="shared" si="7"/>
        <v>SHIFT C</v>
      </c>
    </row>
    <row r="234" spans="1:10">
      <c r="A234">
        <v>322</v>
      </c>
      <c r="B234" t="s">
        <v>1502</v>
      </c>
      <c r="C234" t="s">
        <v>1503</v>
      </c>
      <c r="D234" t="s">
        <v>28</v>
      </c>
      <c r="E234" t="s">
        <v>29</v>
      </c>
      <c r="F234" t="s">
        <v>43</v>
      </c>
      <c r="G234" t="str">
        <f t="shared" si="6"/>
        <v>AU</v>
      </c>
      <c r="H234" t="s">
        <v>34</v>
      </c>
      <c r="I234" t="s">
        <v>40</v>
      </c>
      <c r="J234" t="str">
        <f t="shared" si="7"/>
        <v>SHIFT E</v>
      </c>
    </row>
    <row r="235" spans="1:10">
      <c r="A235">
        <v>323</v>
      </c>
      <c r="B235" t="s">
        <v>1506</v>
      </c>
      <c r="C235" t="s">
        <v>1507</v>
      </c>
      <c r="D235" t="s">
        <v>28</v>
      </c>
      <c r="E235" t="s">
        <v>29</v>
      </c>
      <c r="F235" t="s">
        <v>48</v>
      </c>
      <c r="G235" t="str">
        <f t="shared" si="6"/>
        <v>ROUTER</v>
      </c>
      <c r="H235" t="s">
        <v>34</v>
      </c>
      <c r="I235" t="s">
        <v>146</v>
      </c>
      <c r="J235" t="str">
        <f t="shared" si="7"/>
        <v>SHIFT C</v>
      </c>
    </row>
    <row r="236" spans="1:10">
      <c r="A236">
        <v>324</v>
      </c>
      <c r="B236" t="s">
        <v>1510</v>
      </c>
      <c r="C236" t="s">
        <v>1511</v>
      </c>
      <c r="D236" t="s">
        <v>1064</v>
      </c>
      <c r="E236" t="s">
        <v>29</v>
      </c>
      <c r="F236" t="s">
        <v>43</v>
      </c>
      <c r="G236" t="str">
        <f t="shared" si="6"/>
        <v>AU</v>
      </c>
      <c r="H236" t="s">
        <v>106</v>
      </c>
      <c r="I236" t="s">
        <v>89</v>
      </c>
      <c r="J236" t="str">
        <f t="shared" si="7"/>
        <v>SHIFT B</v>
      </c>
    </row>
    <row r="237" spans="1:10">
      <c r="A237">
        <v>325</v>
      </c>
      <c r="B237" t="s">
        <v>1514</v>
      </c>
      <c r="C237" t="s">
        <v>1515</v>
      </c>
      <c r="D237" t="s">
        <v>1064</v>
      </c>
      <c r="E237" t="s">
        <v>29</v>
      </c>
      <c r="F237" t="s">
        <v>537</v>
      </c>
      <c r="G237" t="str">
        <f t="shared" si="6"/>
        <v>MLB</v>
      </c>
      <c r="H237" t="s">
        <v>106</v>
      </c>
      <c r="I237" t="s">
        <v>146</v>
      </c>
      <c r="J237" t="str">
        <f t="shared" si="7"/>
        <v>SHIFT C</v>
      </c>
    </row>
    <row r="238" spans="1:10">
      <c r="A238">
        <v>329</v>
      </c>
      <c r="B238" t="s">
        <v>1530</v>
      </c>
      <c r="C238" t="s">
        <v>1531</v>
      </c>
      <c r="D238" t="s">
        <v>738</v>
      </c>
      <c r="E238" t="s">
        <v>706</v>
      </c>
      <c r="F238" t="s">
        <v>870</v>
      </c>
      <c r="G238" t="str">
        <f t="shared" si="6"/>
        <v>FACILITY</v>
      </c>
      <c r="H238" t="s">
        <v>34</v>
      </c>
      <c r="I238" t="s">
        <v>146</v>
      </c>
      <c r="J238" t="str">
        <f t="shared" si="7"/>
        <v>SHIFT C</v>
      </c>
    </row>
    <row r="239" spans="1:10">
      <c r="A239">
        <v>330</v>
      </c>
      <c r="B239" t="s">
        <v>1534</v>
      </c>
      <c r="C239" t="s">
        <v>1535</v>
      </c>
      <c r="D239" t="s">
        <v>755</v>
      </c>
      <c r="E239" t="s">
        <v>417</v>
      </c>
      <c r="F239" t="s">
        <v>756</v>
      </c>
      <c r="G239" t="str">
        <f t="shared" si="6"/>
        <v>WAREHOUSE</v>
      </c>
      <c r="H239" t="s">
        <v>34</v>
      </c>
      <c r="I239" t="s">
        <v>89</v>
      </c>
      <c r="J239" t="str">
        <f t="shared" si="7"/>
        <v>SHIFT B</v>
      </c>
    </row>
    <row r="240" spans="1:10">
      <c r="A240">
        <v>331</v>
      </c>
      <c r="B240" t="s">
        <v>1538</v>
      </c>
      <c r="C240" t="s">
        <v>1539</v>
      </c>
      <c r="D240" t="s">
        <v>1064</v>
      </c>
      <c r="E240" t="s">
        <v>29</v>
      </c>
      <c r="F240" t="s">
        <v>56</v>
      </c>
      <c r="G240" t="str">
        <f t="shared" si="6"/>
        <v>AOI</v>
      </c>
      <c r="H240" t="s">
        <v>34</v>
      </c>
      <c r="I240" t="s">
        <v>53</v>
      </c>
      <c r="J240" t="str">
        <f t="shared" si="7"/>
        <v>SHIFT A</v>
      </c>
    </row>
    <row r="241" spans="1:10">
      <c r="A241">
        <v>332</v>
      </c>
      <c r="B241" t="s">
        <v>1542</v>
      </c>
      <c r="C241" t="s">
        <v>1543</v>
      </c>
      <c r="D241" t="s">
        <v>28</v>
      </c>
      <c r="E241" t="s">
        <v>29</v>
      </c>
      <c r="F241" t="s">
        <v>56</v>
      </c>
      <c r="G241" t="str">
        <f t="shared" si="6"/>
        <v>AOI</v>
      </c>
      <c r="H241" t="s">
        <v>106</v>
      </c>
      <c r="I241" t="s">
        <v>76</v>
      </c>
      <c r="J241" t="str">
        <f t="shared" si="7"/>
        <v>SHIFT E</v>
      </c>
    </row>
    <row r="242" spans="1:10">
      <c r="A242">
        <v>333</v>
      </c>
      <c r="B242" t="s">
        <v>1546</v>
      </c>
      <c r="C242" t="s">
        <v>1547</v>
      </c>
      <c r="D242" t="s">
        <v>28</v>
      </c>
      <c r="E242" t="s">
        <v>29</v>
      </c>
      <c r="F242" t="s">
        <v>79</v>
      </c>
      <c r="G242" t="str">
        <f t="shared" si="6"/>
        <v>SM</v>
      </c>
      <c r="H242" t="s">
        <v>34</v>
      </c>
      <c r="I242" t="s">
        <v>40</v>
      </c>
      <c r="J242" t="str">
        <f t="shared" si="7"/>
        <v>SHIFT E</v>
      </c>
    </row>
    <row r="243" spans="1:10">
      <c r="A243">
        <v>334</v>
      </c>
      <c r="B243" t="s">
        <v>1550</v>
      </c>
      <c r="C243" t="s">
        <v>1551</v>
      </c>
      <c r="D243" t="s">
        <v>28</v>
      </c>
      <c r="E243" t="s">
        <v>29</v>
      </c>
      <c r="F243" t="s">
        <v>43</v>
      </c>
      <c r="G243" t="str">
        <f t="shared" si="6"/>
        <v>AU</v>
      </c>
      <c r="H243" t="s">
        <v>106</v>
      </c>
      <c r="I243" t="s">
        <v>53</v>
      </c>
      <c r="J243" t="str">
        <f t="shared" si="7"/>
        <v>SHIFT A</v>
      </c>
    </row>
    <row r="244" spans="1:10">
      <c r="A244">
        <v>335</v>
      </c>
      <c r="B244" t="s">
        <v>1554</v>
      </c>
      <c r="C244" t="s">
        <v>1555</v>
      </c>
      <c r="D244" t="s">
        <v>28</v>
      </c>
      <c r="E244" t="s">
        <v>29</v>
      </c>
      <c r="F244" t="s">
        <v>43</v>
      </c>
      <c r="G244" t="str">
        <f t="shared" si="6"/>
        <v>AU</v>
      </c>
      <c r="H244" t="s">
        <v>106</v>
      </c>
      <c r="I244" t="s">
        <v>146</v>
      </c>
      <c r="J244" t="str">
        <f t="shared" si="7"/>
        <v>SHIFT C</v>
      </c>
    </row>
    <row r="245" spans="1:10">
      <c r="A245">
        <v>337</v>
      </c>
      <c r="B245" t="s">
        <v>1563</v>
      </c>
      <c r="C245" t="s">
        <v>1564</v>
      </c>
      <c r="D245" t="s">
        <v>28</v>
      </c>
      <c r="E245" t="s">
        <v>29</v>
      </c>
      <c r="F245" t="s">
        <v>43</v>
      </c>
      <c r="G245" t="str">
        <f t="shared" si="6"/>
        <v>AU</v>
      </c>
      <c r="H245" t="s">
        <v>34</v>
      </c>
      <c r="I245" t="s">
        <v>76</v>
      </c>
      <c r="J245" t="str">
        <f t="shared" si="7"/>
        <v>SHIFT E</v>
      </c>
    </row>
    <row r="246" spans="1:10">
      <c r="A246">
        <v>340</v>
      </c>
      <c r="B246" t="s">
        <v>1575</v>
      </c>
      <c r="C246" t="s">
        <v>1576</v>
      </c>
      <c r="D246" t="s">
        <v>762</v>
      </c>
      <c r="E246" t="s">
        <v>446</v>
      </c>
      <c r="F246" t="s">
        <v>860</v>
      </c>
      <c r="G246" t="str">
        <f t="shared" si="6"/>
        <v>EQUIPMENT</v>
      </c>
      <c r="H246" t="s">
        <v>34</v>
      </c>
      <c r="I246" t="s">
        <v>53</v>
      </c>
      <c r="J246" t="str">
        <f t="shared" si="7"/>
        <v>SHIFT A</v>
      </c>
    </row>
    <row r="247" spans="1:10">
      <c r="A247">
        <v>342</v>
      </c>
      <c r="B247" t="s">
        <v>1583</v>
      </c>
      <c r="C247" t="s">
        <v>1584</v>
      </c>
      <c r="D247" t="s">
        <v>1054</v>
      </c>
      <c r="E247" t="s">
        <v>29</v>
      </c>
      <c r="F247" t="s">
        <v>43</v>
      </c>
      <c r="G247" t="str">
        <f t="shared" si="6"/>
        <v>AU</v>
      </c>
      <c r="H247" t="s">
        <v>34</v>
      </c>
      <c r="I247" t="s">
        <v>89</v>
      </c>
      <c r="J247" t="str">
        <f t="shared" si="7"/>
        <v>SHIFT B</v>
      </c>
    </row>
    <row r="248" spans="1:10">
      <c r="A248">
        <v>343</v>
      </c>
      <c r="B248" t="s">
        <v>1587</v>
      </c>
      <c r="C248" t="s">
        <v>1588</v>
      </c>
      <c r="D248" t="s">
        <v>1064</v>
      </c>
      <c r="E248" t="s">
        <v>29</v>
      </c>
      <c r="F248" t="s">
        <v>72</v>
      </c>
      <c r="G248" t="str">
        <f t="shared" si="6"/>
        <v>BBT</v>
      </c>
      <c r="H248" t="s">
        <v>106</v>
      </c>
      <c r="I248" t="s">
        <v>89</v>
      </c>
      <c r="J248" t="str">
        <f t="shared" si="7"/>
        <v>SHIFT B</v>
      </c>
    </row>
    <row r="249" spans="1:10">
      <c r="A249">
        <v>345</v>
      </c>
      <c r="B249" t="s">
        <v>1595</v>
      </c>
      <c r="C249" t="s">
        <v>1596</v>
      </c>
      <c r="D249" t="s">
        <v>1064</v>
      </c>
      <c r="E249" t="s">
        <v>475</v>
      </c>
      <c r="F249" t="s">
        <v>476</v>
      </c>
      <c r="G249" t="str">
        <f t="shared" si="6"/>
        <v>DESIGN</v>
      </c>
      <c r="H249" t="s">
        <v>34</v>
      </c>
      <c r="I249" t="s">
        <v>53</v>
      </c>
      <c r="J249" t="str">
        <f t="shared" si="7"/>
        <v>SHIFT A</v>
      </c>
    </row>
    <row r="250" spans="1:10">
      <c r="A250">
        <v>346</v>
      </c>
      <c r="B250" t="s">
        <v>1599</v>
      </c>
      <c r="C250" t="s">
        <v>1600</v>
      </c>
      <c r="D250" t="s">
        <v>28</v>
      </c>
      <c r="E250" t="s">
        <v>417</v>
      </c>
      <c r="F250" t="s">
        <v>674</v>
      </c>
      <c r="G250" t="str">
        <f t="shared" si="6"/>
        <v>WAREHOUSE</v>
      </c>
      <c r="H250" t="s">
        <v>34</v>
      </c>
      <c r="I250" t="s">
        <v>146</v>
      </c>
      <c r="J250" t="str">
        <f t="shared" si="7"/>
        <v>SHIFT C</v>
      </c>
    </row>
    <row r="251" spans="1:10">
      <c r="A251">
        <v>347</v>
      </c>
      <c r="B251" t="s">
        <v>1603</v>
      </c>
      <c r="C251" t="s">
        <v>1604</v>
      </c>
      <c r="D251" t="s">
        <v>1064</v>
      </c>
      <c r="E251" t="s">
        <v>29</v>
      </c>
      <c r="F251" t="s">
        <v>30</v>
      </c>
      <c r="G251" t="str">
        <f t="shared" si="6"/>
        <v>DF</v>
      </c>
      <c r="H251" t="s">
        <v>34</v>
      </c>
      <c r="I251" t="s">
        <v>89</v>
      </c>
      <c r="J251" t="str">
        <f t="shared" si="7"/>
        <v>SHIFT B</v>
      </c>
    </row>
    <row r="252" spans="1:10">
      <c r="A252">
        <v>348</v>
      </c>
      <c r="B252" t="s">
        <v>1608</v>
      </c>
      <c r="C252" t="s">
        <v>1609</v>
      </c>
      <c r="D252" t="s">
        <v>1064</v>
      </c>
      <c r="E252" t="s">
        <v>29</v>
      </c>
      <c r="F252" t="s">
        <v>30</v>
      </c>
      <c r="G252" t="str">
        <f t="shared" si="6"/>
        <v>DF</v>
      </c>
      <c r="H252" t="s">
        <v>34</v>
      </c>
      <c r="I252" t="s">
        <v>146</v>
      </c>
      <c r="J252" t="str">
        <f t="shared" si="7"/>
        <v>SHIFT C</v>
      </c>
    </row>
    <row r="253" spans="1:10">
      <c r="A253">
        <v>349</v>
      </c>
      <c r="B253" t="s">
        <v>1612</v>
      </c>
      <c r="C253" t="s">
        <v>1613</v>
      </c>
      <c r="D253" t="s">
        <v>1064</v>
      </c>
      <c r="E253" t="s">
        <v>29</v>
      </c>
      <c r="F253" t="s">
        <v>537</v>
      </c>
      <c r="G253" t="str">
        <f t="shared" si="6"/>
        <v>MLB</v>
      </c>
      <c r="H253" t="s">
        <v>34</v>
      </c>
      <c r="I253" t="s">
        <v>89</v>
      </c>
      <c r="J253" t="str">
        <f t="shared" si="7"/>
        <v>SHIFT B</v>
      </c>
    </row>
    <row r="254" spans="1:10">
      <c r="A254">
        <v>350</v>
      </c>
      <c r="B254" t="s">
        <v>1616</v>
      </c>
      <c r="C254" t="s">
        <v>1617</v>
      </c>
      <c r="D254" t="s">
        <v>28</v>
      </c>
      <c r="E254" t="s">
        <v>29</v>
      </c>
      <c r="F254" t="s">
        <v>56</v>
      </c>
      <c r="G254" t="str">
        <f t="shared" si="6"/>
        <v>AOI</v>
      </c>
      <c r="H254" t="s">
        <v>34</v>
      </c>
      <c r="I254" t="s">
        <v>40</v>
      </c>
      <c r="J254" t="str">
        <f t="shared" si="7"/>
        <v>SHIFT E</v>
      </c>
    </row>
    <row r="255" spans="1:10">
      <c r="A255">
        <v>351</v>
      </c>
      <c r="B255" t="s">
        <v>1620</v>
      </c>
      <c r="C255" t="s">
        <v>1621</v>
      </c>
      <c r="D255" t="s">
        <v>28</v>
      </c>
      <c r="E255" t="s">
        <v>29</v>
      </c>
      <c r="F255" t="s">
        <v>79</v>
      </c>
      <c r="G255" t="str">
        <f t="shared" si="6"/>
        <v>SM</v>
      </c>
      <c r="H255" t="s">
        <v>34</v>
      </c>
      <c r="I255" t="s">
        <v>76</v>
      </c>
      <c r="J255" t="str">
        <f t="shared" si="7"/>
        <v>SHIFT E</v>
      </c>
    </row>
    <row r="256" spans="1:10">
      <c r="A256">
        <v>352</v>
      </c>
      <c r="B256" t="s">
        <v>1624</v>
      </c>
      <c r="C256" t="s">
        <v>1144</v>
      </c>
      <c r="D256" t="s">
        <v>499</v>
      </c>
      <c r="E256" t="s">
        <v>29</v>
      </c>
      <c r="F256" t="s">
        <v>72</v>
      </c>
      <c r="G256" t="str">
        <f t="shared" si="6"/>
        <v>BBT</v>
      </c>
      <c r="H256" t="s">
        <v>106</v>
      </c>
      <c r="I256" t="s">
        <v>53</v>
      </c>
      <c r="J256" t="str">
        <f t="shared" si="7"/>
        <v>SHIFT A</v>
      </c>
    </row>
    <row r="257" spans="1:10">
      <c r="A257">
        <v>353</v>
      </c>
      <c r="B257" t="s">
        <v>1627</v>
      </c>
      <c r="C257" t="s">
        <v>1628</v>
      </c>
      <c r="D257" t="s">
        <v>28</v>
      </c>
      <c r="E257" t="s">
        <v>29</v>
      </c>
      <c r="F257" t="s">
        <v>79</v>
      </c>
      <c r="G257" t="str">
        <f t="shared" si="6"/>
        <v>SM</v>
      </c>
      <c r="H257" t="s">
        <v>34</v>
      </c>
      <c r="I257" t="s">
        <v>146</v>
      </c>
      <c r="J257" t="str">
        <f t="shared" si="7"/>
        <v>SHIFT C</v>
      </c>
    </row>
    <row r="258" spans="1:10">
      <c r="A258">
        <v>354</v>
      </c>
      <c r="B258" t="s">
        <v>1631</v>
      </c>
      <c r="C258" t="s">
        <v>1632</v>
      </c>
      <c r="D258" t="s">
        <v>1064</v>
      </c>
      <c r="E258" t="s">
        <v>29</v>
      </c>
      <c r="F258" t="s">
        <v>680</v>
      </c>
      <c r="G258" t="str">
        <f t="shared" si="6"/>
        <v>CHAMFER</v>
      </c>
      <c r="H258" t="s">
        <v>106</v>
      </c>
      <c r="I258" t="s">
        <v>146</v>
      </c>
      <c r="J258" t="str">
        <f t="shared" si="7"/>
        <v>SHIFT C</v>
      </c>
    </row>
    <row r="259" spans="1:10">
      <c r="A259">
        <v>356</v>
      </c>
      <c r="B259" t="s">
        <v>1639</v>
      </c>
      <c r="C259" t="s">
        <v>1640</v>
      </c>
      <c r="D259" t="s">
        <v>738</v>
      </c>
      <c r="E259" t="s">
        <v>446</v>
      </c>
      <c r="F259" t="s">
        <v>860</v>
      </c>
      <c r="G259" t="str">
        <f t="shared" si="6"/>
        <v>EQUIPMENT</v>
      </c>
      <c r="H259" t="s">
        <v>34</v>
      </c>
      <c r="I259" t="s">
        <v>146</v>
      </c>
      <c r="J259" t="str">
        <f t="shared" si="7"/>
        <v>SHIFT C</v>
      </c>
    </row>
    <row r="260" spans="1:10">
      <c r="A260">
        <v>357</v>
      </c>
      <c r="B260" t="s">
        <v>1643</v>
      </c>
      <c r="C260" t="s">
        <v>1644</v>
      </c>
      <c r="D260" t="s">
        <v>738</v>
      </c>
      <c r="E260" t="s">
        <v>446</v>
      </c>
      <c r="F260" t="s">
        <v>860</v>
      </c>
      <c r="G260" t="str">
        <f t="shared" ref="G260:G323" si="8">IF(OR(ISNUMBER(SEARCH("P1",F260)),ISNUMBER(SEARCH("P2",F260)),ISNUMBER(SEARCH("P3",F260)),ISNUMBER(SEARCH("P4",F260)),ISNUMBER(SEARCH("P5",F260))),"EQUIPMENT",
IF(ISNUMBER(SEARCH("Warehouse",F260)),"WAREHOUSE",
IF(ISNUMBER(SEARCH("WWTP",F260)),"ENVIRONMENT",
IF(OR(ISNUMBER(SEARCH("QC",F260)),ISNUMBER(SEARCH("RELIABILITY",F260)),ISNUMBER(SEARCH("OQA",F260)),ISNUMBER(SEARCH("CHEMICAL",F260))),"QUALITY",
IF(OR(ISNUMBER(SEARCH("OPERATION",F260)),ISNUMBER(SEARCH("PSM",F260))),"HS",
IF(ISNUMBER(SEARCH("FVI",F260)),"FVI",
IF(OR(ISNUMBER(SEARCH("ELECTRICITY",F260)),ISNUMBER(SEARCH("FACILITIES",F260)),ISNUMBER(SEARCH("MECHANICAL",F260))),"FACILITY",F260)))))))</f>
        <v>EQUIPMENT</v>
      </c>
      <c r="H260" t="s">
        <v>34</v>
      </c>
      <c r="I260" t="s">
        <v>89</v>
      </c>
      <c r="J260" t="str">
        <f t="shared" ref="J260:J323" si="9">IF(ISNUMBER(SEARCH("GROUP C",I260)),"SHIFT C",
IF(ISNUMBER(SEARCH("GROUP A",I260)),"SHIFT A",
IF(ISNUMBER(SEARCH("GROUP O",I260)),"SHIFT O",
IF(ISNUMBER(SEARCH("GROUP B",I260)),"SHIFT B",
IF(ISNUMBER(SEARCH("GROUP E",I260)),"SHIFT E","")))))</f>
        <v>SHIFT B</v>
      </c>
    </row>
    <row r="261" spans="1:10">
      <c r="A261">
        <v>358</v>
      </c>
      <c r="B261" t="s">
        <v>1647</v>
      </c>
      <c r="C261" t="s">
        <v>1648</v>
      </c>
      <c r="D261" t="s">
        <v>738</v>
      </c>
      <c r="E261" t="s">
        <v>446</v>
      </c>
      <c r="F261" t="s">
        <v>860</v>
      </c>
      <c r="G261" t="str">
        <f t="shared" si="8"/>
        <v>EQUIPMENT</v>
      </c>
      <c r="H261" t="s">
        <v>34</v>
      </c>
      <c r="I261" t="s">
        <v>53</v>
      </c>
      <c r="J261" t="str">
        <f t="shared" si="9"/>
        <v>SHIFT A</v>
      </c>
    </row>
    <row r="262" spans="1:10">
      <c r="A262">
        <v>362</v>
      </c>
      <c r="B262" t="s">
        <v>1662</v>
      </c>
      <c r="C262" t="s">
        <v>1663</v>
      </c>
      <c r="D262" t="s">
        <v>1064</v>
      </c>
      <c r="E262" t="s">
        <v>29</v>
      </c>
      <c r="F262" t="s">
        <v>1216</v>
      </c>
      <c r="G262" t="str">
        <f t="shared" si="8"/>
        <v>FVI</v>
      </c>
      <c r="H262" t="s">
        <v>34</v>
      </c>
      <c r="I262" t="s">
        <v>89</v>
      </c>
      <c r="J262" t="str">
        <f t="shared" si="9"/>
        <v>SHIFT B</v>
      </c>
    </row>
    <row r="263" spans="1:10">
      <c r="A263">
        <v>363</v>
      </c>
      <c r="B263" t="s">
        <v>1666</v>
      </c>
      <c r="C263" t="s">
        <v>1667</v>
      </c>
      <c r="D263" t="s">
        <v>1064</v>
      </c>
      <c r="E263" t="s">
        <v>29</v>
      </c>
      <c r="F263" t="s">
        <v>1216</v>
      </c>
      <c r="G263" t="str">
        <f t="shared" si="8"/>
        <v>FVI</v>
      </c>
      <c r="H263" t="s">
        <v>34</v>
      </c>
      <c r="I263" t="s">
        <v>89</v>
      </c>
      <c r="J263" t="str">
        <f t="shared" si="9"/>
        <v>SHIFT B</v>
      </c>
    </row>
    <row r="264" spans="1:10">
      <c r="A264">
        <v>364</v>
      </c>
      <c r="B264" t="s">
        <v>1670</v>
      </c>
      <c r="C264" t="s">
        <v>1671</v>
      </c>
      <c r="D264" t="s">
        <v>28</v>
      </c>
      <c r="E264" t="s">
        <v>29</v>
      </c>
      <c r="F264" t="s">
        <v>72</v>
      </c>
      <c r="G264" t="str">
        <f t="shared" si="8"/>
        <v>BBT</v>
      </c>
      <c r="H264" t="s">
        <v>34</v>
      </c>
      <c r="I264" t="s">
        <v>40</v>
      </c>
      <c r="J264" t="str">
        <f t="shared" si="9"/>
        <v>SHIFT E</v>
      </c>
    </row>
    <row r="265" spans="1:10">
      <c r="A265">
        <v>365</v>
      </c>
      <c r="B265" t="s">
        <v>1674</v>
      </c>
      <c r="C265" t="s">
        <v>1675</v>
      </c>
      <c r="D265" t="s">
        <v>1064</v>
      </c>
      <c r="E265" t="s">
        <v>29</v>
      </c>
      <c r="F265" t="s">
        <v>85</v>
      </c>
      <c r="G265" t="str">
        <f t="shared" si="8"/>
        <v>DRILL</v>
      </c>
      <c r="H265" t="s">
        <v>106</v>
      </c>
      <c r="I265" t="s">
        <v>89</v>
      </c>
      <c r="J265" t="str">
        <f t="shared" si="9"/>
        <v>SHIFT B</v>
      </c>
    </row>
    <row r="266" spans="1:10">
      <c r="A266">
        <v>366</v>
      </c>
      <c r="B266" t="s">
        <v>1678</v>
      </c>
      <c r="C266" t="s">
        <v>1679</v>
      </c>
      <c r="D266" t="s">
        <v>1064</v>
      </c>
      <c r="E266" t="s">
        <v>29</v>
      </c>
      <c r="F266" t="s">
        <v>56</v>
      </c>
      <c r="G266" t="str">
        <f t="shared" si="8"/>
        <v>AOI</v>
      </c>
      <c r="H266" t="s">
        <v>106</v>
      </c>
      <c r="I266" t="s">
        <v>53</v>
      </c>
      <c r="J266" t="str">
        <f t="shared" si="9"/>
        <v>SHIFT A</v>
      </c>
    </row>
    <row r="267" spans="1:10">
      <c r="A267">
        <v>367</v>
      </c>
      <c r="B267" t="s">
        <v>1683</v>
      </c>
      <c r="C267" t="s">
        <v>1684</v>
      </c>
      <c r="D267" t="s">
        <v>28</v>
      </c>
      <c r="E267" t="s">
        <v>29</v>
      </c>
      <c r="F267" t="s">
        <v>79</v>
      </c>
      <c r="G267" t="str">
        <f t="shared" si="8"/>
        <v>SM</v>
      </c>
      <c r="H267" t="s">
        <v>34</v>
      </c>
      <c r="I267" t="s">
        <v>53</v>
      </c>
      <c r="J267" t="str">
        <f t="shared" si="9"/>
        <v>SHIFT A</v>
      </c>
    </row>
    <row r="268" spans="1:10">
      <c r="A268">
        <v>368</v>
      </c>
      <c r="B268" t="s">
        <v>1687</v>
      </c>
      <c r="C268" t="s">
        <v>1688</v>
      </c>
      <c r="D268" t="s">
        <v>28</v>
      </c>
      <c r="E268" t="s">
        <v>29</v>
      </c>
      <c r="F268" t="s">
        <v>48</v>
      </c>
      <c r="G268" t="str">
        <f t="shared" si="8"/>
        <v>ROUTER</v>
      </c>
      <c r="H268" t="s">
        <v>34</v>
      </c>
      <c r="I268" t="s">
        <v>146</v>
      </c>
      <c r="J268" t="str">
        <f t="shared" si="9"/>
        <v>SHIFT C</v>
      </c>
    </row>
    <row r="269" spans="1:10">
      <c r="A269">
        <v>369</v>
      </c>
      <c r="B269" t="s">
        <v>1691</v>
      </c>
      <c r="C269" t="s">
        <v>1692</v>
      </c>
      <c r="D269" t="s">
        <v>1693</v>
      </c>
      <c r="E269" t="s">
        <v>29</v>
      </c>
      <c r="F269" t="s">
        <v>30</v>
      </c>
      <c r="G269" t="str">
        <f t="shared" si="8"/>
        <v>DF</v>
      </c>
      <c r="H269" t="s">
        <v>34</v>
      </c>
      <c r="I269" t="s">
        <v>89</v>
      </c>
      <c r="J269" t="str">
        <f t="shared" si="9"/>
        <v>SHIFT B</v>
      </c>
    </row>
    <row r="270" spans="1:10">
      <c r="A270">
        <v>370</v>
      </c>
      <c r="B270" t="s">
        <v>1696</v>
      </c>
      <c r="C270" t="s">
        <v>1697</v>
      </c>
      <c r="D270" t="s">
        <v>28</v>
      </c>
      <c r="E270" t="s">
        <v>29</v>
      </c>
      <c r="F270" t="s">
        <v>43</v>
      </c>
      <c r="G270" t="str">
        <f t="shared" si="8"/>
        <v>AU</v>
      </c>
      <c r="H270" t="s">
        <v>34</v>
      </c>
      <c r="I270" t="s">
        <v>89</v>
      </c>
      <c r="J270" t="str">
        <f t="shared" si="9"/>
        <v>SHIFT B</v>
      </c>
    </row>
    <row r="271" spans="1:10">
      <c r="A271">
        <v>371</v>
      </c>
      <c r="B271" t="s">
        <v>1700</v>
      </c>
      <c r="C271" t="s">
        <v>1701</v>
      </c>
      <c r="D271" t="s">
        <v>28</v>
      </c>
      <c r="E271" t="s">
        <v>491</v>
      </c>
      <c r="F271" t="s">
        <v>1042</v>
      </c>
      <c r="G271" t="str">
        <f t="shared" si="8"/>
        <v>QUALITY</v>
      </c>
      <c r="H271" t="s">
        <v>106</v>
      </c>
      <c r="I271" t="s">
        <v>89</v>
      </c>
      <c r="J271" t="str">
        <f t="shared" si="9"/>
        <v>SHIFT B</v>
      </c>
    </row>
    <row r="272" spans="1:10">
      <c r="A272">
        <v>372</v>
      </c>
      <c r="B272" t="s">
        <v>1704</v>
      </c>
      <c r="C272" t="s">
        <v>1705</v>
      </c>
      <c r="D272" t="s">
        <v>28</v>
      </c>
      <c r="E272" t="s">
        <v>491</v>
      </c>
      <c r="F272" t="s">
        <v>1042</v>
      </c>
      <c r="G272" t="str">
        <f t="shared" si="8"/>
        <v>QUALITY</v>
      </c>
      <c r="H272" t="s">
        <v>106</v>
      </c>
      <c r="I272" t="s">
        <v>53</v>
      </c>
      <c r="J272" t="str">
        <f t="shared" si="9"/>
        <v>SHIFT A</v>
      </c>
    </row>
    <row r="273" spans="1:10">
      <c r="A273">
        <v>373</v>
      </c>
      <c r="B273" t="s">
        <v>1708</v>
      </c>
      <c r="C273" t="s">
        <v>1709</v>
      </c>
      <c r="D273" t="s">
        <v>28</v>
      </c>
      <c r="E273" t="s">
        <v>417</v>
      </c>
      <c r="F273" t="s">
        <v>674</v>
      </c>
      <c r="G273" t="str">
        <f t="shared" si="8"/>
        <v>WAREHOUSE</v>
      </c>
      <c r="H273" t="s">
        <v>34</v>
      </c>
      <c r="I273" t="s">
        <v>53</v>
      </c>
      <c r="J273" t="str">
        <f t="shared" si="9"/>
        <v>SHIFT A</v>
      </c>
    </row>
    <row r="274" spans="1:10">
      <c r="A274">
        <v>377</v>
      </c>
      <c r="B274" t="s">
        <v>1726</v>
      </c>
      <c r="C274" t="s">
        <v>1727</v>
      </c>
      <c r="D274" t="s">
        <v>738</v>
      </c>
      <c r="E274" t="s">
        <v>453</v>
      </c>
      <c r="F274" t="s">
        <v>454</v>
      </c>
      <c r="G274" t="str">
        <f t="shared" si="8"/>
        <v>ENVIRONMENT</v>
      </c>
      <c r="H274" t="s">
        <v>34</v>
      </c>
      <c r="I274" t="s">
        <v>146</v>
      </c>
      <c r="J274" t="str">
        <f t="shared" si="9"/>
        <v>SHIFT C</v>
      </c>
    </row>
    <row r="275" spans="1:10">
      <c r="A275">
        <v>378</v>
      </c>
      <c r="B275" t="s">
        <v>1730</v>
      </c>
      <c r="C275" t="s">
        <v>1731</v>
      </c>
      <c r="D275" t="s">
        <v>762</v>
      </c>
      <c r="E275" t="s">
        <v>453</v>
      </c>
      <c r="F275" t="s">
        <v>454</v>
      </c>
      <c r="G275" t="str">
        <f t="shared" si="8"/>
        <v>ENVIRONMENT</v>
      </c>
      <c r="H275" t="s">
        <v>34</v>
      </c>
      <c r="I275" t="s">
        <v>89</v>
      </c>
      <c r="J275" t="str">
        <f t="shared" si="9"/>
        <v>SHIFT B</v>
      </c>
    </row>
    <row r="276" spans="1:10">
      <c r="A276">
        <v>379</v>
      </c>
      <c r="B276" t="s">
        <v>1734</v>
      </c>
      <c r="C276" t="s">
        <v>1199</v>
      </c>
      <c r="D276" t="s">
        <v>1126</v>
      </c>
      <c r="E276" t="s">
        <v>29</v>
      </c>
      <c r="F276" t="s">
        <v>123</v>
      </c>
      <c r="G276" t="str">
        <f t="shared" si="8"/>
        <v>PACKING</v>
      </c>
      <c r="H276" t="s">
        <v>34</v>
      </c>
      <c r="I276" t="s">
        <v>53</v>
      </c>
      <c r="J276" t="str">
        <f t="shared" si="9"/>
        <v>SHIFT A</v>
      </c>
    </row>
    <row r="277" spans="1:10">
      <c r="A277">
        <v>380</v>
      </c>
      <c r="B277" t="s">
        <v>1737</v>
      </c>
      <c r="C277" t="s">
        <v>1738</v>
      </c>
      <c r="D277" t="s">
        <v>738</v>
      </c>
      <c r="E277" t="s">
        <v>453</v>
      </c>
      <c r="F277" t="s">
        <v>454</v>
      </c>
      <c r="G277" t="str">
        <f t="shared" si="8"/>
        <v>ENVIRONMENT</v>
      </c>
      <c r="H277" t="s">
        <v>34</v>
      </c>
      <c r="I277" t="s">
        <v>89</v>
      </c>
      <c r="J277" t="str">
        <f t="shared" si="9"/>
        <v>SHIFT B</v>
      </c>
    </row>
    <row r="278" spans="1:10">
      <c r="A278">
        <v>381</v>
      </c>
      <c r="B278" t="s">
        <v>1741</v>
      </c>
      <c r="C278" t="s">
        <v>1742</v>
      </c>
      <c r="D278" t="s">
        <v>733</v>
      </c>
      <c r="E278" t="s">
        <v>491</v>
      </c>
      <c r="F278" t="s">
        <v>978</v>
      </c>
      <c r="G278" t="str">
        <f t="shared" si="8"/>
        <v>QUALITY</v>
      </c>
      <c r="H278" t="s">
        <v>106</v>
      </c>
      <c r="I278" t="s">
        <v>53</v>
      </c>
      <c r="J278" t="str">
        <f t="shared" si="9"/>
        <v>SHIFT A</v>
      </c>
    </row>
    <row r="279" spans="1:10">
      <c r="A279">
        <v>383</v>
      </c>
      <c r="B279" t="s">
        <v>1749</v>
      </c>
      <c r="C279" t="s">
        <v>1750</v>
      </c>
      <c r="D279" t="s">
        <v>738</v>
      </c>
      <c r="E279" t="s">
        <v>446</v>
      </c>
      <c r="F279" t="s">
        <v>860</v>
      </c>
      <c r="G279" t="str">
        <f t="shared" si="8"/>
        <v>EQUIPMENT</v>
      </c>
      <c r="H279" t="s">
        <v>34</v>
      </c>
      <c r="I279" t="s">
        <v>53</v>
      </c>
      <c r="J279" t="str">
        <f t="shared" si="9"/>
        <v>SHIFT A</v>
      </c>
    </row>
    <row r="280" spans="1:10">
      <c r="A280">
        <v>385</v>
      </c>
      <c r="B280" t="s">
        <v>1761</v>
      </c>
      <c r="C280" t="s">
        <v>1762</v>
      </c>
      <c r="D280" t="s">
        <v>738</v>
      </c>
      <c r="E280" t="s">
        <v>453</v>
      </c>
      <c r="F280" t="s">
        <v>739</v>
      </c>
      <c r="G280" t="str">
        <f t="shared" si="8"/>
        <v>RODI</v>
      </c>
      <c r="H280" t="s">
        <v>34</v>
      </c>
      <c r="I280" t="s">
        <v>146</v>
      </c>
      <c r="J280" t="str">
        <f t="shared" si="9"/>
        <v>SHIFT C</v>
      </c>
    </row>
    <row r="281" spans="1:10">
      <c r="A281">
        <v>386</v>
      </c>
      <c r="B281" t="s">
        <v>1765</v>
      </c>
      <c r="C281" t="s">
        <v>1766</v>
      </c>
      <c r="D281" t="s">
        <v>762</v>
      </c>
      <c r="E281" t="s">
        <v>706</v>
      </c>
      <c r="F281" t="s">
        <v>870</v>
      </c>
      <c r="G281" t="str">
        <f t="shared" si="8"/>
        <v>FACILITY</v>
      </c>
      <c r="H281" t="s">
        <v>34</v>
      </c>
      <c r="I281" t="s">
        <v>146</v>
      </c>
      <c r="J281" t="str">
        <f t="shared" si="9"/>
        <v>SHIFT C</v>
      </c>
    </row>
    <row r="282" spans="1:10">
      <c r="A282">
        <v>388</v>
      </c>
      <c r="B282" t="s">
        <v>1772</v>
      </c>
      <c r="C282" t="s">
        <v>1773</v>
      </c>
      <c r="D282" t="s">
        <v>1064</v>
      </c>
      <c r="E282" t="s">
        <v>29</v>
      </c>
      <c r="F282" t="s">
        <v>56</v>
      </c>
      <c r="G282" t="str">
        <f t="shared" si="8"/>
        <v>AOI</v>
      </c>
      <c r="H282" t="s">
        <v>34</v>
      </c>
      <c r="I282" t="s">
        <v>89</v>
      </c>
      <c r="J282" t="str">
        <f t="shared" si="9"/>
        <v>SHIFT B</v>
      </c>
    </row>
    <row r="283" spans="1:10">
      <c r="A283">
        <v>389</v>
      </c>
      <c r="B283" t="s">
        <v>1777</v>
      </c>
      <c r="C283" t="s">
        <v>1778</v>
      </c>
      <c r="D283" t="s">
        <v>28</v>
      </c>
      <c r="E283" t="s">
        <v>29</v>
      </c>
      <c r="F283" t="s">
        <v>1058</v>
      </c>
      <c r="G283" t="str">
        <f t="shared" si="8"/>
        <v>LASER</v>
      </c>
      <c r="H283" t="s">
        <v>34</v>
      </c>
      <c r="I283" t="s">
        <v>53</v>
      </c>
      <c r="J283" t="str">
        <f t="shared" si="9"/>
        <v>SHIFT A</v>
      </c>
    </row>
    <row r="284" spans="1:10">
      <c r="A284">
        <v>390</v>
      </c>
      <c r="B284" t="s">
        <v>1779</v>
      </c>
      <c r="C284" t="s">
        <v>1780</v>
      </c>
      <c r="D284" t="s">
        <v>1064</v>
      </c>
      <c r="E284" t="s">
        <v>29</v>
      </c>
      <c r="F284" t="s">
        <v>30</v>
      </c>
      <c r="G284" t="str">
        <f t="shared" si="8"/>
        <v>DF</v>
      </c>
      <c r="H284" t="s">
        <v>34</v>
      </c>
      <c r="I284" t="s">
        <v>53</v>
      </c>
      <c r="J284" t="str">
        <f t="shared" si="9"/>
        <v>SHIFT A</v>
      </c>
    </row>
    <row r="285" spans="1:10">
      <c r="A285">
        <v>391</v>
      </c>
      <c r="B285" t="s">
        <v>1782</v>
      </c>
      <c r="C285" t="s">
        <v>1783</v>
      </c>
      <c r="D285" t="s">
        <v>1064</v>
      </c>
      <c r="E285" t="s">
        <v>29</v>
      </c>
      <c r="F285" t="s">
        <v>85</v>
      </c>
      <c r="G285" t="str">
        <f t="shared" si="8"/>
        <v>DRILL</v>
      </c>
      <c r="H285" t="s">
        <v>34</v>
      </c>
      <c r="I285" t="s">
        <v>53</v>
      </c>
      <c r="J285" t="str">
        <f t="shared" si="9"/>
        <v>SHIFT A</v>
      </c>
    </row>
    <row r="286" spans="1:10">
      <c r="A286">
        <v>392</v>
      </c>
      <c r="B286" t="s">
        <v>1784</v>
      </c>
      <c r="C286" t="s">
        <v>1785</v>
      </c>
      <c r="D286" t="s">
        <v>28</v>
      </c>
      <c r="E286" t="s">
        <v>29</v>
      </c>
      <c r="F286" t="s">
        <v>537</v>
      </c>
      <c r="G286" t="str">
        <f t="shared" si="8"/>
        <v>MLB</v>
      </c>
      <c r="H286" t="s">
        <v>34</v>
      </c>
      <c r="I286" t="s">
        <v>53</v>
      </c>
      <c r="J286" t="str">
        <f t="shared" si="9"/>
        <v>SHIFT A</v>
      </c>
    </row>
    <row r="287" spans="1:10">
      <c r="A287">
        <v>393</v>
      </c>
      <c r="B287" t="s">
        <v>1786</v>
      </c>
      <c r="C287" t="s">
        <v>1787</v>
      </c>
      <c r="D287" t="s">
        <v>1064</v>
      </c>
      <c r="E287" t="s">
        <v>29</v>
      </c>
      <c r="F287" t="s">
        <v>30</v>
      </c>
      <c r="G287" t="str">
        <f t="shared" si="8"/>
        <v>DF</v>
      </c>
      <c r="H287" t="s">
        <v>34</v>
      </c>
      <c r="I287" t="s">
        <v>89</v>
      </c>
      <c r="J287" t="str">
        <f t="shared" si="9"/>
        <v>SHIFT B</v>
      </c>
    </row>
    <row r="288" spans="1:10">
      <c r="A288">
        <v>394</v>
      </c>
      <c r="B288" t="s">
        <v>1788</v>
      </c>
      <c r="C288" t="s">
        <v>1789</v>
      </c>
      <c r="D288" t="s">
        <v>28</v>
      </c>
      <c r="E288" t="s">
        <v>29</v>
      </c>
      <c r="F288" t="s">
        <v>48</v>
      </c>
      <c r="G288" t="str">
        <f t="shared" si="8"/>
        <v>ROUTER</v>
      </c>
      <c r="H288" t="s">
        <v>34</v>
      </c>
      <c r="I288" t="s">
        <v>89</v>
      </c>
      <c r="J288" t="str">
        <f t="shared" si="9"/>
        <v>SHIFT B</v>
      </c>
    </row>
    <row r="289" spans="1:10">
      <c r="A289">
        <v>395</v>
      </c>
      <c r="B289" t="s">
        <v>1790</v>
      </c>
      <c r="C289" t="s">
        <v>1791</v>
      </c>
      <c r="D289" t="s">
        <v>1064</v>
      </c>
      <c r="E289" t="s">
        <v>29</v>
      </c>
      <c r="F289" t="s">
        <v>537</v>
      </c>
      <c r="G289" t="str">
        <f t="shared" si="8"/>
        <v>MLB</v>
      </c>
      <c r="H289" t="s">
        <v>34</v>
      </c>
      <c r="I289" t="s">
        <v>89</v>
      </c>
      <c r="J289" t="str">
        <f t="shared" si="9"/>
        <v>SHIFT B</v>
      </c>
    </row>
    <row r="290" spans="1:10">
      <c r="A290">
        <v>396</v>
      </c>
      <c r="B290" t="s">
        <v>1792</v>
      </c>
      <c r="C290" t="s">
        <v>1793</v>
      </c>
      <c r="D290" t="s">
        <v>1064</v>
      </c>
      <c r="E290" t="s">
        <v>29</v>
      </c>
      <c r="F290" t="s">
        <v>62</v>
      </c>
      <c r="G290" t="str">
        <f t="shared" si="8"/>
        <v>CU</v>
      </c>
      <c r="H290" t="s">
        <v>34</v>
      </c>
      <c r="I290" t="s">
        <v>53</v>
      </c>
      <c r="J290" t="str">
        <f t="shared" si="9"/>
        <v>SHIFT A</v>
      </c>
    </row>
    <row r="291" spans="1:10">
      <c r="A291">
        <v>397</v>
      </c>
      <c r="B291" t="s">
        <v>1795</v>
      </c>
      <c r="C291" t="s">
        <v>1796</v>
      </c>
      <c r="D291" t="s">
        <v>1064</v>
      </c>
      <c r="E291" t="s">
        <v>29</v>
      </c>
      <c r="F291" t="s">
        <v>537</v>
      </c>
      <c r="G291" t="str">
        <f t="shared" si="8"/>
        <v>MLB</v>
      </c>
      <c r="H291" t="s">
        <v>34</v>
      </c>
      <c r="I291" t="s">
        <v>146</v>
      </c>
      <c r="J291" t="str">
        <f t="shared" si="9"/>
        <v>SHIFT C</v>
      </c>
    </row>
    <row r="292" spans="1:10">
      <c r="A292">
        <v>398</v>
      </c>
      <c r="B292" t="s">
        <v>1797</v>
      </c>
      <c r="C292" t="s">
        <v>1798</v>
      </c>
      <c r="D292" t="s">
        <v>1064</v>
      </c>
      <c r="E292" t="s">
        <v>29</v>
      </c>
      <c r="F292" t="s">
        <v>537</v>
      </c>
      <c r="G292" t="str">
        <f t="shared" si="8"/>
        <v>MLB</v>
      </c>
      <c r="H292" t="s">
        <v>34</v>
      </c>
      <c r="I292" t="s">
        <v>89</v>
      </c>
      <c r="J292" t="str">
        <f t="shared" si="9"/>
        <v>SHIFT B</v>
      </c>
    </row>
    <row r="293" spans="1:10">
      <c r="A293">
        <v>399</v>
      </c>
      <c r="B293" t="s">
        <v>1799</v>
      </c>
      <c r="C293" t="s">
        <v>1800</v>
      </c>
      <c r="D293" t="s">
        <v>1064</v>
      </c>
      <c r="E293" t="s">
        <v>29</v>
      </c>
      <c r="F293" t="s">
        <v>62</v>
      </c>
      <c r="G293" t="str">
        <f t="shared" si="8"/>
        <v>CU</v>
      </c>
      <c r="H293" t="s">
        <v>34</v>
      </c>
      <c r="I293" t="s">
        <v>53</v>
      </c>
      <c r="J293" t="str">
        <f t="shared" si="9"/>
        <v>SHIFT A</v>
      </c>
    </row>
    <row r="294" spans="1:10">
      <c r="A294">
        <v>400</v>
      </c>
      <c r="B294" t="s">
        <v>1801</v>
      </c>
      <c r="C294" t="s">
        <v>1802</v>
      </c>
      <c r="D294" t="s">
        <v>28</v>
      </c>
      <c r="E294" t="s">
        <v>29</v>
      </c>
      <c r="F294" t="s">
        <v>79</v>
      </c>
      <c r="G294" t="str">
        <f t="shared" si="8"/>
        <v>SM</v>
      </c>
      <c r="H294" t="s">
        <v>34</v>
      </c>
      <c r="I294" t="s">
        <v>146</v>
      </c>
      <c r="J294" t="str">
        <f t="shared" si="9"/>
        <v>SHIFT C</v>
      </c>
    </row>
    <row r="295" spans="1:10">
      <c r="A295">
        <v>401</v>
      </c>
      <c r="B295" t="s">
        <v>1803</v>
      </c>
      <c r="C295" t="s">
        <v>1804</v>
      </c>
      <c r="D295" t="s">
        <v>28</v>
      </c>
      <c r="E295" t="s">
        <v>29</v>
      </c>
      <c r="F295" t="s">
        <v>79</v>
      </c>
      <c r="G295" t="str">
        <f t="shared" si="8"/>
        <v>SM</v>
      </c>
      <c r="H295" t="s">
        <v>34</v>
      </c>
      <c r="I295" t="s">
        <v>146</v>
      </c>
      <c r="J295" t="str">
        <f t="shared" si="9"/>
        <v>SHIFT C</v>
      </c>
    </row>
    <row r="296" spans="1:10">
      <c r="A296">
        <v>402</v>
      </c>
      <c r="B296" t="s">
        <v>1805</v>
      </c>
      <c r="C296" t="s">
        <v>1806</v>
      </c>
      <c r="D296" t="s">
        <v>1064</v>
      </c>
      <c r="E296" t="s">
        <v>29</v>
      </c>
      <c r="F296" t="s">
        <v>85</v>
      </c>
      <c r="G296" t="str">
        <f t="shared" si="8"/>
        <v>DRILL</v>
      </c>
      <c r="H296" t="s">
        <v>34</v>
      </c>
      <c r="I296" t="s">
        <v>146</v>
      </c>
      <c r="J296" t="str">
        <f t="shared" si="9"/>
        <v>SHIFT C</v>
      </c>
    </row>
    <row r="297" spans="1:10">
      <c r="A297">
        <v>403</v>
      </c>
      <c r="B297" t="s">
        <v>1807</v>
      </c>
      <c r="C297" t="s">
        <v>1808</v>
      </c>
      <c r="D297" t="s">
        <v>1064</v>
      </c>
      <c r="E297" t="s">
        <v>29</v>
      </c>
      <c r="F297" t="s">
        <v>62</v>
      </c>
      <c r="G297" t="str">
        <f t="shared" si="8"/>
        <v>CU</v>
      </c>
      <c r="H297" t="s">
        <v>34</v>
      </c>
      <c r="I297" t="s">
        <v>146</v>
      </c>
      <c r="J297" t="str">
        <f t="shared" si="9"/>
        <v>SHIFT C</v>
      </c>
    </row>
    <row r="298" spans="1:10">
      <c r="A298">
        <v>404</v>
      </c>
      <c r="B298" t="s">
        <v>1810</v>
      </c>
      <c r="C298" t="s">
        <v>1811</v>
      </c>
      <c r="D298" t="s">
        <v>28</v>
      </c>
      <c r="E298" t="s">
        <v>29</v>
      </c>
      <c r="F298" t="s">
        <v>79</v>
      </c>
      <c r="G298" t="str">
        <f t="shared" si="8"/>
        <v>SM</v>
      </c>
      <c r="H298" t="s">
        <v>34</v>
      </c>
      <c r="I298" t="s">
        <v>89</v>
      </c>
      <c r="J298" t="str">
        <f t="shared" si="9"/>
        <v>SHIFT B</v>
      </c>
    </row>
    <row r="299" spans="1:10">
      <c r="A299">
        <v>405</v>
      </c>
      <c r="B299" t="s">
        <v>1812</v>
      </c>
      <c r="C299" t="s">
        <v>1813</v>
      </c>
      <c r="D299" t="s">
        <v>1064</v>
      </c>
      <c r="E299" t="s">
        <v>29</v>
      </c>
      <c r="F299" t="s">
        <v>30</v>
      </c>
      <c r="G299" t="str">
        <f t="shared" si="8"/>
        <v>DF</v>
      </c>
      <c r="H299" t="s">
        <v>34</v>
      </c>
      <c r="I299" t="s">
        <v>89</v>
      </c>
      <c r="J299" t="str">
        <f t="shared" si="9"/>
        <v>SHIFT B</v>
      </c>
    </row>
    <row r="300" spans="1:10">
      <c r="A300">
        <v>406</v>
      </c>
      <c r="B300" t="s">
        <v>1814</v>
      </c>
      <c r="C300" t="s">
        <v>1815</v>
      </c>
      <c r="D300" t="s">
        <v>1064</v>
      </c>
      <c r="E300" t="s">
        <v>29</v>
      </c>
      <c r="F300" t="s">
        <v>62</v>
      </c>
      <c r="G300" t="str">
        <f t="shared" si="8"/>
        <v>CU</v>
      </c>
      <c r="H300" t="s">
        <v>34</v>
      </c>
      <c r="I300" t="s">
        <v>89</v>
      </c>
      <c r="J300" t="str">
        <f t="shared" si="9"/>
        <v>SHIFT B</v>
      </c>
    </row>
    <row r="301" spans="1:10">
      <c r="A301">
        <v>407</v>
      </c>
      <c r="B301" t="s">
        <v>1817</v>
      </c>
      <c r="C301" t="s">
        <v>1818</v>
      </c>
      <c r="D301" t="s">
        <v>1064</v>
      </c>
      <c r="E301" t="s">
        <v>29</v>
      </c>
      <c r="F301" t="s">
        <v>62</v>
      </c>
      <c r="G301" t="str">
        <f t="shared" si="8"/>
        <v>CU</v>
      </c>
      <c r="H301" t="s">
        <v>34</v>
      </c>
      <c r="I301" t="s">
        <v>53</v>
      </c>
      <c r="J301" t="str">
        <f t="shared" si="9"/>
        <v>SHIFT A</v>
      </c>
    </row>
    <row r="302" spans="1:10">
      <c r="A302">
        <v>408</v>
      </c>
      <c r="B302" t="s">
        <v>1819</v>
      </c>
      <c r="C302" t="s">
        <v>1820</v>
      </c>
      <c r="D302" t="s">
        <v>28</v>
      </c>
      <c r="E302" t="s">
        <v>29</v>
      </c>
      <c r="F302" t="s">
        <v>62</v>
      </c>
      <c r="G302" t="str">
        <f t="shared" si="8"/>
        <v>CU</v>
      </c>
      <c r="H302" t="s">
        <v>34</v>
      </c>
      <c r="I302" t="s">
        <v>76</v>
      </c>
      <c r="J302" t="str">
        <f t="shared" si="9"/>
        <v>SHIFT E</v>
      </c>
    </row>
    <row r="303" spans="1:10">
      <c r="A303">
        <v>409</v>
      </c>
      <c r="B303" t="s">
        <v>1821</v>
      </c>
      <c r="C303" t="s">
        <v>1822</v>
      </c>
      <c r="D303" t="s">
        <v>28</v>
      </c>
      <c r="E303" t="s">
        <v>29</v>
      </c>
      <c r="F303" t="s">
        <v>79</v>
      </c>
      <c r="G303" t="str">
        <f t="shared" si="8"/>
        <v>SM</v>
      </c>
      <c r="H303" t="s">
        <v>34</v>
      </c>
      <c r="I303" t="s">
        <v>53</v>
      </c>
      <c r="J303" t="str">
        <f t="shared" si="9"/>
        <v>SHIFT A</v>
      </c>
    </row>
    <row r="304" spans="1:10">
      <c r="A304">
        <v>410</v>
      </c>
      <c r="B304" t="s">
        <v>1823</v>
      </c>
      <c r="C304" t="s">
        <v>1824</v>
      </c>
      <c r="D304" t="s">
        <v>1064</v>
      </c>
      <c r="E304" t="s">
        <v>29</v>
      </c>
      <c r="F304" t="s">
        <v>62</v>
      </c>
      <c r="G304" t="str">
        <f t="shared" si="8"/>
        <v>CU</v>
      </c>
      <c r="H304" t="s">
        <v>34</v>
      </c>
      <c r="I304" t="s">
        <v>146</v>
      </c>
      <c r="J304" t="str">
        <f t="shared" si="9"/>
        <v>SHIFT C</v>
      </c>
    </row>
    <row r="305" spans="1:10">
      <c r="A305">
        <v>411</v>
      </c>
      <c r="B305" t="s">
        <v>1825</v>
      </c>
      <c r="C305" t="s">
        <v>1826</v>
      </c>
      <c r="D305" t="s">
        <v>28</v>
      </c>
      <c r="E305" t="s">
        <v>29</v>
      </c>
      <c r="F305" t="s">
        <v>48</v>
      </c>
      <c r="G305" t="str">
        <f t="shared" si="8"/>
        <v>ROUTER</v>
      </c>
      <c r="H305" t="s">
        <v>34</v>
      </c>
      <c r="I305" t="s">
        <v>53</v>
      </c>
      <c r="J305" t="str">
        <f t="shared" si="9"/>
        <v>SHIFT A</v>
      </c>
    </row>
    <row r="306" spans="1:10">
      <c r="A306">
        <v>412</v>
      </c>
      <c r="B306" t="s">
        <v>1827</v>
      </c>
      <c r="C306" t="s">
        <v>1828</v>
      </c>
      <c r="D306" t="s">
        <v>28</v>
      </c>
      <c r="E306" t="s">
        <v>29</v>
      </c>
      <c r="F306" t="s">
        <v>62</v>
      </c>
      <c r="G306" t="str">
        <f t="shared" si="8"/>
        <v>CU</v>
      </c>
      <c r="H306" t="s">
        <v>34</v>
      </c>
      <c r="I306" t="s">
        <v>40</v>
      </c>
      <c r="J306" t="str">
        <f t="shared" si="9"/>
        <v>SHIFT E</v>
      </c>
    </row>
    <row r="307" spans="1:10">
      <c r="A307">
        <v>413</v>
      </c>
      <c r="B307" t="s">
        <v>1829</v>
      </c>
      <c r="C307" t="s">
        <v>1830</v>
      </c>
      <c r="D307" t="s">
        <v>28</v>
      </c>
      <c r="E307" t="s">
        <v>29</v>
      </c>
      <c r="F307" t="s">
        <v>1058</v>
      </c>
      <c r="G307" t="str">
        <f t="shared" si="8"/>
        <v>LASER</v>
      </c>
      <c r="H307" t="s">
        <v>34</v>
      </c>
      <c r="I307" t="s">
        <v>53</v>
      </c>
      <c r="J307" t="str">
        <f t="shared" si="9"/>
        <v>SHIFT A</v>
      </c>
    </row>
    <row r="308" spans="1:10">
      <c r="A308">
        <v>414</v>
      </c>
      <c r="B308" t="s">
        <v>1831</v>
      </c>
      <c r="C308" t="s">
        <v>1832</v>
      </c>
      <c r="D308" t="s">
        <v>28</v>
      </c>
      <c r="E308" t="s">
        <v>29</v>
      </c>
      <c r="F308" t="s">
        <v>79</v>
      </c>
      <c r="G308" t="str">
        <f t="shared" si="8"/>
        <v>SM</v>
      </c>
      <c r="H308" t="s">
        <v>34</v>
      </c>
      <c r="I308" t="s">
        <v>53</v>
      </c>
      <c r="J308" t="str">
        <f t="shared" si="9"/>
        <v>SHIFT A</v>
      </c>
    </row>
    <row r="309" spans="1:10">
      <c r="A309">
        <v>415</v>
      </c>
      <c r="B309" t="s">
        <v>1833</v>
      </c>
      <c r="C309" t="s">
        <v>1834</v>
      </c>
      <c r="D309" t="s">
        <v>28</v>
      </c>
      <c r="E309" t="s">
        <v>29</v>
      </c>
      <c r="F309" t="s">
        <v>79</v>
      </c>
      <c r="G309" t="str">
        <f t="shared" si="8"/>
        <v>SM</v>
      </c>
      <c r="H309" t="s">
        <v>34</v>
      </c>
      <c r="I309" t="s">
        <v>76</v>
      </c>
      <c r="J309" t="str">
        <f t="shared" si="9"/>
        <v>SHIFT E</v>
      </c>
    </row>
    <row r="310" spans="1:10">
      <c r="A310">
        <v>416</v>
      </c>
      <c r="B310" t="s">
        <v>1835</v>
      </c>
      <c r="C310" t="s">
        <v>1836</v>
      </c>
      <c r="D310" t="s">
        <v>1064</v>
      </c>
      <c r="E310" t="s">
        <v>29</v>
      </c>
      <c r="F310" t="s">
        <v>537</v>
      </c>
      <c r="G310" t="str">
        <f t="shared" si="8"/>
        <v>MLB</v>
      </c>
      <c r="H310" t="s">
        <v>34</v>
      </c>
      <c r="I310" t="s">
        <v>146</v>
      </c>
      <c r="J310" t="str">
        <f t="shared" si="9"/>
        <v>SHIFT C</v>
      </c>
    </row>
    <row r="311" spans="1:10">
      <c r="A311">
        <v>417</v>
      </c>
      <c r="B311" t="s">
        <v>1837</v>
      </c>
      <c r="C311" t="s">
        <v>1838</v>
      </c>
      <c r="D311" t="s">
        <v>28</v>
      </c>
      <c r="E311" t="s">
        <v>29</v>
      </c>
      <c r="F311" t="s">
        <v>79</v>
      </c>
      <c r="G311" t="str">
        <f t="shared" si="8"/>
        <v>SM</v>
      </c>
      <c r="H311" t="s">
        <v>34</v>
      </c>
      <c r="I311" t="s">
        <v>89</v>
      </c>
      <c r="J311" t="str">
        <f t="shared" si="9"/>
        <v>SHIFT B</v>
      </c>
    </row>
    <row r="312" spans="1:10">
      <c r="A312">
        <v>418</v>
      </c>
      <c r="B312" t="s">
        <v>1839</v>
      </c>
      <c r="C312" t="s">
        <v>1840</v>
      </c>
      <c r="D312" t="s">
        <v>1064</v>
      </c>
      <c r="E312" t="s">
        <v>29</v>
      </c>
      <c r="F312" t="s">
        <v>537</v>
      </c>
      <c r="G312" t="str">
        <f t="shared" si="8"/>
        <v>MLB</v>
      </c>
      <c r="H312" t="s">
        <v>34</v>
      </c>
      <c r="I312" t="s">
        <v>89</v>
      </c>
      <c r="J312" t="str">
        <f t="shared" si="9"/>
        <v>SHIFT B</v>
      </c>
    </row>
    <row r="313" spans="1:10">
      <c r="A313">
        <v>419</v>
      </c>
      <c r="B313" t="s">
        <v>1841</v>
      </c>
      <c r="C313" t="s">
        <v>1842</v>
      </c>
      <c r="D313" t="s">
        <v>28</v>
      </c>
      <c r="E313" t="s">
        <v>29</v>
      </c>
      <c r="F313" t="s">
        <v>30</v>
      </c>
      <c r="G313" t="str">
        <f t="shared" si="8"/>
        <v>DF</v>
      </c>
      <c r="H313" t="s">
        <v>34</v>
      </c>
      <c r="I313" t="s">
        <v>146</v>
      </c>
      <c r="J313" t="str">
        <f t="shared" si="9"/>
        <v>SHIFT C</v>
      </c>
    </row>
    <row r="314" spans="1:10">
      <c r="A314">
        <v>420</v>
      </c>
      <c r="B314" t="s">
        <v>1843</v>
      </c>
      <c r="C314" t="s">
        <v>1844</v>
      </c>
      <c r="D314" t="s">
        <v>1064</v>
      </c>
      <c r="E314" t="s">
        <v>29</v>
      </c>
      <c r="F314" t="s">
        <v>30</v>
      </c>
      <c r="G314" t="str">
        <f t="shared" si="8"/>
        <v>DF</v>
      </c>
      <c r="H314" t="s">
        <v>34</v>
      </c>
      <c r="I314" t="s">
        <v>89</v>
      </c>
      <c r="J314" t="str">
        <f t="shared" si="9"/>
        <v>SHIFT B</v>
      </c>
    </row>
    <row r="315" spans="1:10">
      <c r="A315">
        <v>421</v>
      </c>
      <c r="B315" t="s">
        <v>1845</v>
      </c>
      <c r="C315" t="s">
        <v>1846</v>
      </c>
      <c r="D315" t="s">
        <v>1064</v>
      </c>
      <c r="E315" t="s">
        <v>29</v>
      </c>
      <c r="F315" t="s">
        <v>537</v>
      </c>
      <c r="G315" t="str">
        <f t="shared" si="8"/>
        <v>MLB</v>
      </c>
      <c r="H315" t="s">
        <v>34</v>
      </c>
      <c r="I315" t="s">
        <v>53</v>
      </c>
      <c r="J315" t="str">
        <f t="shared" si="9"/>
        <v>SHIFT A</v>
      </c>
    </row>
    <row r="316" spans="1:10">
      <c r="A316">
        <v>422</v>
      </c>
      <c r="B316" t="s">
        <v>1847</v>
      </c>
      <c r="C316" t="s">
        <v>1848</v>
      </c>
      <c r="D316" t="s">
        <v>1064</v>
      </c>
      <c r="E316" t="s">
        <v>29</v>
      </c>
      <c r="F316" t="s">
        <v>62</v>
      </c>
      <c r="G316" t="str">
        <f t="shared" si="8"/>
        <v>CU</v>
      </c>
      <c r="H316" t="s">
        <v>34</v>
      </c>
      <c r="I316" t="s">
        <v>89</v>
      </c>
      <c r="J316" t="str">
        <f t="shared" si="9"/>
        <v>SHIFT B</v>
      </c>
    </row>
    <row r="317" spans="1:10">
      <c r="A317">
        <v>423</v>
      </c>
      <c r="B317" t="s">
        <v>1849</v>
      </c>
      <c r="C317" t="s">
        <v>1850</v>
      </c>
      <c r="D317" t="s">
        <v>28</v>
      </c>
      <c r="E317" t="s">
        <v>29</v>
      </c>
      <c r="F317" t="s">
        <v>85</v>
      </c>
      <c r="G317" t="str">
        <f t="shared" si="8"/>
        <v>DRILL</v>
      </c>
      <c r="H317" t="s">
        <v>34</v>
      </c>
      <c r="I317" t="s">
        <v>53</v>
      </c>
      <c r="J317" t="str">
        <f t="shared" si="9"/>
        <v>SHIFT A</v>
      </c>
    </row>
    <row r="318" spans="1:10">
      <c r="A318">
        <v>424</v>
      </c>
      <c r="B318" t="s">
        <v>1851</v>
      </c>
      <c r="C318" t="s">
        <v>1852</v>
      </c>
      <c r="D318" t="s">
        <v>1064</v>
      </c>
      <c r="E318" t="s">
        <v>608</v>
      </c>
      <c r="F318" t="s">
        <v>609</v>
      </c>
      <c r="G318" t="str">
        <f t="shared" si="8"/>
        <v>NPI</v>
      </c>
      <c r="H318" t="s">
        <v>34</v>
      </c>
      <c r="I318" t="s">
        <v>146</v>
      </c>
      <c r="J318" t="str">
        <f t="shared" si="9"/>
        <v>SHIFT C</v>
      </c>
    </row>
    <row r="319" spans="1:10">
      <c r="A319">
        <v>425</v>
      </c>
      <c r="B319" t="s">
        <v>1853</v>
      </c>
      <c r="C319" t="s">
        <v>1854</v>
      </c>
      <c r="D319" t="s">
        <v>28</v>
      </c>
      <c r="E319" t="s">
        <v>29</v>
      </c>
      <c r="F319" t="s">
        <v>48</v>
      </c>
      <c r="G319" t="str">
        <f t="shared" si="8"/>
        <v>ROUTER</v>
      </c>
      <c r="H319" t="s">
        <v>34</v>
      </c>
      <c r="I319" t="s">
        <v>89</v>
      </c>
      <c r="J319" t="str">
        <f t="shared" si="9"/>
        <v>SHIFT B</v>
      </c>
    </row>
    <row r="320" spans="1:10">
      <c r="A320">
        <v>426</v>
      </c>
      <c r="B320" t="s">
        <v>1855</v>
      </c>
      <c r="C320" t="s">
        <v>1856</v>
      </c>
      <c r="D320" t="s">
        <v>1064</v>
      </c>
      <c r="E320" t="s">
        <v>29</v>
      </c>
      <c r="F320" t="s">
        <v>85</v>
      </c>
      <c r="G320" t="str">
        <f t="shared" si="8"/>
        <v>DRILL</v>
      </c>
      <c r="H320" t="s">
        <v>34</v>
      </c>
      <c r="I320" t="s">
        <v>89</v>
      </c>
      <c r="J320" t="str">
        <f t="shared" si="9"/>
        <v>SHIFT B</v>
      </c>
    </row>
    <row r="321" spans="1:10">
      <c r="A321">
        <v>427</v>
      </c>
      <c r="B321" t="s">
        <v>1857</v>
      </c>
      <c r="C321" t="s">
        <v>1858</v>
      </c>
      <c r="D321" t="s">
        <v>1064</v>
      </c>
      <c r="E321" t="s">
        <v>29</v>
      </c>
      <c r="F321" t="s">
        <v>43</v>
      </c>
      <c r="G321" t="str">
        <f t="shared" si="8"/>
        <v>AU</v>
      </c>
      <c r="H321" t="s">
        <v>34</v>
      </c>
      <c r="I321" t="s">
        <v>53</v>
      </c>
      <c r="J321" t="str">
        <f t="shared" si="9"/>
        <v>SHIFT A</v>
      </c>
    </row>
    <row r="322" spans="1:10">
      <c r="A322">
        <v>428</v>
      </c>
      <c r="B322" t="s">
        <v>1859</v>
      </c>
      <c r="C322" t="s">
        <v>1860</v>
      </c>
      <c r="D322" t="s">
        <v>1064</v>
      </c>
      <c r="E322" t="s">
        <v>29</v>
      </c>
      <c r="F322" t="s">
        <v>85</v>
      </c>
      <c r="G322" t="str">
        <f t="shared" si="8"/>
        <v>DRILL</v>
      </c>
      <c r="H322" t="s">
        <v>34</v>
      </c>
      <c r="I322" t="s">
        <v>89</v>
      </c>
      <c r="J322" t="str">
        <f t="shared" si="9"/>
        <v>SHIFT B</v>
      </c>
    </row>
    <row r="323" spans="1:10">
      <c r="A323">
        <v>429</v>
      </c>
      <c r="B323" t="s">
        <v>1861</v>
      </c>
      <c r="C323" t="s">
        <v>1862</v>
      </c>
      <c r="D323" t="s">
        <v>1064</v>
      </c>
      <c r="E323" t="s">
        <v>29</v>
      </c>
      <c r="F323" t="s">
        <v>85</v>
      </c>
      <c r="G323" t="str">
        <f t="shared" si="8"/>
        <v>DRILL</v>
      </c>
      <c r="H323" t="s">
        <v>34</v>
      </c>
      <c r="I323" t="s">
        <v>146</v>
      </c>
      <c r="J323" t="str">
        <f t="shared" si="9"/>
        <v>SHIFT C</v>
      </c>
    </row>
    <row r="324" spans="1:10">
      <c r="A324">
        <v>430</v>
      </c>
      <c r="B324" t="s">
        <v>1863</v>
      </c>
      <c r="C324" t="s">
        <v>1864</v>
      </c>
      <c r="D324" t="s">
        <v>28</v>
      </c>
      <c r="E324" t="s">
        <v>29</v>
      </c>
      <c r="F324" t="s">
        <v>30</v>
      </c>
      <c r="G324" t="str">
        <f t="shared" ref="G324:G387" si="10">IF(OR(ISNUMBER(SEARCH("P1",F324)),ISNUMBER(SEARCH("P2",F324)),ISNUMBER(SEARCH("P3",F324)),ISNUMBER(SEARCH("P4",F324)),ISNUMBER(SEARCH("P5",F324))),"EQUIPMENT",
IF(ISNUMBER(SEARCH("Warehouse",F324)),"WAREHOUSE",
IF(ISNUMBER(SEARCH("WWTP",F324)),"ENVIRONMENT",
IF(OR(ISNUMBER(SEARCH("QC",F324)),ISNUMBER(SEARCH("RELIABILITY",F324)),ISNUMBER(SEARCH("OQA",F324)),ISNUMBER(SEARCH("CHEMICAL",F324))),"QUALITY",
IF(OR(ISNUMBER(SEARCH("OPERATION",F324)),ISNUMBER(SEARCH("PSM",F324))),"HS",
IF(ISNUMBER(SEARCH("FVI",F324)),"FVI",
IF(OR(ISNUMBER(SEARCH("ELECTRICITY",F324)),ISNUMBER(SEARCH("FACILITIES",F324)),ISNUMBER(SEARCH("MECHANICAL",F324))),"FACILITY",F324)))))))</f>
        <v>DF</v>
      </c>
      <c r="H324" t="s">
        <v>34</v>
      </c>
      <c r="I324" t="s">
        <v>40</v>
      </c>
      <c r="J324" t="str">
        <f t="shared" ref="J324:J387" si="11">IF(ISNUMBER(SEARCH("GROUP C",I324)),"SHIFT C",
IF(ISNUMBER(SEARCH("GROUP A",I324)),"SHIFT A",
IF(ISNUMBER(SEARCH("GROUP O",I324)),"SHIFT O",
IF(ISNUMBER(SEARCH("GROUP B",I324)),"SHIFT B",
IF(ISNUMBER(SEARCH("GROUP E",I324)),"SHIFT E","")))))</f>
        <v>SHIFT E</v>
      </c>
    </row>
    <row r="325" spans="1:10">
      <c r="A325">
        <v>431</v>
      </c>
      <c r="B325" t="s">
        <v>1865</v>
      </c>
      <c r="C325" t="s">
        <v>1866</v>
      </c>
      <c r="D325" t="s">
        <v>28</v>
      </c>
      <c r="E325" t="s">
        <v>29</v>
      </c>
      <c r="F325" t="s">
        <v>48</v>
      </c>
      <c r="G325" t="str">
        <f t="shared" si="10"/>
        <v>ROUTER</v>
      </c>
      <c r="H325" t="s">
        <v>34</v>
      </c>
      <c r="I325" t="s">
        <v>146</v>
      </c>
      <c r="J325" t="str">
        <f t="shared" si="11"/>
        <v>SHIFT C</v>
      </c>
    </row>
    <row r="326" spans="1:10">
      <c r="A326">
        <v>432</v>
      </c>
      <c r="B326" t="s">
        <v>1867</v>
      </c>
      <c r="C326" t="s">
        <v>1868</v>
      </c>
      <c r="D326" t="s">
        <v>1064</v>
      </c>
      <c r="E326" t="s">
        <v>29</v>
      </c>
      <c r="F326" t="s">
        <v>43</v>
      </c>
      <c r="G326" t="str">
        <f t="shared" si="10"/>
        <v>AU</v>
      </c>
      <c r="H326" t="s">
        <v>34</v>
      </c>
      <c r="I326" t="s">
        <v>89</v>
      </c>
      <c r="J326" t="str">
        <f t="shared" si="11"/>
        <v>SHIFT B</v>
      </c>
    </row>
    <row r="327" spans="1:10">
      <c r="A327">
        <v>433</v>
      </c>
      <c r="B327" t="s">
        <v>1869</v>
      </c>
      <c r="C327" t="s">
        <v>1870</v>
      </c>
      <c r="D327" t="s">
        <v>1064</v>
      </c>
      <c r="E327" t="s">
        <v>29</v>
      </c>
      <c r="F327" t="s">
        <v>1216</v>
      </c>
      <c r="G327" t="str">
        <f t="shared" si="10"/>
        <v>FVI</v>
      </c>
      <c r="H327" t="s">
        <v>34</v>
      </c>
      <c r="I327" t="s">
        <v>146</v>
      </c>
      <c r="J327" t="str">
        <f t="shared" si="11"/>
        <v>SHIFT C</v>
      </c>
    </row>
    <row r="328" spans="1:10">
      <c r="A328">
        <v>434</v>
      </c>
      <c r="B328" t="s">
        <v>1871</v>
      </c>
      <c r="C328" t="s">
        <v>1789</v>
      </c>
      <c r="D328" t="s">
        <v>28</v>
      </c>
      <c r="E328" t="s">
        <v>29</v>
      </c>
      <c r="F328" t="s">
        <v>85</v>
      </c>
      <c r="G328" t="str">
        <f t="shared" si="10"/>
        <v>DRILL</v>
      </c>
      <c r="H328" t="s">
        <v>34</v>
      </c>
      <c r="I328" t="s">
        <v>53</v>
      </c>
      <c r="J328" t="str">
        <f t="shared" si="11"/>
        <v>SHIFT A</v>
      </c>
    </row>
    <row r="329" spans="1:10">
      <c r="A329">
        <v>436</v>
      </c>
      <c r="B329" t="s">
        <v>1876</v>
      </c>
      <c r="C329" t="s">
        <v>1877</v>
      </c>
      <c r="D329" t="s">
        <v>762</v>
      </c>
      <c r="E329" t="s">
        <v>706</v>
      </c>
      <c r="F329" t="s">
        <v>707</v>
      </c>
      <c r="G329" t="str">
        <f t="shared" si="10"/>
        <v>FACILITY</v>
      </c>
      <c r="H329" t="s">
        <v>34</v>
      </c>
      <c r="I329" t="s">
        <v>89</v>
      </c>
      <c r="J329" t="str">
        <f t="shared" si="11"/>
        <v>SHIFT B</v>
      </c>
    </row>
    <row r="330" spans="1:10">
      <c r="A330">
        <v>440</v>
      </c>
      <c r="B330" t="s">
        <v>1896</v>
      </c>
      <c r="C330" t="s">
        <v>1897</v>
      </c>
      <c r="D330" t="s">
        <v>1064</v>
      </c>
      <c r="E330" t="s">
        <v>29</v>
      </c>
      <c r="F330" t="s">
        <v>680</v>
      </c>
      <c r="G330" t="str">
        <f t="shared" si="10"/>
        <v>CHAMFER</v>
      </c>
      <c r="H330" t="s">
        <v>106</v>
      </c>
      <c r="I330" t="s">
        <v>146</v>
      </c>
      <c r="J330" t="str">
        <f t="shared" si="11"/>
        <v>SHIFT C</v>
      </c>
    </row>
    <row r="331" spans="1:10">
      <c r="A331">
        <v>441</v>
      </c>
      <c r="B331" t="s">
        <v>1900</v>
      </c>
      <c r="C331" t="s">
        <v>1901</v>
      </c>
      <c r="D331" t="s">
        <v>1064</v>
      </c>
      <c r="E331" t="s">
        <v>29</v>
      </c>
      <c r="F331" t="s">
        <v>1216</v>
      </c>
      <c r="G331" t="str">
        <f t="shared" si="10"/>
        <v>FVI</v>
      </c>
      <c r="H331" t="s">
        <v>106</v>
      </c>
      <c r="I331" t="s">
        <v>53</v>
      </c>
      <c r="J331" t="str">
        <f t="shared" si="11"/>
        <v>SHIFT A</v>
      </c>
    </row>
    <row r="332" spans="1:10">
      <c r="A332">
        <v>442</v>
      </c>
      <c r="B332" t="s">
        <v>1902</v>
      </c>
      <c r="C332" t="s">
        <v>1903</v>
      </c>
      <c r="D332" t="s">
        <v>1064</v>
      </c>
      <c r="E332" t="s">
        <v>29</v>
      </c>
      <c r="F332" t="s">
        <v>680</v>
      </c>
      <c r="G332" t="str">
        <f t="shared" si="10"/>
        <v>CHAMFER</v>
      </c>
      <c r="H332" t="s">
        <v>106</v>
      </c>
      <c r="I332" t="s">
        <v>89</v>
      </c>
      <c r="J332" t="str">
        <f t="shared" si="11"/>
        <v>SHIFT B</v>
      </c>
    </row>
    <row r="333" spans="1:10">
      <c r="A333">
        <v>443</v>
      </c>
      <c r="B333" t="s">
        <v>1904</v>
      </c>
      <c r="C333" t="s">
        <v>1905</v>
      </c>
      <c r="D333" t="s">
        <v>1064</v>
      </c>
      <c r="E333" t="s">
        <v>29</v>
      </c>
      <c r="F333" t="s">
        <v>1216</v>
      </c>
      <c r="G333" t="str">
        <f t="shared" si="10"/>
        <v>FVI</v>
      </c>
      <c r="H333" t="s">
        <v>106</v>
      </c>
      <c r="I333" t="s">
        <v>89</v>
      </c>
      <c r="J333" t="str">
        <f t="shared" si="11"/>
        <v>SHIFT B</v>
      </c>
    </row>
    <row r="334" spans="1:10">
      <c r="A334">
        <v>444</v>
      </c>
      <c r="B334" t="s">
        <v>1906</v>
      </c>
      <c r="C334" t="s">
        <v>1907</v>
      </c>
      <c r="D334" t="s">
        <v>1064</v>
      </c>
      <c r="E334" t="s">
        <v>29</v>
      </c>
      <c r="F334" t="s">
        <v>537</v>
      </c>
      <c r="G334" t="str">
        <f t="shared" si="10"/>
        <v>MLB</v>
      </c>
      <c r="H334" t="s">
        <v>106</v>
      </c>
      <c r="I334" t="s">
        <v>53</v>
      </c>
      <c r="J334" t="str">
        <f t="shared" si="11"/>
        <v>SHIFT A</v>
      </c>
    </row>
    <row r="335" spans="1:10">
      <c r="A335">
        <v>445</v>
      </c>
      <c r="B335" t="s">
        <v>1908</v>
      </c>
      <c r="C335" t="s">
        <v>1909</v>
      </c>
      <c r="D335" t="s">
        <v>1064</v>
      </c>
      <c r="E335" t="s">
        <v>29</v>
      </c>
      <c r="F335" t="s">
        <v>1216</v>
      </c>
      <c r="G335" t="str">
        <f t="shared" si="10"/>
        <v>FVI</v>
      </c>
      <c r="H335" t="s">
        <v>106</v>
      </c>
      <c r="I335" t="s">
        <v>53</v>
      </c>
      <c r="J335" t="str">
        <f t="shared" si="11"/>
        <v>SHIFT A</v>
      </c>
    </row>
    <row r="336" spans="1:10">
      <c r="A336">
        <v>446</v>
      </c>
      <c r="B336" t="s">
        <v>1910</v>
      </c>
      <c r="C336" t="s">
        <v>1911</v>
      </c>
      <c r="D336" t="s">
        <v>1064</v>
      </c>
      <c r="E336" t="s">
        <v>29</v>
      </c>
      <c r="F336" t="s">
        <v>1216</v>
      </c>
      <c r="G336" t="str">
        <f t="shared" si="10"/>
        <v>FVI</v>
      </c>
      <c r="H336" t="s">
        <v>106</v>
      </c>
      <c r="I336" t="s">
        <v>53</v>
      </c>
      <c r="J336" t="str">
        <f t="shared" si="11"/>
        <v>SHIFT A</v>
      </c>
    </row>
    <row r="337" spans="1:10">
      <c r="A337">
        <v>447</v>
      </c>
      <c r="B337" t="s">
        <v>1912</v>
      </c>
      <c r="C337" t="s">
        <v>1913</v>
      </c>
      <c r="D337" t="s">
        <v>1064</v>
      </c>
      <c r="E337" t="s">
        <v>29</v>
      </c>
      <c r="F337" t="s">
        <v>56</v>
      </c>
      <c r="G337" t="str">
        <f t="shared" si="10"/>
        <v>AOI</v>
      </c>
      <c r="H337" t="s">
        <v>106</v>
      </c>
      <c r="I337" t="s">
        <v>53</v>
      </c>
      <c r="J337" t="str">
        <f t="shared" si="11"/>
        <v>SHIFT A</v>
      </c>
    </row>
    <row r="338" spans="1:10">
      <c r="A338">
        <v>448</v>
      </c>
      <c r="B338" t="s">
        <v>1914</v>
      </c>
      <c r="C338" t="s">
        <v>1915</v>
      </c>
      <c r="D338" t="s">
        <v>28</v>
      </c>
      <c r="E338" t="s">
        <v>29</v>
      </c>
      <c r="F338" t="s">
        <v>1216</v>
      </c>
      <c r="G338" t="str">
        <f t="shared" si="10"/>
        <v>FVI</v>
      </c>
      <c r="H338" t="s">
        <v>106</v>
      </c>
      <c r="I338" t="s">
        <v>53</v>
      </c>
      <c r="J338" t="str">
        <f t="shared" si="11"/>
        <v>SHIFT A</v>
      </c>
    </row>
    <row r="339" spans="1:10">
      <c r="A339">
        <v>449</v>
      </c>
      <c r="B339" t="s">
        <v>1916</v>
      </c>
      <c r="C339" t="s">
        <v>1917</v>
      </c>
      <c r="D339" t="s">
        <v>1064</v>
      </c>
      <c r="E339" t="s">
        <v>29</v>
      </c>
      <c r="F339" t="s">
        <v>1216</v>
      </c>
      <c r="G339" t="str">
        <f t="shared" si="10"/>
        <v>FVI</v>
      </c>
      <c r="H339" t="s">
        <v>106</v>
      </c>
      <c r="I339" t="s">
        <v>53</v>
      </c>
      <c r="J339" t="str">
        <f t="shared" si="11"/>
        <v>SHIFT A</v>
      </c>
    </row>
    <row r="340" spans="1:10">
      <c r="A340">
        <v>450</v>
      </c>
      <c r="B340" t="s">
        <v>1918</v>
      </c>
      <c r="C340" t="s">
        <v>1919</v>
      </c>
      <c r="D340" t="s">
        <v>1064</v>
      </c>
      <c r="E340" t="s">
        <v>29</v>
      </c>
      <c r="F340" t="s">
        <v>1216</v>
      </c>
      <c r="G340" t="str">
        <f t="shared" si="10"/>
        <v>FVI</v>
      </c>
      <c r="H340" t="s">
        <v>106</v>
      </c>
      <c r="I340" t="s">
        <v>89</v>
      </c>
      <c r="J340" t="str">
        <f t="shared" si="11"/>
        <v>SHIFT B</v>
      </c>
    </row>
    <row r="341" spans="1:10">
      <c r="A341">
        <v>451</v>
      </c>
      <c r="B341" t="s">
        <v>1920</v>
      </c>
      <c r="C341" t="s">
        <v>1921</v>
      </c>
      <c r="D341" t="s">
        <v>28</v>
      </c>
      <c r="E341" t="s">
        <v>29</v>
      </c>
      <c r="F341" t="s">
        <v>79</v>
      </c>
      <c r="G341" t="str">
        <f t="shared" si="10"/>
        <v>SM</v>
      </c>
      <c r="H341" t="s">
        <v>106</v>
      </c>
      <c r="I341" t="s">
        <v>146</v>
      </c>
      <c r="J341" t="str">
        <f t="shared" si="11"/>
        <v>SHIFT C</v>
      </c>
    </row>
    <row r="342" spans="1:10">
      <c r="A342">
        <v>452</v>
      </c>
      <c r="B342" t="s">
        <v>1922</v>
      </c>
      <c r="C342" t="s">
        <v>1923</v>
      </c>
      <c r="D342" t="s">
        <v>1064</v>
      </c>
      <c r="E342" t="s">
        <v>29</v>
      </c>
      <c r="F342" t="s">
        <v>1216</v>
      </c>
      <c r="G342" t="str">
        <f t="shared" si="10"/>
        <v>FVI</v>
      </c>
      <c r="H342" t="s">
        <v>106</v>
      </c>
      <c r="I342" t="s">
        <v>89</v>
      </c>
      <c r="J342" t="str">
        <f t="shared" si="11"/>
        <v>SHIFT B</v>
      </c>
    </row>
    <row r="343" spans="1:10">
      <c r="A343">
        <v>453</v>
      </c>
      <c r="B343" t="s">
        <v>1924</v>
      </c>
      <c r="C343" t="s">
        <v>1925</v>
      </c>
      <c r="D343" t="s">
        <v>1064</v>
      </c>
      <c r="E343" t="s">
        <v>29</v>
      </c>
      <c r="F343" t="s">
        <v>537</v>
      </c>
      <c r="G343" t="str">
        <f t="shared" si="10"/>
        <v>MLB</v>
      </c>
      <c r="H343" t="s">
        <v>106</v>
      </c>
      <c r="I343" t="s">
        <v>146</v>
      </c>
      <c r="J343" t="str">
        <f t="shared" si="11"/>
        <v>SHIFT C</v>
      </c>
    </row>
    <row r="344" spans="1:10">
      <c r="A344">
        <v>454</v>
      </c>
      <c r="B344" t="s">
        <v>1926</v>
      </c>
      <c r="C344" t="s">
        <v>1927</v>
      </c>
      <c r="D344" t="s">
        <v>1064</v>
      </c>
      <c r="E344" t="s">
        <v>29</v>
      </c>
      <c r="F344" t="s">
        <v>85</v>
      </c>
      <c r="G344" t="str">
        <f t="shared" si="10"/>
        <v>DRILL</v>
      </c>
      <c r="H344" t="s">
        <v>106</v>
      </c>
      <c r="I344" t="s">
        <v>89</v>
      </c>
      <c r="J344" t="str">
        <f t="shared" si="11"/>
        <v>SHIFT B</v>
      </c>
    </row>
    <row r="345" spans="1:10">
      <c r="A345">
        <v>455</v>
      </c>
      <c r="B345" t="s">
        <v>1928</v>
      </c>
      <c r="C345" t="s">
        <v>1929</v>
      </c>
      <c r="D345" t="s">
        <v>1064</v>
      </c>
      <c r="E345" t="s">
        <v>29</v>
      </c>
      <c r="F345" t="s">
        <v>56</v>
      </c>
      <c r="G345" t="str">
        <f t="shared" si="10"/>
        <v>AOI</v>
      </c>
      <c r="H345" t="s">
        <v>106</v>
      </c>
      <c r="I345" t="s">
        <v>89</v>
      </c>
      <c r="J345" t="str">
        <f t="shared" si="11"/>
        <v>SHIFT B</v>
      </c>
    </row>
    <row r="346" spans="1:10">
      <c r="A346">
        <v>456</v>
      </c>
      <c r="B346" t="s">
        <v>1930</v>
      </c>
      <c r="C346" t="s">
        <v>1931</v>
      </c>
      <c r="D346" t="s">
        <v>28</v>
      </c>
      <c r="E346" t="s">
        <v>29</v>
      </c>
      <c r="F346" t="s">
        <v>79</v>
      </c>
      <c r="G346" t="str">
        <f t="shared" si="10"/>
        <v>SM</v>
      </c>
      <c r="H346" t="s">
        <v>106</v>
      </c>
      <c r="I346" t="s">
        <v>76</v>
      </c>
      <c r="J346" t="str">
        <f t="shared" si="11"/>
        <v>SHIFT E</v>
      </c>
    </row>
    <row r="347" spans="1:10">
      <c r="A347">
        <v>457</v>
      </c>
      <c r="B347" t="s">
        <v>1932</v>
      </c>
      <c r="C347" t="s">
        <v>1933</v>
      </c>
      <c r="D347" t="s">
        <v>1064</v>
      </c>
      <c r="E347" t="s">
        <v>29</v>
      </c>
      <c r="F347" t="s">
        <v>1216</v>
      </c>
      <c r="G347" t="str">
        <f t="shared" si="10"/>
        <v>FVI</v>
      </c>
      <c r="H347" t="s">
        <v>106</v>
      </c>
      <c r="I347" t="s">
        <v>53</v>
      </c>
      <c r="J347" t="str">
        <f t="shared" si="11"/>
        <v>SHIFT A</v>
      </c>
    </row>
    <row r="348" spans="1:10">
      <c r="A348">
        <v>458</v>
      </c>
      <c r="B348" t="s">
        <v>1934</v>
      </c>
      <c r="C348" t="s">
        <v>1935</v>
      </c>
      <c r="D348" t="s">
        <v>1064</v>
      </c>
      <c r="E348" t="s">
        <v>29</v>
      </c>
      <c r="F348" t="s">
        <v>1216</v>
      </c>
      <c r="G348" t="str">
        <f t="shared" si="10"/>
        <v>FVI</v>
      </c>
      <c r="H348" t="s">
        <v>106</v>
      </c>
      <c r="I348" t="s">
        <v>89</v>
      </c>
      <c r="J348" t="str">
        <f t="shared" si="11"/>
        <v>SHIFT B</v>
      </c>
    </row>
    <row r="349" spans="1:10">
      <c r="A349">
        <v>459</v>
      </c>
      <c r="B349" t="s">
        <v>1937</v>
      </c>
      <c r="C349" t="s">
        <v>1938</v>
      </c>
      <c r="D349" t="s">
        <v>1064</v>
      </c>
      <c r="E349" t="s">
        <v>29</v>
      </c>
      <c r="F349" t="s">
        <v>1216</v>
      </c>
      <c r="G349" t="str">
        <f t="shared" si="10"/>
        <v>FVI</v>
      </c>
      <c r="H349" t="s">
        <v>106</v>
      </c>
      <c r="I349" t="s">
        <v>146</v>
      </c>
      <c r="J349" t="str">
        <f t="shared" si="11"/>
        <v>SHIFT C</v>
      </c>
    </row>
    <row r="350" spans="1:10">
      <c r="A350">
        <v>460</v>
      </c>
      <c r="B350" t="s">
        <v>1939</v>
      </c>
      <c r="C350" t="s">
        <v>1940</v>
      </c>
      <c r="D350" t="s">
        <v>1064</v>
      </c>
      <c r="E350" t="s">
        <v>29</v>
      </c>
      <c r="F350" t="s">
        <v>72</v>
      </c>
      <c r="G350" t="str">
        <f t="shared" si="10"/>
        <v>BBT</v>
      </c>
      <c r="H350" t="s">
        <v>106</v>
      </c>
      <c r="I350" t="s">
        <v>53</v>
      </c>
      <c r="J350" t="str">
        <f t="shared" si="11"/>
        <v>SHIFT A</v>
      </c>
    </row>
    <row r="351" spans="1:10">
      <c r="A351">
        <v>461</v>
      </c>
      <c r="B351" t="s">
        <v>1941</v>
      </c>
      <c r="C351" t="s">
        <v>1942</v>
      </c>
      <c r="D351" t="s">
        <v>1064</v>
      </c>
      <c r="E351" t="s">
        <v>29</v>
      </c>
      <c r="F351" t="s">
        <v>43</v>
      </c>
      <c r="G351" t="str">
        <f t="shared" si="10"/>
        <v>AU</v>
      </c>
      <c r="H351" t="s">
        <v>106</v>
      </c>
      <c r="I351" t="s">
        <v>146</v>
      </c>
      <c r="J351" t="str">
        <f t="shared" si="11"/>
        <v>SHIFT C</v>
      </c>
    </row>
    <row r="352" spans="1:10">
      <c r="A352">
        <v>462</v>
      </c>
      <c r="B352" t="s">
        <v>1943</v>
      </c>
      <c r="C352" t="s">
        <v>1944</v>
      </c>
      <c r="D352" t="s">
        <v>28</v>
      </c>
      <c r="E352" t="s">
        <v>29</v>
      </c>
      <c r="F352" t="s">
        <v>1216</v>
      </c>
      <c r="G352" t="str">
        <f t="shared" si="10"/>
        <v>FVI</v>
      </c>
      <c r="H352" t="s">
        <v>106</v>
      </c>
      <c r="I352" t="s">
        <v>146</v>
      </c>
      <c r="J352" t="str">
        <f t="shared" si="11"/>
        <v>SHIFT C</v>
      </c>
    </row>
    <row r="353" spans="1:10">
      <c r="A353">
        <v>463</v>
      </c>
      <c r="B353" t="s">
        <v>1945</v>
      </c>
      <c r="C353" t="s">
        <v>1946</v>
      </c>
      <c r="D353" t="s">
        <v>1064</v>
      </c>
      <c r="E353" t="s">
        <v>29</v>
      </c>
      <c r="F353" t="s">
        <v>72</v>
      </c>
      <c r="G353" t="str">
        <f t="shared" si="10"/>
        <v>BBT</v>
      </c>
      <c r="H353" t="s">
        <v>106</v>
      </c>
      <c r="I353" t="s">
        <v>89</v>
      </c>
      <c r="J353" t="str">
        <f t="shared" si="11"/>
        <v>SHIFT B</v>
      </c>
    </row>
    <row r="354" spans="1:10">
      <c r="A354">
        <v>464</v>
      </c>
      <c r="B354" t="s">
        <v>1947</v>
      </c>
      <c r="C354" t="s">
        <v>1948</v>
      </c>
      <c r="D354" t="s">
        <v>1064</v>
      </c>
      <c r="E354" t="s">
        <v>29</v>
      </c>
      <c r="F354" t="s">
        <v>72</v>
      </c>
      <c r="G354" t="str">
        <f t="shared" si="10"/>
        <v>BBT</v>
      </c>
      <c r="H354" t="s">
        <v>106</v>
      </c>
      <c r="I354" t="s">
        <v>53</v>
      </c>
      <c r="J354" t="str">
        <f t="shared" si="11"/>
        <v>SHIFT A</v>
      </c>
    </row>
    <row r="355" spans="1:10">
      <c r="A355">
        <v>465</v>
      </c>
      <c r="B355" t="s">
        <v>1949</v>
      </c>
      <c r="C355" t="s">
        <v>1950</v>
      </c>
      <c r="D355" t="s">
        <v>28</v>
      </c>
      <c r="E355" t="s">
        <v>29</v>
      </c>
      <c r="F355" t="s">
        <v>1216</v>
      </c>
      <c r="G355" t="str">
        <f t="shared" si="10"/>
        <v>FVI</v>
      </c>
      <c r="H355" t="s">
        <v>106</v>
      </c>
      <c r="I355" t="s">
        <v>53</v>
      </c>
      <c r="J355" t="str">
        <f t="shared" si="11"/>
        <v>SHIFT A</v>
      </c>
    </row>
    <row r="356" spans="1:10">
      <c r="A356">
        <v>466</v>
      </c>
      <c r="B356" t="s">
        <v>1951</v>
      </c>
      <c r="C356" t="s">
        <v>1952</v>
      </c>
      <c r="D356" t="s">
        <v>1064</v>
      </c>
      <c r="E356" t="s">
        <v>29</v>
      </c>
      <c r="F356" t="s">
        <v>85</v>
      </c>
      <c r="G356" t="str">
        <f t="shared" si="10"/>
        <v>DRILL</v>
      </c>
      <c r="H356" t="s">
        <v>106</v>
      </c>
      <c r="I356" t="s">
        <v>146</v>
      </c>
      <c r="J356" t="str">
        <f t="shared" si="11"/>
        <v>SHIFT C</v>
      </c>
    </row>
    <row r="357" spans="1:10">
      <c r="A357">
        <v>467</v>
      </c>
      <c r="B357" t="s">
        <v>1953</v>
      </c>
      <c r="C357" t="s">
        <v>1954</v>
      </c>
      <c r="D357" t="s">
        <v>28</v>
      </c>
      <c r="E357" t="s">
        <v>29</v>
      </c>
      <c r="F357" t="s">
        <v>1216</v>
      </c>
      <c r="G357" t="str">
        <f t="shared" si="10"/>
        <v>FVI</v>
      </c>
      <c r="H357" t="s">
        <v>106</v>
      </c>
      <c r="I357" t="s">
        <v>146</v>
      </c>
      <c r="J357" t="str">
        <f t="shared" si="11"/>
        <v>SHIFT C</v>
      </c>
    </row>
    <row r="358" spans="1:10">
      <c r="A358">
        <v>468</v>
      </c>
      <c r="B358" t="s">
        <v>1955</v>
      </c>
      <c r="C358" t="s">
        <v>1956</v>
      </c>
      <c r="D358" t="s">
        <v>28</v>
      </c>
      <c r="E358" t="s">
        <v>29</v>
      </c>
      <c r="F358" t="s">
        <v>1216</v>
      </c>
      <c r="G358" t="str">
        <f t="shared" si="10"/>
        <v>FVI</v>
      </c>
      <c r="H358" t="s">
        <v>106</v>
      </c>
      <c r="I358" t="s">
        <v>89</v>
      </c>
      <c r="J358" t="str">
        <f t="shared" si="11"/>
        <v>SHIFT B</v>
      </c>
    </row>
    <row r="359" spans="1:10">
      <c r="A359">
        <v>469</v>
      </c>
      <c r="B359" t="s">
        <v>1958</v>
      </c>
      <c r="C359" t="s">
        <v>1959</v>
      </c>
      <c r="D359" t="s">
        <v>1064</v>
      </c>
      <c r="E359" t="s">
        <v>29</v>
      </c>
      <c r="F359" t="s">
        <v>56</v>
      </c>
      <c r="G359" t="str">
        <f t="shared" si="10"/>
        <v>AOI</v>
      </c>
      <c r="H359" t="s">
        <v>106</v>
      </c>
      <c r="I359" t="s">
        <v>40</v>
      </c>
      <c r="J359" t="str">
        <f t="shared" si="11"/>
        <v>SHIFT E</v>
      </c>
    </row>
    <row r="360" spans="1:10">
      <c r="A360">
        <v>473</v>
      </c>
      <c r="B360" t="s">
        <v>1971</v>
      </c>
      <c r="C360" t="s">
        <v>1972</v>
      </c>
      <c r="D360" t="s">
        <v>762</v>
      </c>
      <c r="E360" t="s">
        <v>453</v>
      </c>
      <c r="F360" t="s">
        <v>454</v>
      </c>
      <c r="G360" t="str">
        <f t="shared" si="10"/>
        <v>ENVIRONMENT</v>
      </c>
      <c r="H360" t="s">
        <v>34</v>
      </c>
      <c r="I360" t="s">
        <v>53</v>
      </c>
      <c r="J360" t="str">
        <f t="shared" si="11"/>
        <v>SHIFT A</v>
      </c>
    </row>
    <row r="361" spans="1:10">
      <c r="A361">
        <v>476</v>
      </c>
      <c r="B361" t="s">
        <v>1983</v>
      </c>
      <c r="C361" t="s">
        <v>1984</v>
      </c>
      <c r="D361" t="s">
        <v>762</v>
      </c>
      <c r="E361" t="s">
        <v>446</v>
      </c>
      <c r="F361" t="s">
        <v>860</v>
      </c>
      <c r="G361" t="str">
        <f t="shared" si="10"/>
        <v>EQUIPMENT</v>
      </c>
      <c r="H361" t="s">
        <v>34</v>
      </c>
      <c r="I361" t="s">
        <v>146</v>
      </c>
      <c r="J361" t="str">
        <f t="shared" si="11"/>
        <v>SHIFT C</v>
      </c>
    </row>
    <row r="362" spans="1:10">
      <c r="A362">
        <v>477</v>
      </c>
      <c r="B362" t="s">
        <v>1987</v>
      </c>
      <c r="C362" t="s">
        <v>1988</v>
      </c>
      <c r="D362" t="s">
        <v>762</v>
      </c>
      <c r="E362" t="s">
        <v>446</v>
      </c>
      <c r="F362" t="s">
        <v>860</v>
      </c>
      <c r="G362" t="str">
        <f t="shared" si="10"/>
        <v>EQUIPMENT</v>
      </c>
      <c r="H362" t="s">
        <v>34</v>
      </c>
      <c r="I362" t="s">
        <v>146</v>
      </c>
      <c r="J362" t="str">
        <f t="shared" si="11"/>
        <v>SHIFT C</v>
      </c>
    </row>
    <row r="363" spans="1:10">
      <c r="A363">
        <v>479</v>
      </c>
      <c r="B363" t="s">
        <v>1995</v>
      </c>
      <c r="C363" t="s">
        <v>1996</v>
      </c>
      <c r="D363" t="s">
        <v>668</v>
      </c>
      <c r="E363" t="s">
        <v>446</v>
      </c>
      <c r="F363" t="s">
        <v>615</v>
      </c>
      <c r="G363" t="str">
        <f t="shared" si="10"/>
        <v>EQUIPMENT</v>
      </c>
      <c r="H363" t="s">
        <v>34</v>
      </c>
      <c r="I363" t="s">
        <v>53</v>
      </c>
      <c r="J363" t="str">
        <f t="shared" si="11"/>
        <v>SHIFT A</v>
      </c>
    </row>
    <row r="364" spans="1:10">
      <c r="A364">
        <v>480</v>
      </c>
      <c r="B364" t="s">
        <v>1999</v>
      </c>
      <c r="C364" t="s">
        <v>2000</v>
      </c>
      <c r="D364" t="s">
        <v>668</v>
      </c>
      <c r="E364" t="s">
        <v>446</v>
      </c>
      <c r="F364" t="s">
        <v>615</v>
      </c>
      <c r="G364" t="str">
        <f t="shared" si="10"/>
        <v>EQUIPMENT</v>
      </c>
      <c r="H364" t="s">
        <v>34</v>
      </c>
      <c r="I364" t="s">
        <v>89</v>
      </c>
      <c r="J364" t="str">
        <f t="shared" si="11"/>
        <v>SHIFT B</v>
      </c>
    </row>
    <row r="365" spans="1:10">
      <c r="A365">
        <v>481</v>
      </c>
      <c r="B365" t="s">
        <v>2003</v>
      </c>
      <c r="C365" t="s">
        <v>2004</v>
      </c>
      <c r="D365" t="s">
        <v>762</v>
      </c>
      <c r="E365" t="s">
        <v>453</v>
      </c>
      <c r="F365" t="s">
        <v>454</v>
      </c>
      <c r="G365" t="str">
        <f t="shared" si="10"/>
        <v>ENVIRONMENT</v>
      </c>
      <c r="H365" t="s">
        <v>34</v>
      </c>
      <c r="I365" t="s">
        <v>53</v>
      </c>
      <c r="J365" t="str">
        <f t="shared" si="11"/>
        <v>SHIFT A</v>
      </c>
    </row>
    <row r="366" spans="1:10">
      <c r="A366">
        <v>482</v>
      </c>
      <c r="B366" t="s">
        <v>2007</v>
      </c>
      <c r="C366" t="s">
        <v>2008</v>
      </c>
      <c r="D366" t="s">
        <v>762</v>
      </c>
      <c r="E366" t="s">
        <v>453</v>
      </c>
      <c r="F366" t="s">
        <v>454</v>
      </c>
      <c r="G366" t="str">
        <f t="shared" si="10"/>
        <v>ENVIRONMENT</v>
      </c>
      <c r="H366" t="s">
        <v>34</v>
      </c>
      <c r="I366" t="s">
        <v>89</v>
      </c>
      <c r="J366" t="str">
        <f t="shared" si="11"/>
        <v>SHIFT B</v>
      </c>
    </row>
    <row r="367" spans="1:10">
      <c r="A367">
        <v>483</v>
      </c>
      <c r="B367" t="s">
        <v>2011</v>
      </c>
      <c r="C367" t="s">
        <v>2012</v>
      </c>
      <c r="D367" t="s">
        <v>762</v>
      </c>
      <c r="E367" t="s">
        <v>453</v>
      </c>
      <c r="F367" t="s">
        <v>454</v>
      </c>
      <c r="G367" t="str">
        <f t="shared" si="10"/>
        <v>ENVIRONMENT</v>
      </c>
      <c r="H367" t="s">
        <v>34</v>
      </c>
      <c r="I367" t="s">
        <v>146</v>
      </c>
      <c r="J367" t="str">
        <f t="shared" si="11"/>
        <v>SHIFT C</v>
      </c>
    </row>
    <row r="368" spans="1:10">
      <c r="A368">
        <v>485</v>
      </c>
      <c r="B368" t="s">
        <v>2019</v>
      </c>
      <c r="C368" t="s">
        <v>2020</v>
      </c>
      <c r="D368" t="s">
        <v>762</v>
      </c>
      <c r="E368" t="s">
        <v>453</v>
      </c>
      <c r="F368" t="s">
        <v>454</v>
      </c>
      <c r="G368" t="str">
        <f t="shared" si="10"/>
        <v>ENVIRONMENT</v>
      </c>
      <c r="H368" t="s">
        <v>34</v>
      </c>
      <c r="I368" t="s">
        <v>53</v>
      </c>
      <c r="J368" t="str">
        <f t="shared" si="11"/>
        <v>SHIFT A</v>
      </c>
    </row>
    <row r="369" spans="1:10">
      <c r="A369">
        <v>486</v>
      </c>
      <c r="B369" t="s">
        <v>2023</v>
      </c>
      <c r="C369" t="s">
        <v>2024</v>
      </c>
      <c r="D369" t="s">
        <v>762</v>
      </c>
      <c r="E369" t="s">
        <v>446</v>
      </c>
      <c r="F369" t="s">
        <v>860</v>
      </c>
      <c r="G369" t="str">
        <f t="shared" si="10"/>
        <v>EQUIPMENT</v>
      </c>
      <c r="H369" t="s">
        <v>34</v>
      </c>
      <c r="I369" t="s">
        <v>53</v>
      </c>
      <c r="J369" t="str">
        <f t="shared" si="11"/>
        <v>SHIFT A</v>
      </c>
    </row>
    <row r="370" spans="1:10">
      <c r="A370">
        <v>487</v>
      </c>
      <c r="B370" t="s">
        <v>2027</v>
      </c>
      <c r="C370" t="s">
        <v>2028</v>
      </c>
      <c r="D370" t="s">
        <v>762</v>
      </c>
      <c r="E370" t="s">
        <v>446</v>
      </c>
      <c r="F370" t="s">
        <v>860</v>
      </c>
      <c r="G370" t="str">
        <f t="shared" si="10"/>
        <v>EQUIPMENT</v>
      </c>
      <c r="H370" t="s">
        <v>34</v>
      </c>
      <c r="I370" t="s">
        <v>146</v>
      </c>
      <c r="J370" t="str">
        <f t="shared" si="11"/>
        <v>SHIFT C</v>
      </c>
    </row>
    <row r="371" spans="1:10">
      <c r="A371">
        <v>488</v>
      </c>
      <c r="B371" t="s">
        <v>2031</v>
      </c>
      <c r="C371" t="s">
        <v>2032</v>
      </c>
      <c r="D371" t="s">
        <v>28</v>
      </c>
      <c r="E371" t="s">
        <v>29</v>
      </c>
      <c r="F371" t="s">
        <v>1216</v>
      </c>
      <c r="G371" t="str">
        <f t="shared" si="10"/>
        <v>FVI</v>
      </c>
      <c r="H371" t="s">
        <v>106</v>
      </c>
      <c r="I371" t="s">
        <v>53</v>
      </c>
      <c r="J371" t="str">
        <f t="shared" si="11"/>
        <v>SHIFT A</v>
      </c>
    </row>
    <row r="372" spans="1:10">
      <c r="A372">
        <v>489</v>
      </c>
      <c r="B372" t="s">
        <v>2033</v>
      </c>
      <c r="C372" t="s">
        <v>2034</v>
      </c>
      <c r="D372" t="s">
        <v>1064</v>
      </c>
      <c r="E372" t="s">
        <v>29</v>
      </c>
      <c r="F372" t="s">
        <v>1216</v>
      </c>
      <c r="G372" t="str">
        <f t="shared" si="10"/>
        <v>FVI</v>
      </c>
      <c r="H372" t="s">
        <v>106</v>
      </c>
      <c r="I372" t="s">
        <v>53</v>
      </c>
      <c r="J372" t="str">
        <f t="shared" si="11"/>
        <v>SHIFT A</v>
      </c>
    </row>
    <row r="373" spans="1:10">
      <c r="A373">
        <v>490</v>
      </c>
      <c r="B373" t="s">
        <v>2035</v>
      </c>
      <c r="C373" t="s">
        <v>2036</v>
      </c>
      <c r="D373" t="s">
        <v>28</v>
      </c>
      <c r="E373" t="s">
        <v>29</v>
      </c>
      <c r="F373" t="s">
        <v>1216</v>
      </c>
      <c r="G373" t="str">
        <f t="shared" si="10"/>
        <v>FVI</v>
      </c>
      <c r="H373" t="s">
        <v>106</v>
      </c>
      <c r="I373" t="s">
        <v>89</v>
      </c>
      <c r="J373" t="str">
        <f t="shared" si="11"/>
        <v>SHIFT B</v>
      </c>
    </row>
    <row r="374" spans="1:10">
      <c r="A374">
        <v>491</v>
      </c>
      <c r="B374" t="s">
        <v>2037</v>
      </c>
      <c r="C374" t="s">
        <v>2038</v>
      </c>
      <c r="D374" t="s">
        <v>1064</v>
      </c>
      <c r="E374" t="s">
        <v>29</v>
      </c>
      <c r="F374" t="s">
        <v>1216</v>
      </c>
      <c r="G374" t="str">
        <f t="shared" si="10"/>
        <v>FVI</v>
      </c>
      <c r="H374" t="s">
        <v>106</v>
      </c>
      <c r="I374" t="s">
        <v>146</v>
      </c>
      <c r="J374" t="str">
        <f t="shared" si="11"/>
        <v>SHIFT C</v>
      </c>
    </row>
    <row r="375" spans="1:10">
      <c r="A375">
        <v>492</v>
      </c>
      <c r="B375" t="s">
        <v>2039</v>
      </c>
      <c r="C375" t="s">
        <v>2040</v>
      </c>
      <c r="D375" t="s">
        <v>28</v>
      </c>
      <c r="E375" t="s">
        <v>29</v>
      </c>
      <c r="F375" t="s">
        <v>72</v>
      </c>
      <c r="G375" t="str">
        <f t="shared" si="10"/>
        <v>BBT</v>
      </c>
      <c r="H375" t="s">
        <v>106</v>
      </c>
      <c r="I375" t="s">
        <v>53</v>
      </c>
      <c r="J375" t="str">
        <f t="shared" si="11"/>
        <v>SHIFT A</v>
      </c>
    </row>
    <row r="376" spans="1:10">
      <c r="A376">
        <v>493</v>
      </c>
      <c r="B376" t="s">
        <v>2041</v>
      </c>
      <c r="C376" t="s">
        <v>2042</v>
      </c>
      <c r="D376" t="s">
        <v>1064</v>
      </c>
      <c r="E376" t="s">
        <v>29</v>
      </c>
      <c r="F376" t="s">
        <v>1216</v>
      </c>
      <c r="G376" t="str">
        <f t="shared" si="10"/>
        <v>FVI</v>
      </c>
      <c r="H376" t="s">
        <v>106</v>
      </c>
      <c r="I376" t="s">
        <v>146</v>
      </c>
      <c r="J376" t="str">
        <f t="shared" si="11"/>
        <v>SHIFT C</v>
      </c>
    </row>
    <row r="377" spans="1:10">
      <c r="A377">
        <v>494</v>
      </c>
      <c r="B377" t="s">
        <v>2043</v>
      </c>
      <c r="C377" t="s">
        <v>2044</v>
      </c>
      <c r="D377" t="s">
        <v>28</v>
      </c>
      <c r="E377" t="s">
        <v>29</v>
      </c>
      <c r="F377" t="s">
        <v>1216</v>
      </c>
      <c r="G377" t="str">
        <f t="shared" si="10"/>
        <v>FVI</v>
      </c>
      <c r="H377" t="s">
        <v>106</v>
      </c>
      <c r="I377" t="s">
        <v>53</v>
      </c>
      <c r="J377" t="str">
        <f t="shared" si="11"/>
        <v>SHIFT A</v>
      </c>
    </row>
    <row r="378" spans="1:10">
      <c r="A378">
        <v>495</v>
      </c>
      <c r="B378" t="s">
        <v>2045</v>
      </c>
      <c r="C378" t="s">
        <v>2046</v>
      </c>
      <c r="D378" t="s">
        <v>28</v>
      </c>
      <c r="E378" t="s">
        <v>29</v>
      </c>
      <c r="F378" t="s">
        <v>1216</v>
      </c>
      <c r="G378" t="str">
        <f t="shared" si="10"/>
        <v>FVI</v>
      </c>
      <c r="H378" t="s">
        <v>106</v>
      </c>
      <c r="I378" t="s">
        <v>89</v>
      </c>
      <c r="J378" t="str">
        <f t="shared" si="11"/>
        <v>SHIFT B</v>
      </c>
    </row>
    <row r="379" spans="1:10">
      <c r="A379">
        <v>496</v>
      </c>
      <c r="B379" t="s">
        <v>2047</v>
      </c>
      <c r="C379" t="s">
        <v>2048</v>
      </c>
      <c r="D379" t="s">
        <v>28</v>
      </c>
      <c r="E379" t="s">
        <v>29</v>
      </c>
      <c r="F379" t="s">
        <v>56</v>
      </c>
      <c r="G379" t="str">
        <f t="shared" si="10"/>
        <v>AOI</v>
      </c>
      <c r="H379" t="s">
        <v>106</v>
      </c>
      <c r="I379" t="s">
        <v>40</v>
      </c>
      <c r="J379" t="str">
        <f t="shared" si="11"/>
        <v>SHIFT E</v>
      </c>
    </row>
    <row r="380" spans="1:10">
      <c r="A380">
        <v>497</v>
      </c>
      <c r="B380" t="s">
        <v>2049</v>
      </c>
      <c r="C380" t="s">
        <v>2050</v>
      </c>
      <c r="D380" t="s">
        <v>28</v>
      </c>
      <c r="E380" t="s">
        <v>29</v>
      </c>
      <c r="F380" t="s">
        <v>1216</v>
      </c>
      <c r="G380" t="str">
        <f t="shared" si="10"/>
        <v>FVI</v>
      </c>
      <c r="H380" t="s">
        <v>106</v>
      </c>
      <c r="I380" t="s">
        <v>53</v>
      </c>
      <c r="J380" t="str">
        <f t="shared" si="11"/>
        <v>SHIFT A</v>
      </c>
    </row>
    <row r="381" spans="1:10">
      <c r="A381">
        <v>498</v>
      </c>
      <c r="B381" t="s">
        <v>2051</v>
      </c>
      <c r="C381" t="s">
        <v>2052</v>
      </c>
      <c r="D381" t="s">
        <v>28</v>
      </c>
      <c r="E381" t="s">
        <v>29</v>
      </c>
      <c r="F381" t="s">
        <v>72</v>
      </c>
      <c r="G381" t="str">
        <f t="shared" si="10"/>
        <v>BBT</v>
      </c>
      <c r="H381" t="s">
        <v>106</v>
      </c>
      <c r="I381" t="s">
        <v>40</v>
      </c>
      <c r="J381" t="str">
        <f t="shared" si="11"/>
        <v>SHIFT E</v>
      </c>
    </row>
    <row r="382" spans="1:10">
      <c r="A382">
        <v>499</v>
      </c>
      <c r="B382" t="s">
        <v>2053</v>
      </c>
      <c r="C382" t="s">
        <v>2054</v>
      </c>
      <c r="D382" t="s">
        <v>1064</v>
      </c>
      <c r="E382" t="s">
        <v>29</v>
      </c>
      <c r="F382" t="s">
        <v>1216</v>
      </c>
      <c r="G382" t="str">
        <f t="shared" si="10"/>
        <v>FVI</v>
      </c>
      <c r="H382" t="s">
        <v>106</v>
      </c>
      <c r="I382" t="s">
        <v>146</v>
      </c>
      <c r="J382" t="str">
        <f t="shared" si="11"/>
        <v>SHIFT C</v>
      </c>
    </row>
    <row r="383" spans="1:10">
      <c r="A383">
        <v>500</v>
      </c>
      <c r="B383" t="s">
        <v>2055</v>
      </c>
      <c r="C383" t="s">
        <v>2056</v>
      </c>
      <c r="D383" t="s">
        <v>28</v>
      </c>
      <c r="E383" t="s">
        <v>29</v>
      </c>
      <c r="F383" t="s">
        <v>72</v>
      </c>
      <c r="G383" t="str">
        <f t="shared" si="10"/>
        <v>BBT</v>
      </c>
      <c r="H383" t="s">
        <v>106</v>
      </c>
      <c r="I383" t="s">
        <v>146</v>
      </c>
      <c r="J383" t="str">
        <f t="shared" si="11"/>
        <v>SHIFT C</v>
      </c>
    </row>
    <row r="384" spans="1:10">
      <c r="A384">
        <v>501</v>
      </c>
      <c r="B384" t="s">
        <v>2058</v>
      </c>
      <c r="C384" t="s">
        <v>2059</v>
      </c>
      <c r="D384" t="s">
        <v>28</v>
      </c>
      <c r="E384" t="s">
        <v>29</v>
      </c>
      <c r="F384" t="s">
        <v>1216</v>
      </c>
      <c r="G384" t="str">
        <f t="shared" si="10"/>
        <v>FVI</v>
      </c>
      <c r="H384" t="s">
        <v>106</v>
      </c>
      <c r="I384" t="s">
        <v>89</v>
      </c>
      <c r="J384" t="str">
        <f t="shared" si="11"/>
        <v>SHIFT B</v>
      </c>
    </row>
    <row r="385" spans="1:10">
      <c r="A385">
        <v>502</v>
      </c>
      <c r="B385" t="s">
        <v>2060</v>
      </c>
      <c r="C385" t="s">
        <v>2061</v>
      </c>
      <c r="D385" t="s">
        <v>28</v>
      </c>
      <c r="E385" t="s">
        <v>29</v>
      </c>
      <c r="F385" t="s">
        <v>1216</v>
      </c>
      <c r="G385" t="str">
        <f t="shared" si="10"/>
        <v>FVI</v>
      </c>
      <c r="H385" t="s">
        <v>106</v>
      </c>
      <c r="I385" t="s">
        <v>146</v>
      </c>
      <c r="J385" t="str">
        <f t="shared" si="11"/>
        <v>SHIFT C</v>
      </c>
    </row>
    <row r="386" spans="1:10">
      <c r="A386">
        <v>503</v>
      </c>
      <c r="B386" t="s">
        <v>2062</v>
      </c>
      <c r="C386" t="s">
        <v>2063</v>
      </c>
      <c r="D386" t="s">
        <v>1064</v>
      </c>
      <c r="E386" t="s">
        <v>29</v>
      </c>
      <c r="F386" t="s">
        <v>1216</v>
      </c>
      <c r="G386" t="str">
        <f t="shared" si="10"/>
        <v>FVI</v>
      </c>
      <c r="H386" t="s">
        <v>106</v>
      </c>
      <c r="I386" t="s">
        <v>89</v>
      </c>
      <c r="J386" t="str">
        <f t="shared" si="11"/>
        <v>SHIFT B</v>
      </c>
    </row>
    <row r="387" spans="1:10">
      <c r="A387">
        <v>504</v>
      </c>
      <c r="B387" t="s">
        <v>2064</v>
      </c>
      <c r="C387" t="s">
        <v>2065</v>
      </c>
      <c r="D387" t="s">
        <v>1064</v>
      </c>
      <c r="E387" t="s">
        <v>29</v>
      </c>
      <c r="F387" t="s">
        <v>1216</v>
      </c>
      <c r="G387" t="str">
        <f t="shared" si="10"/>
        <v>FVI</v>
      </c>
      <c r="H387" t="s">
        <v>106</v>
      </c>
      <c r="I387" t="s">
        <v>53</v>
      </c>
      <c r="J387" t="str">
        <f t="shared" si="11"/>
        <v>SHIFT A</v>
      </c>
    </row>
    <row r="388" spans="1:10">
      <c r="A388">
        <v>505</v>
      </c>
      <c r="B388" t="s">
        <v>2066</v>
      </c>
      <c r="C388" t="s">
        <v>2067</v>
      </c>
      <c r="D388" t="s">
        <v>1064</v>
      </c>
      <c r="E388" t="s">
        <v>29</v>
      </c>
      <c r="F388" t="s">
        <v>680</v>
      </c>
      <c r="G388" t="str">
        <f t="shared" ref="G388:G451" si="12">IF(OR(ISNUMBER(SEARCH("P1",F388)),ISNUMBER(SEARCH("P2",F388)),ISNUMBER(SEARCH("P3",F388)),ISNUMBER(SEARCH("P4",F388)),ISNUMBER(SEARCH("P5",F388))),"EQUIPMENT",
IF(ISNUMBER(SEARCH("Warehouse",F388)),"WAREHOUSE",
IF(ISNUMBER(SEARCH("WWTP",F388)),"ENVIRONMENT",
IF(OR(ISNUMBER(SEARCH("QC",F388)),ISNUMBER(SEARCH("RELIABILITY",F388)),ISNUMBER(SEARCH("OQA",F388)),ISNUMBER(SEARCH("CHEMICAL",F388))),"QUALITY",
IF(OR(ISNUMBER(SEARCH("OPERATION",F388)),ISNUMBER(SEARCH("PSM",F388))),"HS",
IF(ISNUMBER(SEARCH("FVI",F388)),"FVI",
IF(OR(ISNUMBER(SEARCH("ELECTRICITY",F388)),ISNUMBER(SEARCH("FACILITIES",F388)),ISNUMBER(SEARCH("MECHANICAL",F388))),"FACILITY",F388)))))))</f>
        <v>CHAMFER</v>
      </c>
      <c r="H388" t="s">
        <v>106</v>
      </c>
      <c r="I388" t="s">
        <v>146</v>
      </c>
      <c r="J388" t="str">
        <f t="shared" ref="J388:J451" si="13">IF(ISNUMBER(SEARCH("GROUP C",I388)),"SHIFT C",
IF(ISNUMBER(SEARCH("GROUP A",I388)),"SHIFT A",
IF(ISNUMBER(SEARCH("GROUP O",I388)),"SHIFT O",
IF(ISNUMBER(SEARCH("GROUP B",I388)),"SHIFT B",
IF(ISNUMBER(SEARCH("GROUP E",I388)),"SHIFT E","")))))</f>
        <v>SHIFT C</v>
      </c>
    </row>
    <row r="389" spans="1:10">
      <c r="A389">
        <v>506</v>
      </c>
      <c r="B389" t="s">
        <v>2068</v>
      </c>
      <c r="C389" t="s">
        <v>2069</v>
      </c>
      <c r="D389" t="s">
        <v>1064</v>
      </c>
      <c r="E389" t="s">
        <v>29</v>
      </c>
      <c r="F389" t="s">
        <v>1216</v>
      </c>
      <c r="G389" t="str">
        <f t="shared" si="12"/>
        <v>FVI</v>
      </c>
      <c r="H389" t="s">
        <v>106</v>
      </c>
      <c r="I389" t="s">
        <v>89</v>
      </c>
      <c r="J389" t="str">
        <f t="shared" si="13"/>
        <v>SHIFT B</v>
      </c>
    </row>
    <row r="390" spans="1:10">
      <c r="A390">
        <v>507</v>
      </c>
      <c r="B390" t="s">
        <v>2070</v>
      </c>
      <c r="C390" t="s">
        <v>2071</v>
      </c>
      <c r="D390" t="s">
        <v>28</v>
      </c>
      <c r="E390" t="s">
        <v>29</v>
      </c>
      <c r="F390" t="s">
        <v>1216</v>
      </c>
      <c r="G390" t="str">
        <f t="shared" si="12"/>
        <v>FVI</v>
      </c>
      <c r="H390" t="s">
        <v>106</v>
      </c>
      <c r="I390" t="s">
        <v>53</v>
      </c>
      <c r="J390" t="str">
        <f t="shared" si="13"/>
        <v>SHIFT A</v>
      </c>
    </row>
    <row r="391" spans="1:10">
      <c r="A391">
        <v>508</v>
      </c>
      <c r="B391" t="s">
        <v>2072</v>
      </c>
      <c r="C391" t="s">
        <v>2073</v>
      </c>
      <c r="D391" t="s">
        <v>762</v>
      </c>
      <c r="E391" t="s">
        <v>453</v>
      </c>
      <c r="F391" t="s">
        <v>454</v>
      </c>
      <c r="G391" t="str">
        <f t="shared" si="12"/>
        <v>ENVIRONMENT</v>
      </c>
      <c r="H391" t="s">
        <v>34</v>
      </c>
      <c r="I391" t="s">
        <v>89</v>
      </c>
      <c r="J391" t="str">
        <f t="shared" si="13"/>
        <v>SHIFT B</v>
      </c>
    </row>
    <row r="392" spans="1:10">
      <c r="A392">
        <v>509</v>
      </c>
      <c r="B392" t="s">
        <v>2076</v>
      </c>
      <c r="C392" t="s">
        <v>2077</v>
      </c>
      <c r="D392" t="s">
        <v>499</v>
      </c>
      <c r="E392" t="s">
        <v>491</v>
      </c>
      <c r="F392" t="s">
        <v>1042</v>
      </c>
      <c r="G392" t="str">
        <f t="shared" si="12"/>
        <v>QUALITY</v>
      </c>
      <c r="H392" t="s">
        <v>34</v>
      </c>
      <c r="I392" t="s">
        <v>146</v>
      </c>
      <c r="J392" t="str">
        <f t="shared" si="13"/>
        <v>SHIFT C</v>
      </c>
    </row>
    <row r="393" spans="1:10">
      <c r="A393">
        <v>510</v>
      </c>
      <c r="B393" t="s">
        <v>2080</v>
      </c>
      <c r="C393" t="s">
        <v>2081</v>
      </c>
      <c r="D393" t="s">
        <v>765</v>
      </c>
      <c r="E393" t="s">
        <v>491</v>
      </c>
      <c r="F393" t="s">
        <v>1042</v>
      </c>
      <c r="G393" t="str">
        <f t="shared" si="12"/>
        <v>QUALITY</v>
      </c>
      <c r="H393" t="s">
        <v>106</v>
      </c>
      <c r="I393" t="s">
        <v>53</v>
      </c>
      <c r="J393" t="str">
        <f t="shared" si="13"/>
        <v>SHIFT A</v>
      </c>
    </row>
    <row r="394" spans="1:10">
      <c r="A394">
        <v>511</v>
      </c>
      <c r="B394" t="s">
        <v>2084</v>
      </c>
      <c r="C394" t="s">
        <v>2085</v>
      </c>
      <c r="D394" t="s">
        <v>28</v>
      </c>
      <c r="E394" t="s">
        <v>29</v>
      </c>
      <c r="F394" t="s">
        <v>85</v>
      </c>
      <c r="G394" t="str">
        <f t="shared" si="12"/>
        <v>DRILL</v>
      </c>
      <c r="H394" t="s">
        <v>34</v>
      </c>
      <c r="I394" t="s">
        <v>89</v>
      </c>
      <c r="J394" t="str">
        <f t="shared" si="13"/>
        <v>SHIFT B</v>
      </c>
    </row>
    <row r="395" spans="1:10">
      <c r="A395">
        <v>512</v>
      </c>
      <c r="B395" t="s">
        <v>2086</v>
      </c>
      <c r="C395" t="s">
        <v>2087</v>
      </c>
      <c r="D395" t="s">
        <v>1064</v>
      </c>
      <c r="E395" t="s">
        <v>29</v>
      </c>
      <c r="F395" t="s">
        <v>43</v>
      </c>
      <c r="G395" t="str">
        <f t="shared" si="12"/>
        <v>AU</v>
      </c>
      <c r="H395" t="s">
        <v>34</v>
      </c>
      <c r="I395" t="s">
        <v>146</v>
      </c>
      <c r="J395" t="str">
        <f t="shared" si="13"/>
        <v>SHIFT C</v>
      </c>
    </row>
    <row r="396" spans="1:10">
      <c r="A396">
        <v>513</v>
      </c>
      <c r="B396" t="s">
        <v>2088</v>
      </c>
      <c r="C396" t="s">
        <v>2089</v>
      </c>
      <c r="D396" t="s">
        <v>1064</v>
      </c>
      <c r="E396" t="s">
        <v>29</v>
      </c>
      <c r="F396" t="s">
        <v>72</v>
      </c>
      <c r="G396" t="str">
        <f t="shared" si="12"/>
        <v>BBT</v>
      </c>
      <c r="H396" t="s">
        <v>34</v>
      </c>
      <c r="I396" t="s">
        <v>53</v>
      </c>
      <c r="J396" t="str">
        <f t="shared" si="13"/>
        <v>SHIFT A</v>
      </c>
    </row>
    <row r="397" spans="1:10">
      <c r="A397">
        <v>514</v>
      </c>
      <c r="B397" t="s">
        <v>2090</v>
      </c>
      <c r="C397" t="s">
        <v>2091</v>
      </c>
      <c r="D397" t="s">
        <v>28</v>
      </c>
      <c r="E397" t="s">
        <v>29</v>
      </c>
      <c r="F397" t="s">
        <v>79</v>
      </c>
      <c r="G397" t="str">
        <f t="shared" si="12"/>
        <v>SM</v>
      </c>
      <c r="H397" t="s">
        <v>34</v>
      </c>
      <c r="I397" t="s">
        <v>89</v>
      </c>
      <c r="J397" t="str">
        <f t="shared" si="13"/>
        <v>SHIFT B</v>
      </c>
    </row>
    <row r="398" spans="1:10">
      <c r="A398">
        <v>515</v>
      </c>
      <c r="B398" t="s">
        <v>2092</v>
      </c>
      <c r="C398" t="s">
        <v>2093</v>
      </c>
      <c r="D398" t="s">
        <v>1064</v>
      </c>
      <c r="E398" t="s">
        <v>29</v>
      </c>
      <c r="F398" t="s">
        <v>72</v>
      </c>
      <c r="G398" t="str">
        <f t="shared" si="12"/>
        <v>BBT</v>
      </c>
      <c r="H398" t="s">
        <v>34</v>
      </c>
      <c r="I398" t="s">
        <v>146</v>
      </c>
      <c r="J398" t="str">
        <f t="shared" si="13"/>
        <v>SHIFT C</v>
      </c>
    </row>
    <row r="399" spans="1:10">
      <c r="A399">
        <v>516</v>
      </c>
      <c r="B399" t="s">
        <v>2094</v>
      </c>
      <c r="C399" t="s">
        <v>2095</v>
      </c>
      <c r="D399" t="s">
        <v>1064</v>
      </c>
      <c r="E399" t="s">
        <v>29</v>
      </c>
      <c r="F399" t="s">
        <v>62</v>
      </c>
      <c r="G399" t="str">
        <f t="shared" si="12"/>
        <v>CU</v>
      </c>
      <c r="H399" t="s">
        <v>34</v>
      </c>
      <c r="I399" t="s">
        <v>89</v>
      </c>
      <c r="J399" t="str">
        <f t="shared" si="13"/>
        <v>SHIFT B</v>
      </c>
    </row>
    <row r="400" spans="1:10">
      <c r="A400">
        <v>517</v>
      </c>
      <c r="B400" t="s">
        <v>2096</v>
      </c>
      <c r="C400" t="s">
        <v>2097</v>
      </c>
      <c r="D400" t="s">
        <v>28</v>
      </c>
      <c r="E400" t="s">
        <v>29</v>
      </c>
      <c r="F400" t="s">
        <v>79</v>
      </c>
      <c r="G400" t="str">
        <f t="shared" si="12"/>
        <v>SM</v>
      </c>
      <c r="H400" t="s">
        <v>34</v>
      </c>
      <c r="I400" t="s">
        <v>146</v>
      </c>
      <c r="J400" t="str">
        <f t="shared" si="13"/>
        <v>SHIFT C</v>
      </c>
    </row>
    <row r="401" spans="1:10">
      <c r="A401">
        <v>518</v>
      </c>
      <c r="B401" t="s">
        <v>2098</v>
      </c>
      <c r="C401" t="s">
        <v>2099</v>
      </c>
      <c r="D401" t="s">
        <v>1064</v>
      </c>
      <c r="E401" t="s">
        <v>29</v>
      </c>
      <c r="F401" t="s">
        <v>85</v>
      </c>
      <c r="G401" t="str">
        <f t="shared" si="12"/>
        <v>DRILL</v>
      </c>
      <c r="H401" t="s">
        <v>34</v>
      </c>
      <c r="I401" t="s">
        <v>89</v>
      </c>
      <c r="J401" t="str">
        <f t="shared" si="13"/>
        <v>SHIFT B</v>
      </c>
    </row>
    <row r="402" spans="1:10">
      <c r="A402">
        <v>519</v>
      </c>
      <c r="B402" t="s">
        <v>2100</v>
      </c>
      <c r="C402" t="s">
        <v>2101</v>
      </c>
      <c r="D402" t="s">
        <v>28</v>
      </c>
      <c r="E402" t="s">
        <v>29</v>
      </c>
      <c r="F402" t="s">
        <v>79</v>
      </c>
      <c r="G402" t="str">
        <f t="shared" si="12"/>
        <v>SM</v>
      </c>
      <c r="H402" t="s">
        <v>34</v>
      </c>
      <c r="I402" t="s">
        <v>146</v>
      </c>
      <c r="J402" t="str">
        <f t="shared" si="13"/>
        <v>SHIFT C</v>
      </c>
    </row>
    <row r="403" spans="1:10">
      <c r="A403">
        <v>520</v>
      </c>
      <c r="B403" t="s">
        <v>2102</v>
      </c>
      <c r="C403" t="s">
        <v>2103</v>
      </c>
      <c r="D403" t="s">
        <v>1064</v>
      </c>
      <c r="E403" t="s">
        <v>29</v>
      </c>
      <c r="F403" t="s">
        <v>62</v>
      </c>
      <c r="G403" t="str">
        <f t="shared" si="12"/>
        <v>CU</v>
      </c>
      <c r="H403" t="s">
        <v>34</v>
      </c>
      <c r="I403" t="s">
        <v>146</v>
      </c>
      <c r="J403" t="str">
        <f t="shared" si="13"/>
        <v>SHIFT C</v>
      </c>
    </row>
    <row r="404" spans="1:10">
      <c r="A404">
        <v>521</v>
      </c>
      <c r="B404" t="s">
        <v>2104</v>
      </c>
      <c r="C404" t="s">
        <v>2105</v>
      </c>
      <c r="D404" t="s">
        <v>1064</v>
      </c>
      <c r="E404" t="s">
        <v>29</v>
      </c>
      <c r="F404" t="s">
        <v>30</v>
      </c>
      <c r="G404" t="str">
        <f t="shared" si="12"/>
        <v>DF</v>
      </c>
      <c r="H404" t="s">
        <v>34</v>
      </c>
      <c r="I404" t="s">
        <v>89</v>
      </c>
      <c r="J404" t="str">
        <f t="shared" si="13"/>
        <v>SHIFT B</v>
      </c>
    </row>
    <row r="405" spans="1:10">
      <c r="A405">
        <v>522</v>
      </c>
      <c r="B405" t="s">
        <v>2106</v>
      </c>
      <c r="C405" t="s">
        <v>2107</v>
      </c>
      <c r="D405" t="s">
        <v>28</v>
      </c>
      <c r="E405" t="s">
        <v>29</v>
      </c>
      <c r="F405" t="s">
        <v>79</v>
      </c>
      <c r="G405" t="str">
        <f t="shared" si="12"/>
        <v>SM</v>
      </c>
      <c r="H405" t="s">
        <v>34</v>
      </c>
      <c r="I405" t="s">
        <v>146</v>
      </c>
      <c r="J405" t="str">
        <f t="shared" si="13"/>
        <v>SHIFT C</v>
      </c>
    </row>
    <row r="406" spans="1:10">
      <c r="A406">
        <v>523</v>
      </c>
      <c r="B406" t="s">
        <v>2108</v>
      </c>
      <c r="C406" t="s">
        <v>2109</v>
      </c>
      <c r="D406" t="s">
        <v>28</v>
      </c>
      <c r="E406" t="s">
        <v>29</v>
      </c>
      <c r="F406" t="s">
        <v>79</v>
      </c>
      <c r="G406" t="str">
        <f t="shared" si="12"/>
        <v>SM</v>
      </c>
      <c r="H406" t="s">
        <v>34</v>
      </c>
      <c r="I406" t="s">
        <v>53</v>
      </c>
      <c r="J406" t="str">
        <f t="shared" si="13"/>
        <v>SHIFT A</v>
      </c>
    </row>
    <row r="407" spans="1:10">
      <c r="A407">
        <v>524</v>
      </c>
      <c r="B407" t="s">
        <v>2110</v>
      </c>
      <c r="C407" t="s">
        <v>2111</v>
      </c>
      <c r="D407" t="s">
        <v>1064</v>
      </c>
      <c r="E407" t="s">
        <v>29</v>
      </c>
      <c r="F407" t="s">
        <v>72</v>
      </c>
      <c r="G407" t="str">
        <f t="shared" si="12"/>
        <v>BBT</v>
      </c>
      <c r="H407" t="s">
        <v>34</v>
      </c>
      <c r="I407" t="s">
        <v>89</v>
      </c>
      <c r="J407" t="str">
        <f t="shared" si="13"/>
        <v>SHIFT B</v>
      </c>
    </row>
    <row r="408" spans="1:10">
      <c r="A408">
        <v>525</v>
      </c>
      <c r="B408" t="s">
        <v>2112</v>
      </c>
      <c r="C408" t="s">
        <v>2113</v>
      </c>
      <c r="D408" t="s">
        <v>28</v>
      </c>
      <c r="E408" t="s">
        <v>29</v>
      </c>
      <c r="F408" t="s">
        <v>79</v>
      </c>
      <c r="G408" t="str">
        <f t="shared" si="12"/>
        <v>SM</v>
      </c>
      <c r="H408" t="s">
        <v>34</v>
      </c>
      <c r="I408" t="s">
        <v>53</v>
      </c>
      <c r="J408" t="str">
        <f t="shared" si="13"/>
        <v>SHIFT A</v>
      </c>
    </row>
    <row r="409" spans="1:10">
      <c r="A409">
        <v>526</v>
      </c>
      <c r="B409" t="s">
        <v>2114</v>
      </c>
      <c r="C409" t="s">
        <v>2115</v>
      </c>
      <c r="D409" t="s">
        <v>28</v>
      </c>
      <c r="E409" t="s">
        <v>29</v>
      </c>
      <c r="F409" t="s">
        <v>79</v>
      </c>
      <c r="G409" t="str">
        <f t="shared" si="12"/>
        <v>SM</v>
      </c>
      <c r="H409" t="s">
        <v>34</v>
      </c>
      <c r="I409" t="s">
        <v>752</v>
      </c>
      <c r="J409" t="str">
        <f t="shared" si="13"/>
        <v>SHIFT O</v>
      </c>
    </row>
    <row r="410" spans="1:10">
      <c r="A410">
        <v>527</v>
      </c>
      <c r="B410" t="s">
        <v>2117</v>
      </c>
      <c r="C410" t="s">
        <v>2118</v>
      </c>
      <c r="D410" t="s">
        <v>1064</v>
      </c>
      <c r="E410" t="s">
        <v>29</v>
      </c>
      <c r="F410" t="s">
        <v>56</v>
      </c>
      <c r="G410" t="str">
        <f t="shared" si="12"/>
        <v>AOI</v>
      </c>
      <c r="H410" t="s">
        <v>34</v>
      </c>
      <c r="I410" t="s">
        <v>89</v>
      </c>
      <c r="J410" t="str">
        <f t="shared" si="13"/>
        <v>SHIFT B</v>
      </c>
    </row>
    <row r="411" spans="1:10">
      <c r="A411">
        <v>528</v>
      </c>
      <c r="B411" t="s">
        <v>2119</v>
      </c>
      <c r="C411" t="s">
        <v>2120</v>
      </c>
      <c r="D411" t="s">
        <v>28</v>
      </c>
      <c r="E411" t="s">
        <v>453</v>
      </c>
      <c r="F411" t="s">
        <v>454</v>
      </c>
      <c r="G411" t="str">
        <f t="shared" si="12"/>
        <v>ENVIRONMENT</v>
      </c>
      <c r="H411" t="s">
        <v>34</v>
      </c>
      <c r="I411" t="s">
        <v>146</v>
      </c>
      <c r="J411" t="str">
        <f t="shared" si="13"/>
        <v>SHIFT C</v>
      </c>
    </row>
    <row r="412" spans="1:10">
      <c r="A412">
        <v>529</v>
      </c>
      <c r="B412" t="s">
        <v>2121</v>
      </c>
      <c r="C412" t="s">
        <v>2122</v>
      </c>
      <c r="D412" t="s">
        <v>1064</v>
      </c>
      <c r="E412" t="s">
        <v>29</v>
      </c>
      <c r="F412" t="s">
        <v>85</v>
      </c>
      <c r="G412" t="str">
        <f t="shared" si="12"/>
        <v>DRILL</v>
      </c>
      <c r="H412" t="s">
        <v>34</v>
      </c>
      <c r="I412" t="s">
        <v>53</v>
      </c>
      <c r="J412" t="str">
        <f t="shared" si="13"/>
        <v>SHIFT A</v>
      </c>
    </row>
    <row r="413" spans="1:10">
      <c r="A413">
        <v>530</v>
      </c>
      <c r="B413" t="s">
        <v>2123</v>
      </c>
      <c r="C413" t="s">
        <v>2124</v>
      </c>
      <c r="D413" t="s">
        <v>1064</v>
      </c>
      <c r="E413" t="s">
        <v>29</v>
      </c>
      <c r="F413" t="s">
        <v>30</v>
      </c>
      <c r="G413" t="str">
        <f t="shared" si="12"/>
        <v>DF</v>
      </c>
      <c r="H413" t="s">
        <v>34</v>
      </c>
      <c r="I413" t="s">
        <v>53</v>
      </c>
      <c r="J413" t="str">
        <f t="shared" si="13"/>
        <v>SHIFT A</v>
      </c>
    </row>
    <row r="414" spans="1:10">
      <c r="A414">
        <v>531</v>
      </c>
      <c r="B414" t="s">
        <v>2125</v>
      </c>
      <c r="C414" t="s">
        <v>2126</v>
      </c>
      <c r="D414" t="s">
        <v>1064</v>
      </c>
      <c r="E414" t="s">
        <v>29</v>
      </c>
      <c r="F414" t="s">
        <v>30</v>
      </c>
      <c r="G414" t="str">
        <f t="shared" si="12"/>
        <v>DF</v>
      </c>
      <c r="H414" t="s">
        <v>34</v>
      </c>
      <c r="I414" t="s">
        <v>146</v>
      </c>
      <c r="J414" t="str">
        <f t="shared" si="13"/>
        <v>SHIFT C</v>
      </c>
    </row>
    <row r="415" spans="1:10">
      <c r="A415">
        <v>532</v>
      </c>
      <c r="B415" t="s">
        <v>2127</v>
      </c>
      <c r="C415" t="s">
        <v>2128</v>
      </c>
      <c r="D415" t="s">
        <v>1064</v>
      </c>
      <c r="E415" t="s">
        <v>29</v>
      </c>
      <c r="F415" t="s">
        <v>30</v>
      </c>
      <c r="G415" t="str">
        <f t="shared" si="12"/>
        <v>DF</v>
      </c>
      <c r="H415" t="s">
        <v>34</v>
      </c>
      <c r="I415" t="s">
        <v>53</v>
      </c>
      <c r="J415" t="str">
        <f t="shared" si="13"/>
        <v>SHIFT A</v>
      </c>
    </row>
    <row r="416" spans="1:10">
      <c r="A416">
        <v>533</v>
      </c>
      <c r="B416" t="s">
        <v>2129</v>
      </c>
      <c r="C416" t="s">
        <v>2130</v>
      </c>
      <c r="D416" t="s">
        <v>1064</v>
      </c>
      <c r="E416" t="s">
        <v>29</v>
      </c>
      <c r="F416" t="s">
        <v>85</v>
      </c>
      <c r="G416" t="str">
        <f t="shared" si="12"/>
        <v>DRILL</v>
      </c>
      <c r="H416" t="s">
        <v>34</v>
      </c>
      <c r="I416" t="s">
        <v>53</v>
      </c>
      <c r="J416" t="str">
        <f t="shared" si="13"/>
        <v>SHIFT A</v>
      </c>
    </row>
    <row r="417" spans="1:10">
      <c r="A417">
        <v>534</v>
      </c>
      <c r="B417" t="s">
        <v>2131</v>
      </c>
      <c r="C417" t="s">
        <v>2132</v>
      </c>
      <c r="D417" t="s">
        <v>1064</v>
      </c>
      <c r="E417" t="s">
        <v>29</v>
      </c>
      <c r="F417" t="s">
        <v>85</v>
      </c>
      <c r="G417" t="str">
        <f t="shared" si="12"/>
        <v>DRILL</v>
      </c>
      <c r="H417" t="s">
        <v>34</v>
      </c>
      <c r="I417" t="s">
        <v>53</v>
      </c>
      <c r="J417" t="str">
        <f t="shared" si="13"/>
        <v>SHIFT A</v>
      </c>
    </row>
    <row r="418" spans="1:10">
      <c r="A418">
        <v>535</v>
      </c>
      <c r="B418" t="s">
        <v>2133</v>
      </c>
      <c r="C418" t="s">
        <v>2134</v>
      </c>
      <c r="D418" t="s">
        <v>1064</v>
      </c>
      <c r="E418" t="s">
        <v>29</v>
      </c>
      <c r="F418" t="s">
        <v>85</v>
      </c>
      <c r="G418" t="str">
        <f t="shared" si="12"/>
        <v>DRILL</v>
      </c>
      <c r="H418" t="s">
        <v>34</v>
      </c>
      <c r="I418" t="s">
        <v>89</v>
      </c>
      <c r="J418" t="str">
        <f t="shared" si="13"/>
        <v>SHIFT B</v>
      </c>
    </row>
    <row r="419" spans="1:10">
      <c r="A419">
        <v>536</v>
      </c>
      <c r="B419" t="s">
        <v>2135</v>
      </c>
      <c r="C419" t="s">
        <v>2136</v>
      </c>
      <c r="D419" t="s">
        <v>1064</v>
      </c>
      <c r="E419" t="s">
        <v>29</v>
      </c>
      <c r="F419" t="s">
        <v>537</v>
      </c>
      <c r="G419" t="str">
        <f t="shared" si="12"/>
        <v>MLB</v>
      </c>
      <c r="H419" t="s">
        <v>34</v>
      </c>
      <c r="I419" t="s">
        <v>53</v>
      </c>
      <c r="J419" t="str">
        <f t="shared" si="13"/>
        <v>SHIFT A</v>
      </c>
    </row>
    <row r="420" spans="1:10">
      <c r="A420">
        <v>537</v>
      </c>
      <c r="B420" t="s">
        <v>2137</v>
      </c>
      <c r="C420" t="s">
        <v>2138</v>
      </c>
      <c r="D420" t="s">
        <v>1064</v>
      </c>
      <c r="E420" t="s">
        <v>29</v>
      </c>
      <c r="F420" t="s">
        <v>85</v>
      </c>
      <c r="G420" t="str">
        <f t="shared" si="12"/>
        <v>DRILL</v>
      </c>
      <c r="H420" t="s">
        <v>34</v>
      </c>
      <c r="I420" t="s">
        <v>146</v>
      </c>
      <c r="J420" t="str">
        <f t="shared" si="13"/>
        <v>SHIFT C</v>
      </c>
    </row>
    <row r="421" spans="1:10">
      <c r="A421">
        <v>538</v>
      </c>
      <c r="B421" t="s">
        <v>2139</v>
      </c>
      <c r="C421" t="s">
        <v>2140</v>
      </c>
      <c r="D421" t="s">
        <v>1064</v>
      </c>
      <c r="E421" t="s">
        <v>29</v>
      </c>
      <c r="F421" t="s">
        <v>43</v>
      </c>
      <c r="G421" t="str">
        <f t="shared" si="12"/>
        <v>AU</v>
      </c>
      <c r="H421" t="s">
        <v>34</v>
      </c>
      <c r="I421" t="s">
        <v>89</v>
      </c>
      <c r="J421" t="str">
        <f t="shared" si="13"/>
        <v>SHIFT B</v>
      </c>
    </row>
    <row r="422" spans="1:10">
      <c r="A422">
        <v>539</v>
      </c>
      <c r="B422" t="s">
        <v>2141</v>
      </c>
      <c r="C422" t="s">
        <v>2142</v>
      </c>
      <c r="D422" t="s">
        <v>1064</v>
      </c>
      <c r="E422" t="s">
        <v>29</v>
      </c>
      <c r="F422" t="s">
        <v>537</v>
      </c>
      <c r="G422" t="str">
        <f t="shared" si="12"/>
        <v>MLB</v>
      </c>
      <c r="H422" t="s">
        <v>34</v>
      </c>
      <c r="I422" t="s">
        <v>89</v>
      </c>
      <c r="J422" t="str">
        <f t="shared" si="13"/>
        <v>SHIFT B</v>
      </c>
    </row>
    <row r="423" spans="1:10">
      <c r="A423">
        <v>540</v>
      </c>
      <c r="B423" t="s">
        <v>2143</v>
      </c>
      <c r="C423" t="s">
        <v>2144</v>
      </c>
      <c r="D423" t="s">
        <v>28</v>
      </c>
      <c r="E423" t="s">
        <v>453</v>
      </c>
      <c r="F423" t="s">
        <v>454</v>
      </c>
      <c r="G423" t="str">
        <f t="shared" si="12"/>
        <v>ENVIRONMENT</v>
      </c>
      <c r="H423" t="s">
        <v>34</v>
      </c>
      <c r="I423" t="s">
        <v>89</v>
      </c>
      <c r="J423" t="str">
        <f t="shared" si="13"/>
        <v>SHIFT B</v>
      </c>
    </row>
    <row r="424" spans="1:10">
      <c r="A424">
        <v>541</v>
      </c>
      <c r="B424" t="s">
        <v>2145</v>
      </c>
      <c r="C424" t="s">
        <v>2146</v>
      </c>
      <c r="D424" t="s">
        <v>1064</v>
      </c>
      <c r="E424" t="s">
        <v>29</v>
      </c>
      <c r="F424" t="s">
        <v>43</v>
      </c>
      <c r="G424" t="str">
        <f t="shared" si="12"/>
        <v>AU</v>
      </c>
      <c r="H424" t="s">
        <v>34</v>
      </c>
      <c r="I424" t="s">
        <v>146</v>
      </c>
      <c r="J424" t="str">
        <f t="shared" si="13"/>
        <v>SHIFT C</v>
      </c>
    </row>
    <row r="425" spans="1:10">
      <c r="A425">
        <v>542</v>
      </c>
      <c r="B425" t="s">
        <v>2147</v>
      </c>
      <c r="C425" t="s">
        <v>2148</v>
      </c>
      <c r="D425" t="s">
        <v>1064</v>
      </c>
      <c r="E425" t="s">
        <v>29</v>
      </c>
      <c r="F425" t="s">
        <v>43</v>
      </c>
      <c r="G425" t="str">
        <f t="shared" si="12"/>
        <v>AU</v>
      </c>
      <c r="H425" t="s">
        <v>34</v>
      </c>
      <c r="I425" t="s">
        <v>53</v>
      </c>
      <c r="J425" t="str">
        <f t="shared" si="13"/>
        <v>SHIFT A</v>
      </c>
    </row>
    <row r="426" spans="1:10">
      <c r="A426">
        <v>543</v>
      </c>
      <c r="B426" t="s">
        <v>2149</v>
      </c>
      <c r="C426" t="s">
        <v>2150</v>
      </c>
      <c r="D426" t="s">
        <v>1064</v>
      </c>
      <c r="E426" t="s">
        <v>29</v>
      </c>
      <c r="F426" t="s">
        <v>85</v>
      </c>
      <c r="G426" t="str">
        <f t="shared" si="12"/>
        <v>DRILL</v>
      </c>
      <c r="H426" t="s">
        <v>34</v>
      </c>
      <c r="I426" t="s">
        <v>89</v>
      </c>
      <c r="J426" t="str">
        <f t="shared" si="13"/>
        <v>SHIFT B</v>
      </c>
    </row>
    <row r="427" spans="1:10">
      <c r="A427">
        <v>544</v>
      </c>
      <c r="B427" t="s">
        <v>2151</v>
      </c>
      <c r="C427" t="s">
        <v>2152</v>
      </c>
      <c r="D427" t="s">
        <v>1064</v>
      </c>
      <c r="E427" t="s">
        <v>29</v>
      </c>
      <c r="F427" t="s">
        <v>56</v>
      </c>
      <c r="G427" t="str">
        <f t="shared" si="12"/>
        <v>AOI</v>
      </c>
      <c r="H427" t="s">
        <v>34</v>
      </c>
      <c r="I427" t="s">
        <v>146</v>
      </c>
      <c r="J427" t="str">
        <f t="shared" si="13"/>
        <v>SHIFT C</v>
      </c>
    </row>
    <row r="428" spans="1:10">
      <c r="A428">
        <v>545</v>
      </c>
      <c r="B428" t="s">
        <v>2153</v>
      </c>
      <c r="C428" t="s">
        <v>2154</v>
      </c>
      <c r="D428" t="s">
        <v>28</v>
      </c>
      <c r="E428" t="s">
        <v>29</v>
      </c>
      <c r="F428" t="s">
        <v>48</v>
      </c>
      <c r="G428" t="str">
        <f t="shared" si="12"/>
        <v>ROUTER</v>
      </c>
      <c r="H428" t="s">
        <v>34</v>
      </c>
      <c r="I428" t="s">
        <v>53</v>
      </c>
      <c r="J428" t="str">
        <f t="shared" si="13"/>
        <v>SHIFT A</v>
      </c>
    </row>
    <row r="429" spans="1:10">
      <c r="A429">
        <v>546</v>
      </c>
      <c r="B429" t="s">
        <v>2155</v>
      </c>
      <c r="C429" t="s">
        <v>2156</v>
      </c>
      <c r="D429" t="s">
        <v>1064</v>
      </c>
      <c r="E429" t="s">
        <v>491</v>
      </c>
      <c r="F429" t="s">
        <v>492</v>
      </c>
      <c r="G429" t="str">
        <f t="shared" si="12"/>
        <v>QUALITY</v>
      </c>
      <c r="H429" t="s">
        <v>34</v>
      </c>
      <c r="I429" t="s">
        <v>146</v>
      </c>
      <c r="J429" t="str">
        <f t="shared" si="13"/>
        <v>SHIFT C</v>
      </c>
    </row>
    <row r="430" spans="1:10">
      <c r="A430">
        <v>547</v>
      </c>
      <c r="B430" t="s">
        <v>2157</v>
      </c>
      <c r="C430" t="s">
        <v>2158</v>
      </c>
      <c r="D430" t="s">
        <v>28</v>
      </c>
      <c r="E430" t="s">
        <v>29</v>
      </c>
      <c r="F430" t="s">
        <v>48</v>
      </c>
      <c r="G430" t="str">
        <f t="shared" si="12"/>
        <v>ROUTER</v>
      </c>
      <c r="H430" t="s">
        <v>34</v>
      </c>
      <c r="I430" t="s">
        <v>146</v>
      </c>
      <c r="J430" t="str">
        <f t="shared" si="13"/>
        <v>SHIFT C</v>
      </c>
    </row>
    <row r="431" spans="1:10">
      <c r="A431">
        <v>548</v>
      </c>
      <c r="B431" t="s">
        <v>2159</v>
      </c>
      <c r="C431" t="s">
        <v>2160</v>
      </c>
      <c r="D431" t="s">
        <v>28</v>
      </c>
      <c r="E431" t="s">
        <v>29</v>
      </c>
      <c r="F431" t="s">
        <v>48</v>
      </c>
      <c r="G431" t="str">
        <f t="shared" si="12"/>
        <v>ROUTER</v>
      </c>
      <c r="H431" t="s">
        <v>34</v>
      </c>
      <c r="I431" t="s">
        <v>89</v>
      </c>
      <c r="J431" t="str">
        <f t="shared" si="13"/>
        <v>SHIFT B</v>
      </c>
    </row>
    <row r="432" spans="1:10">
      <c r="A432">
        <v>549</v>
      </c>
      <c r="B432" t="s">
        <v>2161</v>
      </c>
      <c r="C432" t="s">
        <v>2162</v>
      </c>
      <c r="D432" t="s">
        <v>28</v>
      </c>
      <c r="E432" t="s">
        <v>29</v>
      </c>
      <c r="F432" t="s">
        <v>48</v>
      </c>
      <c r="G432" t="str">
        <f t="shared" si="12"/>
        <v>ROUTER</v>
      </c>
      <c r="H432" t="s">
        <v>34</v>
      </c>
      <c r="I432" t="s">
        <v>89</v>
      </c>
      <c r="J432" t="str">
        <f t="shared" si="13"/>
        <v>SHIFT B</v>
      </c>
    </row>
    <row r="433" spans="1:10">
      <c r="A433">
        <v>550</v>
      </c>
      <c r="B433" t="s">
        <v>2163</v>
      </c>
      <c r="C433" t="s">
        <v>2164</v>
      </c>
      <c r="D433" t="s">
        <v>1064</v>
      </c>
      <c r="E433" t="s">
        <v>29</v>
      </c>
      <c r="F433" t="s">
        <v>85</v>
      </c>
      <c r="G433" t="str">
        <f t="shared" si="12"/>
        <v>DRILL</v>
      </c>
      <c r="H433" t="s">
        <v>34</v>
      </c>
      <c r="I433" t="s">
        <v>53</v>
      </c>
      <c r="J433" t="str">
        <f t="shared" si="13"/>
        <v>SHIFT A</v>
      </c>
    </row>
    <row r="434" spans="1:10">
      <c r="A434">
        <v>551</v>
      </c>
      <c r="B434" t="s">
        <v>2165</v>
      </c>
      <c r="C434" t="s">
        <v>2166</v>
      </c>
      <c r="D434" t="s">
        <v>1064</v>
      </c>
      <c r="E434" t="s">
        <v>29</v>
      </c>
      <c r="F434" t="s">
        <v>62</v>
      </c>
      <c r="G434" t="str">
        <f t="shared" si="12"/>
        <v>CU</v>
      </c>
      <c r="H434" t="s">
        <v>34</v>
      </c>
      <c r="I434" t="s">
        <v>146</v>
      </c>
      <c r="J434" t="str">
        <f t="shared" si="13"/>
        <v>SHIFT C</v>
      </c>
    </row>
    <row r="435" spans="1:10">
      <c r="A435">
        <v>552</v>
      </c>
      <c r="B435" t="s">
        <v>2167</v>
      </c>
      <c r="C435" t="s">
        <v>2168</v>
      </c>
      <c r="D435" t="s">
        <v>1064</v>
      </c>
      <c r="E435" t="s">
        <v>29</v>
      </c>
      <c r="F435" t="s">
        <v>62</v>
      </c>
      <c r="G435" t="str">
        <f t="shared" si="12"/>
        <v>CU</v>
      </c>
      <c r="H435" t="s">
        <v>34</v>
      </c>
      <c r="I435" t="s">
        <v>89</v>
      </c>
      <c r="J435" t="str">
        <f t="shared" si="13"/>
        <v>SHIFT B</v>
      </c>
    </row>
    <row r="436" spans="1:10">
      <c r="A436">
        <v>553</v>
      </c>
      <c r="B436" t="s">
        <v>2169</v>
      </c>
      <c r="C436" t="s">
        <v>2170</v>
      </c>
      <c r="D436" t="s">
        <v>28</v>
      </c>
      <c r="E436" t="s">
        <v>29</v>
      </c>
      <c r="F436" t="s">
        <v>48</v>
      </c>
      <c r="G436" t="str">
        <f t="shared" si="12"/>
        <v>ROUTER</v>
      </c>
      <c r="H436" t="s">
        <v>34</v>
      </c>
      <c r="I436" t="s">
        <v>53</v>
      </c>
      <c r="J436" t="str">
        <f t="shared" si="13"/>
        <v>SHIFT A</v>
      </c>
    </row>
    <row r="437" spans="1:10">
      <c r="A437">
        <v>554</v>
      </c>
      <c r="B437" t="s">
        <v>2171</v>
      </c>
      <c r="C437" t="s">
        <v>2172</v>
      </c>
      <c r="D437" t="s">
        <v>1064</v>
      </c>
      <c r="E437" t="s">
        <v>29</v>
      </c>
      <c r="F437" t="s">
        <v>680</v>
      </c>
      <c r="G437" t="str">
        <f t="shared" si="12"/>
        <v>CHAMFER</v>
      </c>
      <c r="H437" t="s">
        <v>34</v>
      </c>
      <c r="I437" t="s">
        <v>89</v>
      </c>
      <c r="J437" t="str">
        <f t="shared" si="13"/>
        <v>SHIFT B</v>
      </c>
    </row>
    <row r="438" spans="1:10">
      <c r="A438">
        <v>555</v>
      </c>
      <c r="B438" t="s">
        <v>2173</v>
      </c>
      <c r="C438" t="s">
        <v>2174</v>
      </c>
      <c r="D438" t="s">
        <v>1064</v>
      </c>
      <c r="E438" t="s">
        <v>29</v>
      </c>
      <c r="F438" t="s">
        <v>62</v>
      </c>
      <c r="G438" t="str">
        <f t="shared" si="12"/>
        <v>CU</v>
      </c>
      <c r="H438" t="s">
        <v>34</v>
      </c>
      <c r="I438" t="s">
        <v>53</v>
      </c>
      <c r="J438" t="str">
        <f t="shared" si="13"/>
        <v>SHIFT A</v>
      </c>
    </row>
    <row r="439" spans="1:10">
      <c r="A439">
        <v>556</v>
      </c>
      <c r="B439" t="s">
        <v>2175</v>
      </c>
      <c r="C439" t="s">
        <v>2176</v>
      </c>
      <c r="D439" t="s">
        <v>1064</v>
      </c>
      <c r="E439" t="s">
        <v>608</v>
      </c>
      <c r="F439" t="s">
        <v>609</v>
      </c>
      <c r="G439" t="str">
        <f t="shared" si="12"/>
        <v>NPI</v>
      </c>
      <c r="H439" t="s">
        <v>34</v>
      </c>
      <c r="I439" t="s">
        <v>89</v>
      </c>
      <c r="J439" t="str">
        <f t="shared" si="13"/>
        <v>SHIFT B</v>
      </c>
    </row>
    <row r="440" spans="1:10">
      <c r="A440">
        <v>557</v>
      </c>
      <c r="B440" t="s">
        <v>2177</v>
      </c>
      <c r="C440" t="s">
        <v>2178</v>
      </c>
      <c r="D440" t="s">
        <v>1064</v>
      </c>
      <c r="E440" t="s">
        <v>608</v>
      </c>
      <c r="F440" t="s">
        <v>609</v>
      </c>
      <c r="G440" t="str">
        <f t="shared" si="12"/>
        <v>NPI</v>
      </c>
      <c r="H440" t="s">
        <v>34</v>
      </c>
      <c r="I440" t="s">
        <v>53</v>
      </c>
      <c r="J440" t="str">
        <f t="shared" si="13"/>
        <v>SHIFT A</v>
      </c>
    </row>
    <row r="441" spans="1:10">
      <c r="A441">
        <v>558</v>
      </c>
      <c r="B441" t="s">
        <v>2179</v>
      </c>
      <c r="C441" t="s">
        <v>2180</v>
      </c>
      <c r="D441" t="s">
        <v>1064</v>
      </c>
      <c r="E441" t="s">
        <v>29</v>
      </c>
      <c r="F441" t="s">
        <v>85</v>
      </c>
      <c r="G441" t="str">
        <f t="shared" si="12"/>
        <v>DRILL</v>
      </c>
      <c r="H441" t="s">
        <v>34</v>
      </c>
      <c r="I441" t="s">
        <v>53</v>
      </c>
      <c r="J441" t="str">
        <f t="shared" si="13"/>
        <v>SHIFT A</v>
      </c>
    </row>
    <row r="442" spans="1:10">
      <c r="A442">
        <v>559</v>
      </c>
      <c r="B442" t="s">
        <v>2181</v>
      </c>
      <c r="C442" t="s">
        <v>2182</v>
      </c>
      <c r="D442" t="s">
        <v>28</v>
      </c>
      <c r="E442" t="s">
        <v>29</v>
      </c>
      <c r="F442" t="s">
        <v>79</v>
      </c>
      <c r="G442" t="str">
        <f t="shared" si="12"/>
        <v>SM</v>
      </c>
      <c r="H442" t="s">
        <v>34</v>
      </c>
      <c r="I442" t="s">
        <v>146</v>
      </c>
      <c r="J442" t="str">
        <f t="shared" si="13"/>
        <v>SHIFT C</v>
      </c>
    </row>
    <row r="443" spans="1:10">
      <c r="A443">
        <v>560</v>
      </c>
      <c r="B443" t="s">
        <v>2183</v>
      </c>
      <c r="C443" t="s">
        <v>2184</v>
      </c>
      <c r="D443" t="s">
        <v>28</v>
      </c>
      <c r="E443" t="s">
        <v>29</v>
      </c>
      <c r="F443" t="s">
        <v>79</v>
      </c>
      <c r="G443" t="str">
        <f t="shared" si="12"/>
        <v>SM</v>
      </c>
      <c r="H443" t="s">
        <v>34</v>
      </c>
      <c r="I443" t="s">
        <v>89</v>
      </c>
      <c r="J443" t="str">
        <f t="shared" si="13"/>
        <v>SHIFT B</v>
      </c>
    </row>
    <row r="444" spans="1:10">
      <c r="A444">
        <v>566</v>
      </c>
      <c r="B444" t="s">
        <v>2206</v>
      </c>
      <c r="C444" t="s">
        <v>1231</v>
      </c>
      <c r="D444" t="s">
        <v>499</v>
      </c>
      <c r="E444" t="s">
        <v>29</v>
      </c>
      <c r="F444" t="s">
        <v>1216</v>
      </c>
      <c r="G444" t="str">
        <f t="shared" si="12"/>
        <v>FVI</v>
      </c>
      <c r="H444" t="s">
        <v>106</v>
      </c>
      <c r="I444" t="s">
        <v>89</v>
      </c>
      <c r="J444" t="str">
        <f t="shared" si="13"/>
        <v>SHIFT B</v>
      </c>
    </row>
    <row r="445" spans="1:10">
      <c r="A445">
        <v>569</v>
      </c>
      <c r="B445" t="s">
        <v>2217</v>
      </c>
      <c r="C445" t="s">
        <v>2218</v>
      </c>
      <c r="D445" t="s">
        <v>1064</v>
      </c>
      <c r="E445" t="s">
        <v>29</v>
      </c>
      <c r="F445" t="s">
        <v>1216</v>
      </c>
      <c r="G445" t="str">
        <f t="shared" si="12"/>
        <v>FVI</v>
      </c>
      <c r="H445" t="s">
        <v>106</v>
      </c>
      <c r="I445" t="s">
        <v>89</v>
      </c>
      <c r="J445" t="str">
        <f t="shared" si="13"/>
        <v>SHIFT B</v>
      </c>
    </row>
    <row r="446" spans="1:10">
      <c r="A446">
        <v>570</v>
      </c>
      <c r="B446" t="s">
        <v>2219</v>
      </c>
      <c r="C446" t="s">
        <v>2220</v>
      </c>
      <c r="D446" t="s">
        <v>1064</v>
      </c>
      <c r="E446" t="s">
        <v>29</v>
      </c>
      <c r="F446" t="s">
        <v>1216</v>
      </c>
      <c r="G446" t="str">
        <f t="shared" si="12"/>
        <v>FVI</v>
      </c>
      <c r="H446" t="s">
        <v>106</v>
      </c>
      <c r="I446" t="s">
        <v>146</v>
      </c>
      <c r="J446" t="str">
        <f t="shared" si="13"/>
        <v>SHIFT C</v>
      </c>
    </row>
    <row r="447" spans="1:10">
      <c r="A447">
        <v>571</v>
      </c>
      <c r="B447" t="s">
        <v>2221</v>
      </c>
      <c r="C447" t="s">
        <v>2222</v>
      </c>
      <c r="D447" t="s">
        <v>1064</v>
      </c>
      <c r="E447" t="s">
        <v>29</v>
      </c>
      <c r="F447" t="s">
        <v>1216</v>
      </c>
      <c r="G447" t="str">
        <f t="shared" si="12"/>
        <v>FVI</v>
      </c>
      <c r="H447" t="s">
        <v>106</v>
      </c>
      <c r="I447" t="s">
        <v>89</v>
      </c>
      <c r="J447" t="str">
        <f t="shared" si="13"/>
        <v>SHIFT B</v>
      </c>
    </row>
    <row r="448" spans="1:10">
      <c r="A448">
        <v>572</v>
      </c>
      <c r="B448" t="s">
        <v>2223</v>
      </c>
      <c r="C448" t="s">
        <v>2224</v>
      </c>
      <c r="D448" t="s">
        <v>28</v>
      </c>
      <c r="E448" t="s">
        <v>29</v>
      </c>
      <c r="F448" t="s">
        <v>1058</v>
      </c>
      <c r="G448" t="str">
        <f t="shared" si="12"/>
        <v>LASER</v>
      </c>
      <c r="H448" t="s">
        <v>106</v>
      </c>
      <c r="I448" t="s">
        <v>89</v>
      </c>
      <c r="J448" t="str">
        <f t="shared" si="13"/>
        <v>SHIFT B</v>
      </c>
    </row>
    <row r="449" spans="1:10">
      <c r="A449">
        <v>573</v>
      </c>
      <c r="B449" t="s">
        <v>2225</v>
      </c>
      <c r="C449" t="s">
        <v>2226</v>
      </c>
      <c r="D449" t="s">
        <v>1064</v>
      </c>
      <c r="E449" t="s">
        <v>29</v>
      </c>
      <c r="F449" t="s">
        <v>1216</v>
      </c>
      <c r="G449" t="str">
        <f t="shared" si="12"/>
        <v>FVI</v>
      </c>
      <c r="H449" t="s">
        <v>106</v>
      </c>
      <c r="I449" t="s">
        <v>89</v>
      </c>
      <c r="J449" t="str">
        <f t="shared" si="13"/>
        <v>SHIFT B</v>
      </c>
    </row>
    <row r="450" spans="1:10">
      <c r="A450">
        <v>574</v>
      </c>
      <c r="B450" t="s">
        <v>2227</v>
      </c>
      <c r="C450" t="s">
        <v>2228</v>
      </c>
      <c r="D450" t="s">
        <v>1064</v>
      </c>
      <c r="E450" t="s">
        <v>29</v>
      </c>
      <c r="F450" t="s">
        <v>1216</v>
      </c>
      <c r="G450" t="str">
        <f t="shared" si="12"/>
        <v>FVI</v>
      </c>
      <c r="H450" t="s">
        <v>106</v>
      </c>
      <c r="I450" t="s">
        <v>89</v>
      </c>
      <c r="J450" t="str">
        <f t="shared" si="13"/>
        <v>SHIFT B</v>
      </c>
    </row>
    <row r="451" spans="1:10">
      <c r="A451">
        <v>575</v>
      </c>
      <c r="B451" t="s">
        <v>2229</v>
      </c>
      <c r="C451" t="s">
        <v>2230</v>
      </c>
      <c r="D451" t="s">
        <v>1064</v>
      </c>
      <c r="E451" t="s">
        <v>29</v>
      </c>
      <c r="F451" t="s">
        <v>1216</v>
      </c>
      <c r="G451" t="str">
        <f t="shared" si="12"/>
        <v>FVI</v>
      </c>
      <c r="H451" t="s">
        <v>106</v>
      </c>
      <c r="I451" t="s">
        <v>146</v>
      </c>
      <c r="J451" t="str">
        <f t="shared" si="13"/>
        <v>SHIFT C</v>
      </c>
    </row>
    <row r="452" spans="1:10">
      <c r="A452">
        <v>576</v>
      </c>
      <c r="B452" t="s">
        <v>2231</v>
      </c>
      <c r="C452" t="s">
        <v>2232</v>
      </c>
      <c r="D452" t="s">
        <v>1064</v>
      </c>
      <c r="E452" t="s">
        <v>29</v>
      </c>
      <c r="F452" t="s">
        <v>85</v>
      </c>
      <c r="G452" t="str">
        <f t="shared" ref="G452:G515" si="14">IF(OR(ISNUMBER(SEARCH("P1",F452)),ISNUMBER(SEARCH("P2",F452)),ISNUMBER(SEARCH("P3",F452)),ISNUMBER(SEARCH("P4",F452)),ISNUMBER(SEARCH("P5",F452))),"EQUIPMENT",
IF(ISNUMBER(SEARCH("Warehouse",F452)),"WAREHOUSE",
IF(ISNUMBER(SEARCH("WWTP",F452)),"ENVIRONMENT",
IF(OR(ISNUMBER(SEARCH("QC",F452)),ISNUMBER(SEARCH("RELIABILITY",F452)),ISNUMBER(SEARCH("OQA",F452)),ISNUMBER(SEARCH("CHEMICAL",F452))),"QUALITY",
IF(OR(ISNUMBER(SEARCH("OPERATION",F452)),ISNUMBER(SEARCH("PSM",F452))),"HS",
IF(ISNUMBER(SEARCH("FVI",F452)),"FVI",
IF(OR(ISNUMBER(SEARCH("ELECTRICITY",F452)),ISNUMBER(SEARCH("FACILITIES",F452)),ISNUMBER(SEARCH("MECHANICAL",F452))),"FACILITY",F452)))))))</f>
        <v>DRILL</v>
      </c>
      <c r="H452" t="s">
        <v>106</v>
      </c>
      <c r="I452" t="s">
        <v>89</v>
      </c>
      <c r="J452" t="str">
        <f t="shared" ref="J452:J515" si="15">IF(ISNUMBER(SEARCH("GROUP C",I452)),"SHIFT C",
IF(ISNUMBER(SEARCH("GROUP A",I452)),"SHIFT A",
IF(ISNUMBER(SEARCH("GROUP O",I452)),"SHIFT O",
IF(ISNUMBER(SEARCH("GROUP B",I452)),"SHIFT B",
IF(ISNUMBER(SEARCH("GROUP E",I452)),"SHIFT E","")))))</f>
        <v>SHIFT B</v>
      </c>
    </row>
    <row r="453" spans="1:10">
      <c r="A453">
        <v>577</v>
      </c>
      <c r="B453" t="s">
        <v>2233</v>
      </c>
      <c r="C453" t="s">
        <v>2234</v>
      </c>
      <c r="D453" t="s">
        <v>1064</v>
      </c>
      <c r="E453" t="s">
        <v>29</v>
      </c>
      <c r="F453" t="s">
        <v>1216</v>
      </c>
      <c r="G453" t="str">
        <f t="shared" si="14"/>
        <v>FVI</v>
      </c>
      <c r="H453" t="s">
        <v>106</v>
      </c>
      <c r="I453" t="s">
        <v>53</v>
      </c>
      <c r="J453" t="str">
        <f t="shared" si="15"/>
        <v>SHIFT A</v>
      </c>
    </row>
    <row r="454" spans="1:10">
      <c r="A454">
        <v>578</v>
      </c>
      <c r="B454" t="s">
        <v>2235</v>
      </c>
      <c r="C454" t="s">
        <v>2236</v>
      </c>
      <c r="D454" t="s">
        <v>1064</v>
      </c>
      <c r="E454" t="s">
        <v>29</v>
      </c>
      <c r="F454" t="s">
        <v>1216</v>
      </c>
      <c r="G454" t="str">
        <f t="shared" si="14"/>
        <v>FVI</v>
      </c>
      <c r="H454" t="s">
        <v>106</v>
      </c>
      <c r="I454" t="s">
        <v>146</v>
      </c>
      <c r="J454" t="str">
        <f t="shared" si="15"/>
        <v>SHIFT C</v>
      </c>
    </row>
    <row r="455" spans="1:10">
      <c r="A455">
        <v>579</v>
      </c>
      <c r="B455" t="s">
        <v>2237</v>
      </c>
      <c r="C455" t="s">
        <v>2238</v>
      </c>
      <c r="D455" t="s">
        <v>1064</v>
      </c>
      <c r="E455" t="s">
        <v>29</v>
      </c>
      <c r="F455" t="s">
        <v>1216</v>
      </c>
      <c r="G455" t="str">
        <f t="shared" si="14"/>
        <v>FVI</v>
      </c>
      <c r="H455" t="s">
        <v>106</v>
      </c>
      <c r="I455" t="s">
        <v>53</v>
      </c>
      <c r="J455" t="str">
        <f t="shared" si="15"/>
        <v>SHIFT A</v>
      </c>
    </row>
    <row r="456" spans="1:10">
      <c r="A456">
        <v>580</v>
      </c>
      <c r="B456" t="s">
        <v>2239</v>
      </c>
      <c r="C456" t="s">
        <v>2240</v>
      </c>
      <c r="D456" t="s">
        <v>1064</v>
      </c>
      <c r="E456" t="s">
        <v>29</v>
      </c>
      <c r="F456" t="s">
        <v>1216</v>
      </c>
      <c r="G456" t="str">
        <f t="shared" si="14"/>
        <v>FVI</v>
      </c>
      <c r="H456" t="s">
        <v>106</v>
      </c>
      <c r="I456" t="s">
        <v>53</v>
      </c>
      <c r="J456" t="str">
        <f t="shared" si="15"/>
        <v>SHIFT A</v>
      </c>
    </row>
    <row r="457" spans="1:10">
      <c r="A457">
        <v>581</v>
      </c>
      <c r="B457" t="s">
        <v>2241</v>
      </c>
      <c r="C457" t="s">
        <v>2242</v>
      </c>
      <c r="D457" t="s">
        <v>1064</v>
      </c>
      <c r="E457" t="s">
        <v>29</v>
      </c>
      <c r="F457" t="s">
        <v>1216</v>
      </c>
      <c r="G457" t="str">
        <f t="shared" si="14"/>
        <v>FVI</v>
      </c>
      <c r="H457" t="s">
        <v>106</v>
      </c>
      <c r="I457" t="s">
        <v>89</v>
      </c>
      <c r="J457" t="str">
        <f t="shared" si="15"/>
        <v>SHIFT B</v>
      </c>
    </row>
    <row r="458" spans="1:10">
      <c r="A458">
        <v>583</v>
      </c>
      <c r="B458" t="s">
        <v>2247</v>
      </c>
      <c r="C458" t="s">
        <v>2248</v>
      </c>
      <c r="D458" t="s">
        <v>762</v>
      </c>
      <c r="E458" t="s">
        <v>446</v>
      </c>
      <c r="F458" t="s">
        <v>860</v>
      </c>
      <c r="G458" t="str">
        <f t="shared" si="14"/>
        <v>EQUIPMENT</v>
      </c>
      <c r="H458" t="s">
        <v>34</v>
      </c>
      <c r="I458" t="s">
        <v>89</v>
      </c>
      <c r="J458" t="str">
        <f t="shared" si="15"/>
        <v>SHIFT B</v>
      </c>
    </row>
    <row r="459" spans="1:10">
      <c r="A459">
        <v>584</v>
      </c>
      <c r="B459" t="s">
        <v>2251</v>
      </c>
      <c r="C459" t="s">
        <v>2252</v>
      </c>
      <c r="D459" t="s">
        <v>762</v>
      </c>
      <c r="E459" t="s">
        <v>446</v>
      </c>
      <c r="F459" t="s">
        <v>860</v>
      </c>
      <c r="G459" t="str">
        <f t="shared" si="14"/>
        <v>EQUIPMENT</v>
      </c>
      <c r="H459" t="s">
        <v>34</v>
      </c>
      <c r="I459" t="s">
        <v>89</v>
      </c>
      <c r="J459" t="str">
        <f t="shared" si="15"/>
        <v>SHIFT B</v>
      </c>
    </row>
    <row r="460" spans="1:10">
      <c r="A460">
        <v>586</v>
      </c>
      <c r="B460" t="s">
        <v>2259</v>
      </c>
      <c r="C460" t="s">
        <v>2260</v>
      </c>
      <c r="D460" t="s">
        <v>1064</v>
      </c>
      <c r="E460" t="s">
        <v>29</v>
      </c>
      <c r="F460" t="s">
        <v>56</v>
      </c>
      <c r="G460" t="str">
        <f t="shared" si="14"/>
        <v>AOI</v>
      </c>
      <c r="H460" t="s">
        <v>34</v>
      </c>
      <c r="I460" t="s">
        <v>89</v>
      </c>
      <c r="J460" t="str">
        <f t="shared" si="15"/>
        <v>SHIFT B</v>
      </c>
    </row>
    <row r="461" spans="1:10">
      <c r="A461">
        <v>587</v>
      </c>
      <c r="B461" t="s">
        <v>2263</v>
      </c>
      <c r="C461" t="s">
        <v>203</v>
      </c>
      <c r="D461" t="s">
        <v>499</v>
      </c>
      <c r="E461" t="s">
        <v>29</v>
      </c>
      <c r="F461" t="s">
        <v>56</v>
      </c>
      <c r="G461" t="str">
        <f t="shared" si="14"/>
        <v>AOI</v>
      </c>
      <c r="H461" t="s">
        <v>34</v>
      </c>
      <c r="I461" t="s">
        <v>89</v>
      </c>
      <c r="J461" t="str">
        <f t="shared" si="15"/>
        <v>SHIFT B</v>
      </c>
    </row>
    <row r="462" spans="1:10">
      <c r="A462">
        <v>588</v>
      </c>
      <c r="B462" t="s">
        <v>2266</v>
      </c>
      <c r="C462" t="s">
        <v>2267</v>
      </c>
      <c r="D462" t="s">
        <v>28</v>
      </c>
      <c r="E462" t="s">
        <v>29</v>
      </c>
      <c r="F462" t="s">
        <v>72</v>
      </c>
      <c r="G462" t="str">
        <f t="shared" si="14"/>
        <v>BBT</v>
      </c>
      <c r="H462" t="s">
        <v>34</v>
      </c>
      <c r="I462" t="s">
        <v>146</v>
      </c>
      <c r="J462" t="str">
        <f t="shared" si="15"/>
        <v>SHIFT C</v>
      </c>
    </row>
    <row r="463" spans="1:10">
      <c r="A463">
        <v>589</v>
      </c>
      <c r="B463" t="s">
        <v>2270</v>
      </c>
      <c r="C463" t="s">
        <v>1809</v>
      </c>
      <c r="D463" t="s">
        <v>499</v>
      </c>
      <c r="E463" t="s">
        <v>29</v>
      </c>
      <c r="F463" t="s">
        <v>62</v>
      </c>
      <c r="G463" t="str">
        <f t="shared" si="14"/>
        <v>CU</v>
      </c>
      <c r="H463" t="s">
        <v>34</v>
      </c>
      <c r="I463" t="s">
        <v>146</v>
      </c>
      <c r="J463" t="str">
        <f t="shared" si="15"/>
        <v>SHIFT C</v>
      </c>
    </row>
    <row r="464" spans="1:10">
      <c r="A464">
        <v>591</v>
      </c>
      <c r="B464" t="s">
        <v>2277</v>
      </c>
      <c r="C464" t="s">
        <v>2278</v>
      </c>
      <c r="D464" t="s">
        <v>28</v>
      </c>
      <c r="E464" t="s">
        <v>29</v>
      </c>
      <c r="F464" t="s">
        <v>30</v>
      </c>
      <c r="G464" t="str">
        <f t="shared" si="14"/>
        <v>DF</v>
      </c>
      <c r="H464" t="s">
        <v>34</v>
      </c>
      <c r="I464" t="s">
        <v>53</v>
      </c>
      <c r="J464" t="str">
        <f t="shared" si="15"/>
        <v>SHIFT A</v>
      </c>
    </row>
    <row r="465" spans="1:10">
      <c r="A465">
        <v>592</v>
      </c>
      <c r="B465" t="s">
        <v>2281</v>
      </c>
      <c r="C465" t="s">
        <v>2282</v>
      </c>
      <c r="D465" t="s">
        <v>28</v>
      </c>
      <c r="E465" t="s">
        <v>29</v>
      </c>
      <c r="F465" t="s">
        <v>30</v>
      </c>
      <c r="G465" t="str">
        <f t="shared" si="14"/>
        <v>DF</v>
      </c>
      <c r="H465" t="s">
        <v>34</v>
      </c>
      <c r="I465" t="s">
        <v>89</v>
      </c>
      <c r="J465" t="str">
        <f t="shared" si="15"/>
        <v>SHIFT B</v>
      </c>
    </row>
    <row r="466" spans="1:10">
      <c r="A466">
        <v>593</v>
      </c>
      <c r="B466" t="s">
        <v>2285</v>
      </c>
      <c r="C466" t="s">
        <v>2286</v>
      </c>
      <c r="D466" t="s">
        <v>1064</v>
      </c>
      <c r="E466" t="s">
        <v>29</v>
      </c>
      <c r="F466" t="s">
        <v>30</v>
      </c>
      <c r="G466" t="str">
        <f t="shared" si="14"/>
        <v>DF</v>
      </c>
      <c r="H466" t="s">
        <v>34</v>
      </c>
      <c r="I466" t="s">
        <v>89</v>
      </c>
      <c r="J466" t="str">
        <f t="shared" si="15"/>
        <v>SHIFT B</v>
      </c>
    </row>
    <row r="467" spans="1:10">
      <c r="A467">
        <v>594</v>
      </c>
      <c r="B467" t="s">
        <v>2289</v>
      </c>
      <c r="C467" t="s">
        <v>2290</v>
      </c>
      <c r="D467" t="s">
        <v>28</v>
      </c>
      <c r="E467" t="s">
        <v>29</v>
      </c>
      <c r="F467" t="s">
        <v>1216</v>
      </c>
      <c r="G467" t="str">
        <f t="shared" si="14"/>
        <v>FVI</v>
      </c>
      <c r="H467" t="s">
        <v>106</v>
      </c>
      <c r="I467" t="s">
        <v>146</v>
      </c>
      <c r="J467" t="str">
        <f t="shared" si="15"/>
        <v>SHIFT C</v>
      </c>
    </row>
    <row r="468" spans="1:10">
      <c r="A468">
        <v>595</v>
      </c>
      <c r="B468" t="s">
        <v>2293</v>
      </c>
      <c r="C468" t="s">
        <v>2294</v>
      </c>
      <c r="D468" t="s">
        <v>1054</v>
      </c>
      <c r="E468" t="s">
        <v>29</v>
      </c>
      <c r="F468" t="s">
        <v>1216</v>
      </c>
      <c r="G468" t="str">
        <f t="shared" si="14"/>
        <v>FVI</v>
      </c>
      <c r="H468" t="s">
        <v>106</v>
      </c>
      <c r="I468" t="s">
        <v>89</v>
      </c>
      <c r="J468" t="str">
        <f t="shared" si="15"/>
        <v>SHIFT B</v>
      </c>
    </row>
    <row r="469" spans="1:10">
      <c r="A469">
        <v>596</v>
      </c>
      <c r="B469" t="s">
        <v>2297</v>
      </c>
      <c r="C469" t="s">
        <v>2298</v>
      </c>
      <c r="D469" t="s">
        <v>1064</v>
      </c>
      <c r="E469" t="s">
        <v>29</v>
      </c>
      <c r="F469" t="s">
        <v>1216</v>
      </c>
      <c r="G469" t="str">
        <f t="shared" si="14"/>
        <v>FVI</v>
      </c>
      <c r="H469" t="s">
        <v>106</v>
      </c>
      <c r="I469" t="s">
        <v>146</v>
      </c>
      <c r="J469" t="str">
        <f t="shared" si="15"/>
        <v>SHIFT C</v>
      </c>
    </row>
    <row r="470" spans="1:10">
      <c r="A470">
        <v>597</v>
      </c>
      <c r="B470" t="s">
        <v>2301</v>
      </c>
      <c r="C470" t="s">
        <v>2302</v>
      </c>
      <c r="D470" t="s">
        <v>1064</v>
      </c>
      <c r="E470" t="s">
        <v>29</v>
      </c>
      <c r="F470" t="s">
        <v>1216</v>
      </c>
      <c r="G470" t="str">
        <f t="shared" si="14"/>
        <v>FVI</v>
      </c>
      <c r="H470" t="s">
        <v>34</v>
      </c>
      <c r="I470" t="s">
        <v>146</v>
      </c>
      <c r="J470" t="str">
        <f t="shared" si="15"/>
        <v>SHIFT C</v>
      </c>
    </row>
    <row r="471" spans="1:10">
      <c r="A471">
        <v>598</v>
      </c>
      <c r="B471" t="s">
        <v>2305</v>
      </c>
      <c r="C471" t="s">
        <v>2306</v>
      </c>
      <c r="D471" t="s">
        <v>28</v>
      </c>
      <c r="E471" t="s">
        <v>29</v>
      </c>
      <c r="F471" t="s">
        <v>1216</v>
      </c>
      <c r="G471" t="str">
        <f t="shared" si="14"/>
        <v>FVI</v>
      </c>
      <c r="H471" t="s">
        <v>34</v>
      </c>
      <c r="I471" t="s">
        <v>146</v>
      </c>
      <c r="J471" t="str">
        <f t="shared" si="15"/>
        <v>SHIFT C</v>
      </c>
    </row>
    <row r="472" spans="1:10">
      <c r="A472">
        <v>599</v>
      </c>
      <c r="B472" t="s">
        <v>2309</v>
      </c>
      <c r="C472" t="s">
        <v>2310</v>
      </c>
      <c r="D472" t="s">
        <v>1064</v>
      </c>
      <c r="E472" t="s">
        <v>29</v>
      </c>
      <c r="F472" t="s">
        <v>85</v>
      </c>
      <c r="G472" t="str">
        <f t="shared" si="14"/>
        <v>DRILL</v>
      </c>
      <c r="H472" t="s">
        <v>34</v>
      </c>
      <c r="I472" t="s">
        <v>146</v>
      </c>
      <c r="J472" t="str">
        <f t="shared" si="15"/>
        <v>SHIFT C</v>
      </c>
    </row>
    <row r="473" spans="1:10">
      <c r="A473">
        <v>600</v>
      </c>
      <c r="B473" t="s">
        <v>2313</v>
      </c>
      <c r="C473" t="s">
        <v>2314</v>
      </c>
      <c r="D473" t="s">
        <v>1054</v>
      </c>
      <c r="E473" t="s">
        <v>29</v>
      </c>
      <c r="F473" t="s">
        <v>537</v>
      </c>
      <c r="G473" t="str">
        <f t="shared" si="14"/>
        <v>MLB</v>
      </c>
      <c r="H473" t="s">
        <v>34</v>
      </c>
      <c r="I473" t="s">
        <v>89</v>
      </c>
      <c r="J473" t="str">
        <f t="shared" si="15"/>
        <v>SHIFT B</v>
      </c>
    </row>
    <row r="474" spans="1:10">
      <c r="A474">
        <v>601</v>
      </c>
      <c r="B474" t="s">
        <v>2317</v>
      </c>
      <c r="C474" t="s">
        <v>2318</v>
      </c>
      <c r="D474" t="s">
        <v>28</v>
      </c>
      <c r="E474" t="s">
        <v>29</v>
      </c>
      <c r="F474" t="s">
        <v>79</v>
      </c>
      <c r="G474" t="str">
        <f t="shared" si="14"/>
        <v>SM</v>
      </c>
      <c r="H474" t="s">
        <v>106</v>
      </c>
      <c r="I474" t="s">
        <v>40</v>
      </c>
      <c r="J474" t="str">
        <f t="shared" si="15"/>
        <v>SHIFT E</v>
      </c>
    </row>
    <row r="475" spans="1:10">
      <c r="A475">
        <v>602</v>
      </c>
      <c r="B475" t="s">
        <v>2321</v>
      </c>
      <c r="C475" t="s">
        <v>2322</v>
      </c>
      <c r="D475" t="s">
        <v>28</v>
      </c>
      <c r="E475" t="s">
        <v>29</v>
      </c>
      <c r="F475" t="s">
        <v>79</v>
      </c>
      <c r="G475" t="str">
        <f t="shared" si="14"/>
        <v>SM</v>
      </c>
      <c r="H475" t="s">
        <v>34</v>
      </c>
      <c r="I475" t="s">
        <v>146</v>
      </c>
      <c r="J475" t="str">
        <f t="shared" si="15"/>
        <v>SHIFT C</v>
      </c>
    </row>
    <row r="476" spans="1:10">
      <c r="A476">
        <v>603</v>
      </c>
      <c r="B476" t="s">
        <v>2325</v>
      </c>
      <c r="C476" t="s">
        <v>2326</v>
      </c>
      <c r="D476" t="s">
        <v>28</v>
      </c>
      <c r="E476" t="s">
        <v>29</v>
      </c>
      <c r="F476" t="s">
        <v>79</v>
      </c>
      <c r="G476" t="str">
        <f t="shared" si="14"/>
        <v>SM</v>
      </c>
      <c r="H476" t="s">
        <v>34</v>
      </c>
      <c r="I476" t="s">
        <v>146</v>
      </c>
      <c r="J476" t="str">
        <f t="shared" si="15"/>
        <v>SHIFT C</v>
      </c>
    </row>
    <row r="477" spans="1:10">
      <c r="A477">
        <v>604</v>
      </c>
      <c r="B477" t="s">
        <v>2329</v>
      </c>
      <c r="C477" t="s">
        <v>2330</v>
      </c>
      <c r="D477" t="s">
        <v>28</v>
      </c>
      <c r="E477" t="s">
        <v>29</v>
      </c>
      <c r="F477" t="s">
        <v>79</v>
      </c>
      <c r="G477" t="str">
        <f t="shared" si="14"/>
        <v>SM</v>
      </c>
      <c r="H477" t="s">
        <v>34</v>
      </c>
      <c r="I477" t="s">
        <v>53</v>
      </c>
      <c r="J477" t="str">
        <f t="shared" si="15"/>
        <v>SHIFT A</v>
      </c>
    </row>
    <row r="478" spans="1:10">
      <c r="A478">
        <v>605</v>
      </c>
      <c r="B478" t="s">
        <v>2333</v>
      </c>
      <c r="C478" t="s">
        <v>2334</v>
      </c>
      <c r="D478" t="s">
        <v>1054</v>
      </c>
      <c r="E478" t="s">
        <v>29</v>
      </c>
      <c r="F478" t="s">
        <v>79</v>
      </c>
      <c r="G478" t="str">
        <f t="shared" si="14"/>
        <v>SM</v>
      </c>
      <c r="H478" t="s">
        <v>34</v>
      </c>
      <c r="I478" t="s">
        <v>146</v>
      </c>
      <c r="J478" t="str">
        <f t="shared" si="15"/>
        <v>SHIFT C</v>
      </c>
    </row>
    <row r="479" spans="1:10">
      <c r="A479">
        <v>606</v>
      </c>
      <c r="B479" t="s">
        <v>2337</v>
      </c>
      <c r="C479" t="s">
        <v>2338</v>
      </c>
      <c r="D479" t="s">
        <v>28</v>
      </c>
      <c r="E479" t="s">
        <v>417</v>
      </c>
      <c r="F479" t="s">
        <v>674</v>
      </c>
      <c r="G479" t="str">
        <f t="shared" si="14"/>
        <v>WAREHOUSE</v>
      </c>
      <c r="H479" t="s">
        <v>34</v>
      </c>
      <c r="I479" t="s">
        <v>146</v>
      </c>
      <c r="J479" t="str">
        <f t="shared" si="15"/>
        <v>SHIFT C</v>
      </c>
    </row>
    <row r="480" spans="1:10">
      <c r="A480">
        <v>607</v>
      </c>
      <c r="B480" t="s">
        <v>2342</v>
      </c>
      <c r="C480" t="s">
        <v>2343</v>
      </c>
      <c r="D480" t="s">
        <v>28</v>
      </c>
      <c r="E480" t="s">
        <v>417</v>
      </c>
      <c r="F480" t="s">
        <v>756</v>
      </c>
      <c r="G480" t="str">
        <f t="shared" si="14"/>
        <v>WAREHOUSE</v>
      </c>
      <c r="H480" t="s">
        <v>34</v>
      </c>
      <c r="I480" t="s">
        <v>53</v>
      </c>
      <c r="J480" t="str">
        <f t="shared" si="15"/>
        <v>SHIFT A</v>
      </c>
    </row>
    <row r="481" spans="1:10">
      <c r="A481">
        <v>608</v>
      </c>
      <c r="B481" t="s">
        <v>2346</v>
      </c>
      <c r="C481" t="s">
        <v>2347</v>
      </c>
      <c r="D481" t="s">
        <v>762</v>
      </c>
      <c r="E481" t="s">
        <v>446</v>
      </c>
      <c r="F481" t="s">
        <v>860</v>
      </c>
      <c r="G481" t="str">
        <f t="shared" si="14"/>
        <v>EQUIPMENT</v>
      </c>
      <c r="H481" t="s">
        <v>34</v>
      </c>
      <c r="I481" t="s">
        <v>53</v>
      </c>
      <c r="J481" t="str">
        <f t="shared" si="15"/>
        <v>SHIFT A</v>
      </c>
    </row>
    <row r="482" spans="1:10">
      <c r="A482">
        <v>610</v>
      </c>
      <c r="B482" t="s">
        <v>2354</v>
      </c>
      <c r="C482" t="s">
        <v>182</v>
      </c>
      <c r="D482" t="s">
        <v>499</v>
      </c>
      <c r="E482" t="s">
        <v>29</v>
      </c>
      <c r="F482" t="s">
        <v>680</v>
      </c>
      <c r="G482" t="str">
        <f t="shared" si="14"/>
        <v>CHAMFER</v>
      </c>
      <c r="H482" t="s">
        <v>34</v>
      </c>
      <c r="I482" t="s">
        <v>89</v>
      </c>
      <c r="J482" t="str">
        <f t="shared" si="15"/>
        <v>SHIFT B</v>
      </c>
    </row>
    <row r="483" spans="1:10">
      <c r="A483">
        <v>614</v>
      </c>
      <c r="B483" t="s">
        <v>2369</v>
      </c>
      <c r="C483" t="s">
        <v>2370</v>
      </c>
      <c r="D483" t="s">
        <v>1064</v>
      </c>
      <c r="E483" t="s">
        <v>29</v>
      </c>
      <c r="F483" t="s">
        <v>680</v>
      </c>
      <c r="G483" t="str">
        <f t="shared" si="14"/>
        <v>CHAMFER</v>
      </c>
      <c r="H483" t="s">
        <v>106</v>
      </c>
      <c r="I483" t="s">
        <v>53</v>
      </c>
      <c r="J483" t="str">
        <f t="shared" si="15"/>
        <v>SHIFT A</v>
      </c>
    </row>
    <row r="484" spans="1:10">
      <c r="A484">
        <v>615</v>
      </c>
      <c r="B484" t="s">
        <v>2371</v>
      </c>
      <c r="C484" t="s">
        <v>2372</v>
      </c>
      <c r="D484" t="s">
        <v>1064</v>
      </c>
      <c r="E484" t="s">
        <v>29</v>
      </c>
      <c r="F484" t="s">
        <v>680</v>
      </c>
      <c r="G484" t="str">
        <f t="shared" si="14"/>
        <v>CHAMFER</v>
      </c>
      <c r="H484" t="s">
        <v>106</v>
      </c>
      <c r="I484" t="s">
        <v>89</v>
      </c>
      <c r="J484" t="str">
        <f t="shared" si="15"/>
        <v>SHIFT B</v>
      </c>
    </row>
    <row r="485" spans="1:10">
      <c r="A485">
        <v>616</v>
      </c>
      <c r="B485" t="s">
        <v>2373</v>
      </c>
      <c r="C485" t="s">
        <v>2374</v>
      </c>
      <c r="D485" t="s">
        <v>1064</v>
      </c>
      <c r="E485" t="s">
        <v>29</v>
      </c>
      <c r="F485" t="s">
        <v>680</v>
      </c>
      <c r="G485" t="str">
        <f t="shared" si="14"/>
        <v>CHAMFER</v>
      </c>
      <c r="H485" t="s">
        <v>106</v>
      </c>
      <c r="I485" t="s">
        <v>146</v>
      </c>
      <c r="J485" t="str">
        <f t="shared" si="15"/>
        <v>SHIFT C</v>
      </c>
    </row>
    <row r="486" spans="1:10">
      <c r="A486">
        <v>617</v>
      </c>
      <c r="B486" t="s">
        <v>2375</v>
      </c>
      <c r="C486" t="s">
        <v>2376</v>
      </c>
      <c r="D486" t="s">
        <v>1064</v>
      </c>
      <c r="E486" t="s">
        <v>29</v>
      </c>
      <c r="F486" t="s">
        <v>680</v>
      </c>
      <c r="G486" t="str">
        <f t="shared" si="14"/>
        <v>CHAMFER</v>
      </c>
      <c r="H486" t="s">
        <v>106</v>
      </c>
      <c r="I486" t="s">
        <v>53</v>
      </c>
      <c r="J486" t="str">
        <f t="shared" si="15"/>
        <v>SHIFT A</v>
      </c>
    </row>
    <row r="487" spans="1:10">
      <c r="A487">
        <v>618</v>
      </c>
      <c r="B487" t="s">
        <v>2377</v>
      </c>
      <c r="C487" t="s">
        <v>2378</v>
      </c>
      <c r="D487" t="s">
        <v>1064</v>
      </c>
      <c r="E487" t="s">
        <v>29</v>
      </c>
      <c r="F487" t="s">
        <v>85</v>
      </c>
      <c r="G487" t="str">
        <f t="shared" si="14"/>
        <v>DRILL</v>
      </c>
      <c r="H487" t="s">
        <v>106</v>
      </c>
      <c r="I487" t="s">
        <v>146</v>
      </c>
      <c r="J487" t="str">
        <f t="shared" si="15"/>
        <v>SHIFT C</v>
      </c>
    </row>
    <row r="488" spans="1:10">
      <c r="A488">
        <v>619</v>
      </c>
      <c r="B488" t="s">
        <v>2379</v>
      </c>
      <c r="C488" t="s">
        <v>2380</v>
      </c>
      <c r="D488" t="s">
        <v>1064</v>
      </c>
      <c r="E488" t="s">
        <v>29</v>
      </c>
      <c r="F488" t="s">
        <v>1216</v>
      </c>
      <c r="G488" t="str">
        <f t="shared" si="14"/>
        <v>FVI</v>
      </c>
      <c r="H488" t="s">
        <v>106</v>
      </c>
      <c r="I488" t="s">
        <v>53</v>
      </c>
      <c r="J488" t="str">
        <f t="shared" si="15"/>
        <v>SHIFT A</v>
      </c>
    </row>
    <row r="489" spans="1:10">
      <c r="A489">
        <v>620</v>
      </c>
      <c r="B489" t="s">
        <v>2381</v>
      </c>
      <c r="C489" t="s">
        <v>2382</v>
      </c>
      <c r="D489" t="s">
        <v>1064</v>
      </c>
      <c r="E489" t="s">
        <v>29</v>
      </c>
      <c r="F489" t="s">
        <v>1216</v>
      </c>
      <c r="G489" t="str">
        <f t="shared" si="14"/>
        <v>FVI</v>
      </c>
      <c r="H489" t="s">
        <v>106</v>
      </c>
      <c r="I489" t="s">
        <v>89</v>
      </c>
      <c r="J489" t="str">
        <f t="shared" si="15"/>
        <v>SHIFT B</v>
      </c>
    </row>
    <row r="490" spans="1:10">
      <c r="A490">
        <v>621</v>
      </c>
      <c r="B490" t="s">
        <v>2383</v>
      </c>
      <c r="C490" t="s">
        <v>2384</v>
      </c>
      <c r="D490" t="s">
        <v>1064</v>
      </c>
      <c r="E490" t="s">
        <v>29</v>
      </c>
      <c r="F490" t="s">
        <v>85</v>
      </c>
      <c r="G490" t="str">
        <f t="shared" si="14"/>
        <v>DRILL</v>
      </c>
      <c r="H490" t="s">
        <v>106</v>
      </c>
      <c r="I490" t="s">
        <v>53</v>
      </c>
      <c r="J490" t="str">
        <f t="shared" si="15"/>
        <v>SHIFT A</v>
      </c>
    </row>
    <row r="491" spans="1:10">
      <c r="A491">
        <v>622</v>
      </c>
      <c r="B491" t="s">
        <v>2385</v>
      </c>
      <c r="C491" t="s">
        <v>2386</v>
      </c>
      <c r="D491" t="s">
        <v>1064</v>
      </c>
      <c r="E491" t="s">
        <v>29</v>
      </c>
      <c r="F491" t="s">
        <v>1216</v>
      </c>
      <c r="G491" t="str">
        <f t="shared" si="14"/>
        <v>FVI</v>
      </c>
      <c r="H491" t="s">
        <v>106</v>
      </c>
      <c r="I491" t="s">
        <v>53</v>
      </c>
      <c r="J491" t="str">
        <f t="shared" si="15"/>
        <v>SHIFT A</v>
      </c>
    </row>
    <row r="492" spans="1:10">
      <c r="A492">
        <v>623</v>
      </c>
      <c r="B492" t="s">
        <v>2387</v>
      </c>
      <c r="C492" t="s">
        <v>2388</v>
      </c>
      <c r="D492" t="s">
        <v>1064</v>
      </c>
      <c r="E492" t="s">
        <v>29</v>
      </c>
      <c r="F492" t="s">
        <v>680</v>
      </c>
      <c r="G492" t="str">
        <f t="shared" si="14"/>
        <v>CHAMFER</v>
      </c>
      <c r="H492" t="s">
        <v>106</v>
      </c>
      <c r="I492" t="s">
        <v>146</v>
      </c>
      <c r="J492" t="str">
        <f t="shared" si="15"/>
        <v>SHIFT C</v>
      </c>
    </row>
    <row r="493" spans="1:10">
      <c r="A493">
        <v>624</v>
      </c>
      <c r="B493" t="s">
        <v>2389</v>
      </c>
      <c r="C493" t="s">
        <v>2390</v>
      </c>
      <c r="D493" t="s">
        <v>1064</v>
      </c>
      <c r="E493" t="s">
        <v>29</v>
      </c>
      <c r="F493" t="s">
        <v>56</v>
      </c>
      <c r="G493" t="str">
        <f t="shared" si="14"/>
        <v>AOI</v>
      </c>
      <c r="H493" t="s">
        <v>106</v>
      </c>
      <c r="I493" t="s">
        <v>53</v>
      </c>
      <c r="J493" t="str">
        <f t="shared" si="15"/>
        <v>SHIFT A</v>
      </c>
    </row>
    <row r="494" spans="1:10">
      <c r="A494">
        <v>625</v>
      </c>
      <c r="B494" t="s">
        <v>2391</v>
      </c>
      <c r="C494" t="s">
        <v>2392</v>
      </c>
      <c r="D494" t="s">
        <v>1064</v>
      </c>
      <c r="E494" t="s">
        <v>29</v>
      </c>
      <c r="F494" t="s">
        <v>680</v>
      </c>
      <c r="G494" t="str">
        <f t="shared" si="14"/>
        <v>CHAMFER</v>
      </c>
      <c r="H494" t="s">
        <v>106</v>
      </c>
      <c r="I494" t="s">
        <v>89</v>
      </c>
      <c r="J494" t="str">
        <f t="shared" si="15"/>
        <v>SHIFT B</v>
      </c>
    </row>
    <row r="495" spans="1:10">
      <c r="A495">
        <v>626</v>
      </c>
      <c r="B495" t="s">
        <v>2393</v>
      </c>
      <c r="C495" s="30" t="s">
        <v>2394</v>
      </c>
      <c r="D495" t="s">
        <v>28</v>
      </c>
      <c r="E495" t="s">
        <v>29</v>
      </c>
      <c r="F495" t="s">
        <v>56</v>
      </c>
      <c r="G495" t="str">
        <f t="shared" si="14"/>
        <v>AOI</v>
      </c>
      <c r="H495" t="s">
        <v>106</v>
      </c>
      <c r="I495" t="s">
        <v>76</v>
      </c>
      <c r="J495" t="str">
        <f t="shared" si="15"/>
        <v>SHIFT E</v>
      </c>
    </row>
    <row r="496" spans="1:10">
      <c r="A496">
        <v>627</v>
      </c>
      <c r="B496" t="s">
        <v>2395</v>
      </c>
      <c r="C496" t="s">
        <v>2396</v>
      </c>
      <c r="D496" t="s">
        <v>1064</v>
      </c>
      <c r="E496" t="s">
        <v>29</v>
      </c>
      <c r="F496" t="s">
        <v>56</v>
      </c>
      <c r="G496" t="str">
        <f t="shared" si="14"/>
        <v>AOI</v>
      </c>
      <c r="H496" t="s">
        <v>106</v>
      </c>
      <c r="I496" t="s">
        <v>146</v>
      </c>
      <c r="J496" t="str">
        <f t="shared" si="15"/>
        <v>SHIFT C</v>
      </c>
    </row>
    <row r="497" spans="1:10">
      <c r="A497">
        <v>628</v>
      </c>
      <c r="B497" t="s">
        <v>2397</v>
      </c>
      <c r="C497" t="s">
        <v>2398</v>
      </c>
      <c r="D497" t="s">
        <v>1064</v>
      </c>
      <c r="E497" t="s">
        <v>29</v>
      </c>
      <c r="F497" t="s">
        <v>85</v>
      </c>
      <c r="G497" t="str">
        <f t="shared" si="14"/>
        <v>DRILL</v>
      </c>
      <c r="H497" t="s">
        <v>106</v>
      </c>
      <c r="I497" t="s">
        <v>89</v>
      </c>
      <c r="J497" t="str">
        <f t="shared" si="15"/>
        <v>SHIFT B</v>
      </c>
    </row>
    <row r="498" spans="1:10">
      <c r="A498">
        <v>629</v>
      </c>
      <c r="B498" t="s">
        <v>2399</v>
      </c>
      <c r="C498" t="s">
        <v>2400</v>
      </c>
      <c r="D498" t="s">
        <v>1064</v>
      </c>
      <c r="E498" t="s">
        <v>29</v>
      </c>
      <c r="F498" t="s">
        <v>56</v>
      </c>
      <c r="G498" t="str">
        <f t="shared" si="14"/>
        <v>AOI</v>
      </c>
      <c r="H498" t="s">
        <v>106</v>
      </c>
      <c r="I498" t="s">
        <v>146</v>
      </c>
      <c r="J498" t="str">
        <f t="shared" si="15"/>
        <v>SHIFT C</v>
      </c>
    </row>
    <row r="499" spans="1:10">
      <c r="A499">
        <v>630</v>
      </c>
      <c r="B499" t="s">
        <v>2401</v>
      </c>
      <c r="C499" t="s">
        <v>2402</v>
      </c>
      <c r="D499" t="s">
        <v>1064</v>
      </c>
      <c r="E499" t="s">
        <v>29</v>
      </c>
      <c r="F499" t="s">
        <v>1216</v>
      </c>
      <c r="G499" t="str">
        <f t="shared" si="14"/>
        <v>FVI</v>
      </c>
      <c r="H499" t="s">
        <v>106</v>
      </c>
      <c r="I499" t="s">
        <v>89</v>
      </c>
      <c r="J499" t="str">
        <f t="shared" si="15"/>
        <v>SHIFT B</v>
      </c>
    </row>
    <row r="500" spans="1:10">
      <c r="A500">
        <v>631</v>
      </c>
      <c r="B500" t="s">
        <v>2403</v>
      </c>
      <c r="C500" t="s">
        <v>2404</v>
      </c>
      <c r="D500" t="s">
        <v>1064</v>
      </c>
      <c r="E500" t="s">
        <v>29</v>
      </c>
      <c r="F500" t="s">
        <v>1216</v>
      </c>
      <c r="G500" t="str">
        <f t="shared" si="14"/>
        <v>FVI</v>
      </c>
      <c r="H500" t="s">
        <v>106</v>
      </c>
      <c r="I500" t="s">
        <v>89</v>
      </c>
      <c r="J500" t="str">
        <f t="shared" si="15"/>
        <v>SHIFT B</v>
      </c>
    </row>
    <row r="501" spans="1:10">
      <c r="A501">
        <v>632</v>
      </c>
      <c r="B501" t="s">
        <v>2405</v>
      </c>
      <c r="C501" t="s">
        <v>2406</v>
      </c>
      <c r="D501" t="s">
        <v>28</v>
      </c>
      <c r="E501" t="s">
        <v>29</v>
      </c>
      <c r="F501" t="s">
        <v>79</v>
      </c>
      <c r="G501" t="str">
        <f t="shared" si="14"/>
        <v>SM</v>
      </c>
      <c r="H501" t="s">
        <v>106</v>
      </c>
      <c r="I501" t="s">
        <v>89</v>
      </c>
      <c r="J501" t="str">
        <f t="shared" si="15"/>
        <v>SHIFT B</v>
      </c>
    </row>
    <row r="502" spans="1:10">
      <c r="A502">
        <v>633</v>
      </c>
      <c r="B502" t="s">
        <v>2407</v>
      </c>
      <c r="C502" t="s">
        <v>2408</v>
      </c>
      <c r="D502" t="s">
        <v>1064</v>
      </c>
      <c r="E502" t="s">
        <v>29</v>
      </c>
      <c r="F502" t="s">
        <v>1216</v>
      </c>
      <c r="G502" t="str">
        <f t="shared" si="14"/>
        <v>FVI</v>
      </c>
      <c r="H502" t="s">
        <v>106</v>
      </c>
      <c r="I502" t="s">
        <v>89</v>
      </c>
      <c r="J502" t="str">
        <f t="shared" si="15"/>
        <v>SHIFT B</v>
      </c>
    </row>
    <row r="503" spans="1:10">
      <c r="A503">
        <v>634</v>
      </c>
      <c r="B503" t="s">
        <v>2409</v>
      </c>
      <c r="C503" t="s">
        <v>2410</v>
      </c>
      <c r="D503" t="s">
        <v>28</v>
      </c>
      <c r="E503" t="s">
        <v>29</v>
      </c>
      <c r="F503" t="s">
        <v>1216</v>
      </c>
      <c r="G503" t="str">
        <f t="shared" si="14"/>
        <v>FVI</v>
      </c>
      <c r="H503" t="s">
        <v>106</v>
      </c>
      <c r="I503" t="s">
        <v>89</v>
      </c>
      <c r="J503" t="str">
        <f t="shared" si="15"/>
        <v>SHIFT B</v>
      </c>
    </row>
    <row r="504" spans="1:10">
      <c r="A504">
        <v>635</v>
      </c>
      <c r="B504" t="s">
        <v>2411</v>
      </c>
      <c r="C504" t="s">
        <v>2412</v>
      </c>
      <c r="D504" t="s">
        <v>28</v>
      </c>
      <c r="E504" t="s">
        <v>29</v>
      </c>
      <c r="F504" t="s">
        <v>1216</v>
      </c>
      <c r="G504" t="str">
        <f t="shared" si="14"/>
        <v>FVI</v>
      </c>
      <c r="H504" t="s">
        <v>106</v>
      </c>
      <c r="I504" t="s">
        <v>89</v>
      </c>
      <c r="J504" t="str">
        <f t="shared" si="15"/>
        <v>SHIFT B</v>
      </c>
    </row>
    <row r="505" spans="1:10">
      <c r="A505">
        <v>636</v>
      </c>
      <c r="B505" t="s">
        <v>2413</v>
      </c>
      <c r="C505" t="s">
        <v>2414</v>
      </c>
      <c r="D505" t="s">
        <v>28</v>
      </c>
      <c r="E505" t="s">
        <v>29</v>
      </c>
      <c r="F505" t="s">
        <v>1216</v>
      </c>
      <c r="G505" t="str">
        <f t="shared" si="14"/>
        <v>FVI</v>
      </c>
      <c r="H505" t="s">
        <v>106</v>
      </c>
      <c r="I505" t="s">
        <v>146</v>
      </c>
      <c r="J505" t="str">
        <f t="shared" si="15"/>
        <v>SHIFT C</v>
      </c>
    </row>
    <row r="506" spans="1:10">
      <c r="A506">
        <v>637</v>
      </c>
      <c r="B506" t="s">
        <v>2415</v>
      </c>
      <c r="C506" t="s">
        <v>2416</v>
      </c>
      <c r="D506" t="s">
        <v>1064</v>
      </c>
      <c r="E506" t="s">
        <v>29</v>
      </c>
      <c r="F506" t="s">
        <v>680</v>
      </c>
      <c r="G506" t="str">
        <f t="shared" si="14"/>
        <v>CHAMFER</v>
      </c>
      <c r="H506" t="s">
        <v>106</v>
      </c>
      <c r="I506" t="s">
        <v>89</v>
      </c>
      <c r="J506" t="str">
        <f t="shared" si="15"/>
        <v>SHIFT B</v>
      </c>
    </row>
    <row r="507" spans="1:10">
      <c r="A507">
        <v>638</v>
      </c>
      <c r="B507" t="s">
        <v>2417</v>
      </c>
      <c r="C507" t="s">
        <v>2418</v>
      </c>
      <c r="D507" t="s">
        <v>1064</v>
      </c>
      <c r="E507" t="s">
        <v>29</v>
      </c>
      <c r="F507" t="s">
        <v>1216</v>
      </c>
      <c r="G507" t="str">
        <f t="shared" si="14"/>
        <v>FVI</v>
      </c>
      <c r="H507" t="s">
        <v>106</v>
      </c>
      <c r="I507" t="s">
        <v>146</v>
      </c>
      <c r="J507" t="str">
        <f t="shared" si="15"/>
        <v>SHIFT C</v>
      </c>
    </row>
    <row r="508" spans="1:10">
      <c r="A508">
        <v>639</v>
      </c>
      <c r="B508" t="s">
        <v>2419</v>
      </c>
      <c r="C508" t="s">
        <v>2420</v>
      </c>
      <c r="D508" t="s">
        <v>28</v>
      </c>
      <c r="E508" t="s">
        <v>29</v>
      </c>
      <c r="F508" t="s">
        <v>79</v>
      </c>
      <c r="G508" t="str">
        <f t="shared" si="14"/>
        <v>SM</v>
      </c>
      <c r="H508" t="s">
        <v>106</v>
      </c>
      <c r="I508" t="s">
        <v>146</v>
      </c>
      <c r="J508" t="str">
        <f t="shared" si="15"/>
        <v>SHIFT C</v>
      </c>
    </row>
    <row r="509" spans="1:10">
      <c r="A509">
        <v>640</v>
      </c>
      <c r="B509" t="s">
        <v>2421</v>
      </c>
      <c r="C509" t="s">
        <v>2422</v>
      </c>
      <c r="D509" t="s">
        <v>1064</v>
      </c>
      <c r="E509" t="s">
        <v>29</v>
      </c>
      <c r="F509" t="s">
        <v>680</v>
      </c>
      <c r="G509" t="str">
        <f t="shared" si="14"/>
        <v>CHAMFER</v>
      </c>
      <c r="H509" t="s">
        <v>106</v>
      </c>
      <c r="I509" t="s">
        <v>53</v>
      </c>
      <c r="J509" t="str">
        <f t="shared" si="15"/>
        <v>SHIFT A</v>
      </c>
    </row>
    <row r="510" spans="1:10">
      <c r="A510">
        <v>641</v>
      </c>
      <c r="B510" t="s">
        <v>2423</v>
      </c>
      <c r="C510" t="s">
        <v>2424</v>
      </c>
      <c r="D510" t="s">
        <v>1064</v>
      </c>
      <c r="E510" t="s">
        <v>29</v>
      </c>
      <c r="F510" t="s">
        <v>1216</v>
      </c>
      <c r="G510" t="str">
        <f t="shared" si="14"/>
        <v>FVI</v>
      </c>
      <c r="H510" t="s">
        <v>106</v>
      </c>
      <c r="I510" t="s">
        <v>146</v>
      </c>
      <c r="J510" t="str">
        <f t="shared" si="15"/>
        <v>SHIFT C</v>
      </c>
    </row>
    <row r="511" spans="1:10">
      <c r="A511">
        <v>642</v>
      </c>
      <c r="B511" t="s">
        <v>2425</v>
      </c>
      <c r="C511" t="s">
        <v>2426</v>
      </c>
      <c r="D511" t="s">
        <v>28</v>
      </c>
      <c r="E511" t="s">
        <v>29</v>
      </c>
      <c r="F511" t="s">
        <v>79</v>
      </c>
      <c r="G511" t="str">
        <f t="shared" si="14"/>
        <v>SM</v>
      </c>
      <c r="H511" t="s">
        <v>106</v>
      </c>
      <c r="I511" t="s">
        <v>53</v>
      </c>
      <c r="J511" t="str">
        <f t="shared" si="15"/>
        <v>SHIFT A</v>
      </c>
    </row>
    <row r="512" spans="1:10">
      <c r="A512">
        <v>643</v>
      </c>
      <c r="B512" t="s">
        <v>2427</v>
      </c>
      <c r="C512" t="s">
        <v>2428</v>
      </c>
      <c r="D512" t="s">
        <v>1064</v>
      </c>
      <c r="E512" t="s">
        <v>29</v>
      </c>
      <c r="F512" t="s">
        <v>1216</v>
      </c>
      <c r="G512" t="str">
        <f t="shared" si="14"/>
        <v>FVI</v>
      </c>
      <c r="H512" t="s">
        <v>106</v>
      </c>
      <c r="I512" t="s">
        <v>53</v>
      </c>
      <c r="J512" t="str">
        <f t="shared" si="15"/>
        <v>SHIFT A</v>
      </c>
    </row>
    <row r="513" spans="1:10">
      <c r="A513">
        <v>644</v>
      </c>
      <c r="B513" t="s">
        <v>2429</v>
      </c>
      <c r="C513" t="s">
        <v>2430</v>
      </c>
      <c r="D513" t="s">
        <v>762</v>
      </c>
      <c r="E513" t="s">
        <v>453</v>
      </c>
      <c r="F513" t="s">
        <v>454</v>
      </c>
      <c r="G513" t="str">
        <f t="shared" si="14"/>
        <v>ENVIRONMENT</v>
      </c>
      <c r="H513" t="s">
        <v>34</v>
      </c>
      <c r="I513" t="s">
        <v>146</v>
      </c>
      <c r="J513" t="str">
        <f t="shared" si="15"/>
        <v>SHIFT C</v>
      </c>
    </row>
    <row r="514" spans="1:10">
      <c r="A514">
        <v>646</v>
      </c>
      <c r="B514" t="s">
        <v>2436</v>
      </c>
      <c r="C514" t="s">
        <v>2437</v>
      </c>
      <c r="D514" t="s">
        <v>762</v>
      </c>
      <c r="E514" t="s">
        <v>453</v>
      </c>
      <c r="F514" t="s">
        <v>454</v>
      </c>
      <c r="G514" t="str">
        <f t="shared" si="14"/>
        <v>ENVIRONMENT</v>
      </c>
      <c r="H514" t="s">
        <v>34</v>
      </c>
      <c r="I514" t="s">
        <v>146</v>
      </c>
      <c r="J514" t="str">
        <f t="shared" si="15"/>
        <v>SHIFT C</v>
      </c>
    </row>
    <row r="515" spans="1:10">
      <c r="A515">
        <v>647</v>
      </c>
      <c r="B515" t="s">
        <v>2440</v>
      </c>
      <c r="C515" t="s">
        <v>2441</v>
      </c>
      <c r="D515" t="s">
        <v>499</v>
      </c>
      <c r="E515" t="s">
        <v>417</v>
      </c>
      <c r="F515" t="s">
        <v>756</v>
      </c>
      <c r="G515" t="str">
        <f t="shared" si="14"/>
        <v>WAREHOUSE</v>
      </c>
      <c r="H515" t="s">
        <v>34</v>
      </c>
      <c r="I515" t="s">
        <v>752</v>
      </c>
      <c r="J515" t="str">
        <f t="shared" si="15"/>
        <v>SHIFT O</v>
      </c>
    </row>
    <row r="516" spans="1:10">
      <c r="A516">
        <v>648</v>
      </c>
      <c r="B516" t="s">
        <v>2444</v>
      </c>
      <c r="C516" t="s">
        <v>125</v>
      </c>
      <c r="D516" t="s">
        <v>1126</v>
      </c>
      <c r="E516" t="s">
        <v>29</v>
      </c>
      <c r="F516" t="s">
        <v>123</v>
      </c>
      <c r="G516" t="str">
        <f t="shared" ref="G516:G579" si="16">IF(OR(ISNUMBER(SEARCH("P1",F516)),ISNUMBER(SEARCH("P2",F516)),ISNUMBER(SEARCH("P3",F516)),ISNUMBER(SEARCH("P4",F516)),ISNUMBER(SEARCH("P5",F516))),"EQUIPMENT",
IF(ISNUMBER(SEARCH("Warehouse",F516)),"WAREHOUSE",
IF(ISNUMBER(SEARCH("WWTP",F516)),"ENVIRONMENT",
IF(OR(ISNUMBER(SEARCH("QC",F516)),ISNUMBER(SEARCH("RELIABILITY",F516)),ISNUMBER(SEARCH("OQA",F516)),ISNUMBER(SEARCH("CHEMICAL",F516))),"QUALITY",
IF(OR(ISNUMBER(SEARCH("OPERATION",F516)),ISNUMBER(SEARCH("PSM",F516))),"HS",
IF(ISNUMBER(SEARCH("FVI",F516)),"FVI",
IF(OR(ISNUMBER(SEARCH("ELECTRICITY",F516)),ISNUMBER(SEARCH("FACILITIES",F516)),ISNUMBER(SEARCH("MECHANICAL",F516))),"FACILITY",F516)))))))</f>
        <v>PACKING</v>
      </c>
      <c r="H516" t="s">
        <v>34</v>
      </c>
      <c r="I516" t="s">
        <v>89</v>
      </c>
      <c r="J516" t="str">
        <f t="shared" ref="J516:J579" si="17">IF(ISNUMBER(SEARCH("GROUP C",I516)),"SHIFT C",
IF(ISNUMBER(SEARCH("GROUP A",I516)),"SHIFT A",
IF(ISNUMBER(SEARCH("GROUP O",I516)),"SHIFT O",
IF(ISNUMBER(SEARCH("GROUP B",I516)),"SHIFT B",
IF(ISNUMBER(SEARCH("GROUP E",I516)),"SHIFT E","")))))</f>
        <v>SHIFT B</v>
      </c>
    </row>
    <row r="517" spans="1:10">
      <c r="A517">
        <v>650</v>
      </c>
      <c r="B517" t="s">
        <v>2450</v>
      </c>
      <c r="C517" t="s">
        <v>1149</v>
      </c>
      <c r="D517" t="s">
        <v>1126</v>
      </c>
      <c r="E517" t="s">
        <v>29</v>
      </c>
      <c r="F517" t="s">
        <v>72</v>
      </c>
      <c r="G517" t="str">
        <f t="shared" si="16"/>
        <v>BBT</v>
      </c>
      <c r="H517" t="s">
        <v>106</v>
      </c>
      <c r="I517" t="s">
        <v>146</v>
      </c>
      <c r="J517" t="str">
        <f t="shared" si="17"/>
        <v>SHIFT C</v>
      </c>
    </row>
    <row r="518" spans="1:10">
      <c r="A518">
        <v>651</v>
      </c>
      <c r="B518" t="s">
        <v>2453</v>
      </c>
      <c r="C518" t="s">
        <v>2454</v>
      </c>
      <c r="D518" t="s">
        <v>738</v>
      </c>
      <c r="E518" t="s">
        <v>453</v>
      </c>
      <c r="F518" t="s">
        <v>739</v>
      </c>
      <c r="G518" t="str">
        <f t="shared" si="16"/>
        <v>RODI</v>
      </c>
      <c r="H518" t="s">
        <v>34</v>
      </c>
      <c r="I518" t="s">
        <v>53</v>
      </c>
      <c r="J518" t="str">
        <f t="shared" si="17"/>
        <v>SHIFT A</v>
      </c>
    </row>
    <row r="519" spans="1:10">
      <c r="A519">
        <v>652</v>
      </c>
      <c r="B519" t="s">
        <v>2457</v>
      </c>
      <c r="C519" t="s">
        <v>2458</v>
      </c>
      <c r="D519" t="s">
        <v>738</v>
      </c>
      <c r="E519" t="s">
        <v>744</v>
      </c>
      <c r="F519" t="s">
        <v>38</v>
      </c>
      <c r="G519" t="str">
        <f t="shared" si="16"/>
        <v>HS</v>
      </c>
      <c r="H519" t="s">
        <v>34</v>
      </c>
      <c r="I519" t="s">
        <v>146</v>
      </c>
      <c r="J519" t="str">
        <f t="shared" si="17"/>
        <v>SHIFT C</v>
      </c>
    </row>
    <row r="520" spans="1:10">
      <c r="A520">
        <v>653</v>
      </c>
      <c r="B520" t="s">
        <v>2461</v>
      </c>
      <c r="C520" t="s">
        <v>2462</v>
      </c>
      <c r="D520" t="s">
        <v>738</v>
      </c>
      <c r="E520" t="s">
        <v>744</v>
      </c>
      <c r="F520" t="s">
        <v>745</v>
      </c>
      <c r="G520" t="str">
        <f t="shared" si="16"/>
        <v>HS</v>
      </c>
      <c r="H520" t="s">
        <v>34</v>
      </c>
      <c r="I520" t="s">
        <v>146</v>
      </c>
      <c r="J520" t="str">
        <f t="shared" si="17"/>
        <v>SHIFT C</v>
      </c>
    </row>
    <row r="521" spans="1:10">
      <c r="A521">
        <v>654</v>
      </c>
      <c r="B521" t="s">
        <v>2465</v>
      </c>
      <c r="C521" t="s">
        <v>2466</v>
      </c>
      <c r="D521" t="s">
        <v>1064</v>
      </c>
      <c r="E521" t="s">
        <v>29</v>
      </c>
      <c r="F521" t="s">
        <v>56</v>
      </c>
      <c r="G521" t="str">
        <f t="shared" si="16"/>
        <v>AOI</v>
      </c>
      <c r="H521" t="s">
        <v>34</v>
      </c>
      <c r="I521" t="s">
        <v>53</v>
      </c>
      <c r="J521" t="str">
        <f t="shared" si="17"/>
        <v>SHIFT A</v>
      </c>
    </row>
    <row r="522" spans="1:10">
      <c r="A522">
        <v>655</v>
      </c>
      <c r="B522" t="s">
        <v>2467</v>
      </c>
      <c r="C522" t="s">
        <v>2468</v>
      </c>
      <c r="D522" t="s">
        <v>28</v>
      </c>
      <c r="E522" t="s">
        <v>29</v>
      </c>
      <c r="F522" t="s">
        <v>56</v>
      </c>
      <c r="G522" t="str">
        <f t="shared" si="16"/>
        <v>AOI</v>
      </c>
      <c r="H522" t="s">
        <v>34</v>
      </c>
      <c r="I522" t="s">
        <v>53</v>
      </c>
      <c r="J522" t="str">
        <f t="shared" si="17"/>
        <v>SHIFT A</v>
      </c>
    </row>
    <row r="523" spans="1:10">
      <c r="A523">
        <v>656</v>
      </c>
      <c r="B523" t="s">
        <v>2469</v>
      </c>
      <c r="C523" t="s">
        <v>2470</v>
      </c>
      <c r="D523" t="s">
        <v>1064</v>
      </c>
      <c r="E523" t="s">
        <v>29</v>
      </c>
      <c r="F523" t="s">
        <v>56</v>
      </c>
      <c r="G523" t="str">
        <f t="shared" si="16"/>
        <v>AOI</v>
      </c>
      <c r="H523" t="s">
        <v>34</v>
      </c>
      <c r="I523" t="s">
        <v>146</v>
      </c>
      <c r="J523" t="str">
        <f t="shared" si="17"/>
        <v>SHIFT C</v>
      </c>
    </row>
    <row r="524" spans="1:10">
      <c r="A524">
        <v>657</v>
      </c>
      <c r="B524" t="s">
        <v>2471</v>
      </c>
      <c r="C524" t="s">
        <v>2472</v>
      </c>
      <c r="D524" t="s">
        <v>28</v>
      </c>
      <c r="E524" t="s">
        <v>29</v>
      </c>
      <c r="F524" t="s">
        <v>48</v>
      </c>
      <c r="G524" t="str">
        <f t="shared" si="16"/>
        <v>ROUTER</v>
      </c>
      <c r="H524" t="s">
        <v>34</v>
      </c>
      <c r="I524" t="s">
        <v>53</v>
      </c>
      <c r="J524" t="str">
        <f t="shared" si="17"/>
        <v>SHIFT A</v>
      </c>
    </row>
    <row r="525" spans="1:10">
      <c r="A525">
        <v>658</v>
      </c>
      <c r="B525" t="s">
        <v>2473</v>
      </c>
      <c r="C525" t="s">
        <v>2474</v>
      </c>
      <c r="D525" t="s">
        <v>28</v>
      </c>
      <c r="E525" t="s">
        <v>29</v>
      </c>
      <c r="F525" t="s">
        <v>48</v>
      </c>
      <c r="G525" t="str">
        <f t="shared" si="16"/>
        <v>ROUTER</v>
      </c>
      <c r="H525" t="s">
        <v>34</v>
      </c>
      <c r="I525" t="s">
        <v>89</v>
      </c>
      <c r="J525" t="str">
        <f t="shared" si="17"/>
        <v>SHIFT B</v>
      </c>
    </row>
    <row r="526" spans="1:10">
      <c r="A526">
        <v>659</v>
      </c>
      <c r="B526" t="s">
        <v>2475</v>
      </c>
      <c r="C526" t="s">
        <v>2476</v>
      </c>
      <c r="D526" t="s">
        <v>28</v>
      </c>
      <c r="E526" t="s">
        <v>29</v>
      </c>
      <c r="F526" t="s">
        <v>48</v>
      </c>
      <c r="G526" t="str">
        <f t="shared" si="16"/>
        <v>ROUTER</v>
      </c>
      <c r="H526" t="s">
        <v>34</v>
      </c>
      <c r="I526" t="s">
        <v>146</v>
      </c>
      <c r="J526" t="str">
        <f t="shared" si="17"/>
        <v>SHIFT C</v>
      </c>
    </row>
    <row r="527" spans="1:10">
      <c r="A527">
        <v>660</v>
      </c>
      <c r="B527" t="s">
        <v>2477</v>
      </c>
      <c r="C527" t="s">
        <v>2478</v>
      </c>
      <c r="D527" t="s">
        <v>1064</v>
      </c>
      <c r="E527" t="s">
        <v>29</v>
      </c>
      <c r="F527" t="s">
        <v>30</v>
      </c>
      <c r="G527" t="str">
        <f t="shared" si="16"/>
        <v>DF</v>
      </c>
      <c r="H527" t="s">
        <v>34</v>
      </c>
      <c r="I527" t="s">
        <v>53</v>
      </c>
      <c r="J527" t="str">
        <f t="shared" si="17"/>
        <v>SHIFT A</v>
      </c>
    </row>
    <row r="528" spans="1:10">
      <c r="A528">
        <v>661</v>
      </c>
      <c r="B528" t="s">
        <v>2479</v>
      </c>
      <c r="C528" t="s">
        <v>2480</v>
      </c>
      <c r="D528" t="s">
        <v>1064</v>
      </c>
      <c r="E528" t="s">
        <v>29</v>
      </c>
      <c r="F528" t="s">
        <v>537</v>
      </c>
      <c r="G528" t="str">
        <f t="shared" si="16"/>
        <v>MLB</v>
      </c>
      <c r="H528" t="s">
        <v>34</v>
      </c>
      <c r="I528" t="s">
        <v>146</v>
      </c>
      <c r="J528" t="str">
        <f t="shared" si="17"/>
        <v>SHIFT C</v>
      </c>
    </row>
    <row r="529" spans="1:10">
      <c r="A529">
        <v>662</v>
      </c>
      <c r="B529" t="s">
        <v>2481</v>
      </c>
      <c r="C529" t="s">
        <v>2482</v>
      </c>
      <c r="D529" t="s">
        <v>28</v>
      </c>
      <c r="E529" t="s">
        <v>29</v>
      </c>
      <c r="F529" t="s">
        <v>48</v>
      </c>
      <c r="G529" t="str">
        <f t="shared" si="16"/>
        <v>ROUTER</v>
      </c>
      <c r="H529" t="s">
        <v>34</v>
      </c>
      <c r="I529" t="s">
        <v>146</v>
      </c>
      <c r="J529" t="str">
        <f t="shared" si="17"/>
        <v>SHIFT C</v>
      </c>
    </row>
    <row r="530" spans="1:10">
      <c r="A530">
        <v>663</v>
      </c>
      <c r="B530" t="s">
        <v>2483</v>
      </c>
      <c r="C530" t="s">
        <v>2484</v>
      </c>
      <c r="D530" t="s">
        <v>28</v>
      </c>
      <c r="E530" t="s">
        <v>29</v>
      </c>
      <c r="F530" t="s">
        <v>48</v>
      </c>
      <c r="G530" t="str">
        <f t="shared" si="16"/>
        <v>ROUTER</v>
      </c>
      <c r="H530" t="s">
        <v>34</v>
      </c>
      <c r="I530" t="s">
        <v>89</v>
      </c>
      <c r="J530" t="str">
        <f t="shared" si="17"/>
        <v>SHIFT B</v>
      </c>
    </row>
    <row r="531" spans="1:10">
      <c r="A531">
        <v>664</v>
      </c>
      <c r="B531" t="s">
        <v>2485</v>
      </c>
      <c r="C531" t="s">
        <v>2486</v>
      </c>
      <c r="D531" t="s">
        <v>28</v>
      </c>
      <c r="E531" t="s">
        <v>29</v>
      </c>
      <c r="F531" t="s">
        <v>79</v>
      </c>
      <c r="G531" t="str">
        <f t="shared" si="16"/>
        <v>SM</v>
      </c>
      <c r="H531" t="s">
        <v>34</v>
      </c>
      <c r="I531" t="s">
        <v>53</v>
      </c>
      <c r="J531" t="str">
        <f t="shared" si="17"/>
        <v>SHIFT A</v>
      </c>
    </row>
    <row r="532" spans="1:10">
      <c r="A532">
        <v>665</v>
      </c>
      <c r="B532" t="s">
        <v>2487</v>
      </c>
      <c r="C532" t="s">
        <v>2488</v>
      </c>
      <c r="D532" t="s">
        <v>1064</v>
      </c>
      <c r="E532" t="s">
        <v>29</v>
      </c>
      <c r="F532" t="s">
        <v>85</v>
      </c>
      <c r="G532" t="str">
        <f t="shared" si="16"/>
        <v>DRILL</v>
      </c>
      <c r="H532" t="s">
        <v>34</v>
      </c>
      <c r="I532" t="s">
        <v>89</v>
      </c>
      <c r="J532" t="str">
        <f t="shared" si="17"/>
        <v>SHIFT B</v>
      </c>
    </row>
    <row r="533" spans="1:10">
      <c r="A533">
        <v>666</v>
      </c>
      <c r="B533" t="s">
        <v>2489</v>
      </c>
      <c r="C533" t="s">
        <v>2490</v>
      </c>
      <c r="D533" t="s">
        <v>28</v>
      </c>
      <c r="E533" t="s">
        <v>29</v>
      </c>
      <c r="F533" t="s">
        <v>30</v>
      </c>
      <c r="G533" t="str">
        <f t="shared" si="16"/>
        <v>DF</v>
      </c>
      <c r="H533" t="s">
        <v>34</v>
      </c>
      <c r="I533" t="s">
        <v>53</v>
      </c>
      <c r="J533" t="str">
        <f t="shared" si="17"/>
        <v>SHIFT A</v>
      </c>
    </row>
    <row r="534" spans="1:10">
      <c r="A534">
        <v>667</v>
      </c>
      <c r="B534" t="s">
        <v>2491</v>
      </c>
      <c r="C534" t="s">
        <v>2492</v>
      </c>
      <c r="D534" t="s">
        <v>28</v>
      </c>
      <c r="E534" t="s">
        <v>29</v>
      </c>
      <c r="F534" t="s">
        <v>30</v>
      </c>
      <c r="G534" t="str">
        <f t="shared" si="16"/>
        <v>DF</v>
      </c>
      <c r="H534" t="s">
        <v>34</v>
      </c>
      <c r="I534" t="s">
        <v>89</v>
      </c>
      <c r="J534" t="str">
        <f t="shared" si="17"/>
        <v>SHIFT B</v>
      </c>
    </row>
    <row r="535" spans="1:10">
      <c r="A535">
        <v>668</v>
      </c>
      <c r="B535" t="s">
        <v>2494</v>
      </c>
      <c r="C535" t="s">
        <v>2495</v>
      </c>
      <c r="D535" t="s">
        <v>1064</v>
      </c>
      <c r="E535" t="s">
        <v>29</v>
      </c>
      <c r="F535" t="s">
        <v>62</v>
      </c>
      <c r="G535" t="str">
        <f t="shared" si="16"/>
        <v>CU</v>
      </c>
      <c r="H535" t="s">
        <v>34</v>
      </c>
      <c r="I535" t="s">
        <v>89</v>
      </c>
      <c r="J535" t="str">
        <f t="shared" si="17"/>
        <v>SHIFT B</v>
      </c>
    </row>
    <row r="536" spans="1:10">
      <c r="A536">
        <v>669</v>
      </c>
      <c r="B536" t="s">
        <v>2496</v>
      </c>
      <c r="C536" t="s">
        <v>2497</v>
      </c>
      <c r="D536" t="s">
        <v>28</v>
      </c>
      <c r="E536" t="s">
        <v>29</v>
      </c>
      <c r="F536" t="s">
        <v>30</v>
      </c>
      <c r="G536" t="str">
        <f t="shared" si="16"/>
        <v>DF</v>
      </c>
      <c r="H536" t="s">
        <v>34</v>
      </c>
      <c r="I536" t="s">
        <v>53</v>
      </c>
      <c r="J536" t="str">
        <f t="shared" si="17"/>
        <v>SHIFT A</v>
      </c>
    </row>
    <row r="537" spans="1:10">
      <c r="A537">
        <v>670</v>
      </c>
      <c r="B537" t="s">
        <v>2498</v>
      </c>
      <c r="C537" t="s">
        <v>2499</v>
      </c>
      <c r="D537" t="s">
        <v>1064</v>
      </c>
      <c r="E537" t="s">
        <v>29</v>
      </c>
      <c r="F537" t="s">
        <v>30</v>
      </c>
      <c r="G537" t="str">
        <f t="shared" si="16"/>
        <v>DF</v>
      </c>
      <c r="H537" t="s">
        <v>34</v>
      </c>
      <c r="I537" t="s">
        <v>146</v>
      </c>
      <c r="J537" t="str">
        <f t="shared" si="17"/>
        <v>SHIFT C</v>
      </c>
    </row>
    <row r="538" spans="1:10">
      <c r="A538">
        <v>671</v>
      </c>
      <c r="B538" t="s">
        <v>2500</v>
      </c>
      <c r="C538" t="s">
        <v>2501</v>
      </c>
      <c r="D538" t="s">
        <v>1064</v>
      </c>
      <c r="E538" t="s">
        <v>29</v>
      </c>
      <c r="F538" t="s">
        <v>1216</v>
      </c>
      <c r="G538" t="str">
        <f t="shared" si="16"/>
        <v>FVI</v>
      </c>
      <c r="H538" t="s">
        <v>34</v>
      </c>
      <c r="I538" t="s">
        <v>53</v>
      </c>
      <c r="J538" t="str">
        <f t="shared" si="17"/>
        <v>SHIFT A</v>
      </c>
    </row>
    <row r="539" spans="1:10">
      <c r="A539">
        <v>672</v>
      </c>
      <c r="B539" t="s">
        <v>2502</v>
      </c>
      <c r="C539" t="s">
        <v>2503</v>
      </c>
      <c r="D539" t="s">
        <v>1064</v>
      </c>
      <c r="E539" t="s">
        <v>29</v>
      </c>
      <c r="F539" t="s">
        <v>62</v>
      </c>
      <c r="G539" t="str">
        <f t="shared" si="16"/>
        <v>CU</v>
      </c>
      <c r="H539" t="s">
        <v>34</v>
      </c>
      <c r="I539" t="s">
        <v>89</v>
      </c>
      <c r="J539" t="str">
        <f t="shared" si="17"/>
        <v>SHIFT B</v>
      </c>
    </row>
    <row r="540" spans="1:10">
      <c r="A540">
        <v>673</v>
      </c>
      <c r="B540" t="s">
        <v>2504</v>
      </c>
      <c r="C540" t="s">
        <v>2505</v>
      </c>
      <c r="D540" t="s">
        <v>1064</v>
      </c>
      <c r="E540" t="s">
        <v>29</v>
      </c>
      <c r="F540" t="s">
        <v>72</v>
      </c>
      <c r="G540" t="str">
        <f t="shared" si="16"/>
        <v>BBT</v>
      </c>
      <c r="H540" t="s">
        <v>34</v>
      </c>
      <c r="I540" t="s">
        <v>89</v>
      </c>
      <c r="J540" t="str">
        <f t="shared" si="17"/>
        <v>SHIFT B</v>
      </c>
    </row>
    <row r="541" spans="1:10">
      <c r="A541">
        <v>674</v>
      </c>
      <c r="B541" t="s">
        <v>2506</v>
      </c>
      <c r="C541" t="s">
        <v>2507</v>
      </c>
      <c r="D541" t="s">
        <v>28</v>
      </c>
      <c r="E541" t="s">
        <v>29</v>
      </c>
      <c r="F541" t="s">
        <v>79</v>
      </c>
      <c r="G541" t="str">
        <f t="shared" si="16"/>
        <v>SM</v>
      </c>
      <c r="H541" t="s">
        <v>34</v>
      </c>
      <c r="I541" t="s">
        <v>53</v>
      </c>
      <c r="J541" t="str">
        <f t="shared" si="17"/>
        <v>SHIFT A</v>
      </c>
    </row>
    <row r="542" spans="1:10">
      <c r="A542">
        <v>675</v>
      </c>
      <c r="B542" t="s">
        <v>2508</v>
      </c>
      <c r="C542" t="s">
        <v>2509</v>
      </c>
      <c r="D542" t="s">
        <v>28</v>
      </c>
      <c r="E542" t="s">
        <v>29</v>
      </c>
      <c r="F542" t="s">
        <v>30</v>
      </c>
      <c r="G542" t="str">
        <f t="shared" si="16"/>
        <v>DF</v>
      </c>
      <c r="H542" t="s">
        <v>34</v>
      </c>
      <c r="I542" t="s">
        <v>89</v>
      </c>
      <c r="J542" t="str">
        <f t="shared" si="17"/>
        <v>SHIFT B</v>
      </c>
    </row>
    <row r="543" spans="1:10">
      <c r="A543">
        <v>676</v>
      </c>
      <c r="B543" t="s">
        <v>2510</v>
      </c>
      <c r="C543" t="s">
        <v>2511</v>
      </c>
      <c r="D543" t="s">
        <v>28</v>
      </c>
      <c r="E543" t="s">
        <v>29</v>
      </c>
      <c r="F543" t="s">
        <v>30</v>
      </c>
      <c r="G543" t="str">
        <f t="shared" si="16"/>
        <v>DF</v>
      </c>
      <c r="H543" t="s">
        <v>34</v>
      </c>
      <c r="I543" t="s">
        <v>146</v>
      </c>
      <c r="J543" t="str">
        <f t="shared" si="17"/>
        <v>SHIFT C</v>
      </c>
    </row>
    <row r="544" spans="1:10">
      <c r="A544">
        <v>677</v>
      </c>
      <c r="B544" t="s">
        <v>2512</v>
      </c>
      <c r="C544" t="s">
        <v>2513</v>
      </c>
      <c r="D544" t="s">
        <v>1064</v>
      </c>
      <c r="E544" t="s">
        <v>29</v>
      </c>
      <c r="F544" t="s">
        <v>85</v>
      </c>
      <c r="G544" t="str">
        <f t="shared" si="16"/>
        <v>DRILL</v>
      </c>
      <c r="H544" t="s">
        <v>34</v>
      </c>
      <c r="I544" t="s">
        <v>146</v>
      </c>
      <c r="J544" t="str">
        <f t="shared" si="17"/>
        <v>SHIFT C</v>
      </c>
    </row>
    <row r="545" spans="1:10">
      <c r="A545">
        <v>678</v>
      </c>
      <c r="B545" t="s">
        <v>2514</v>
      </c>
      <c r="C545" t="s">
        <v>2515</v>
      </c>
      <c r="D545" t="s">
        <v>1064</v>
      </c>
      <c r="E545" t="s">
        <v>29</v>
      </c>
      <c r="F545" t="s">
        <v>30</v>
      </c>
      <c r="G545" t="str">
        <f t="shared" si="16"/>
        <v>DF</v>
      </c>
      <c r="H545" t="s">
        <v>34</v>
      </c>
      <c r="I545" t="s">
        <v>146</v>
      </c>
      <c r="J545" t="str">
        <f t="shared" si="17"/>
        <v>SHIFT C</v>
      </c>
    </row>
    <row r="546" spans="1:10">
      <c r="A546">
        <v>679</v>
      </c>
      <c r="B546" t="s">
        <v>2516</v>
      </c>
      <c r="C546" t="s">
        <v>2517</v>
      </c>
      <c r="D546" t="s">
        <v>1064</v>
      </c>
      <c r="E546" t="s">
        <v>29</v>
      </c>
      <c r="F546" t="s">
        <v>85</v>
      </c>
      <c r="G546" t="str">
        <f t="shared" si="16"/>
        <v>DRILL</v>
      </c>
      <c r="H546" t="s">
        <v>34</v>
      </c>
      <c r="I546" t="s">
        <v>146</v>
      </c>
      <c r="J546" t="str">
        <f t="shared" si="17"/>
        <v>SHIFT C</v>
      </c>
    </row>
    <row r="547" spans="1:10">
      <c r="A547">
        <v>680</v>
      </c>
      <c r="B547" t="s">
        <v>2518</v>
      </c>
      <c r="C547" t="s">
        <v>2519</v>
      </c>
      <c r="D547" t="s">
        <v>1064</v>
      </c>
      <c r="E547" t="s">
        <v>29</v>
      </c>
      <c r="F547" t="s">
        <v>72</v>
      </c>
      <c r="G547" t="str">
        <f t="shared" si="16"/>
        <v>BBT</v>
      </c>
      <c r="H547" t="s">
        <v>34</v>
      </c>
      <c r="I547" t="s">
        <v>146</v>
      </c>
      <c r="J547" t="str">
        <f t="shared" si="17"/>
        <v>SHIFT C</v>
      </c>
    </row>
    <row r="548" spans="1:10">
      <c r="A548">
        <v>681</v>
      </c>
      <c r="B548" t="s">
        <v>2520</v>
      </c>
      <c r="C548" t="s">
        <v>2521</v>
      </c>
      <c r="D548" t="s">
        <v>28</v>
      </c>
      <c r="E548" t="s">
        <v>29</v>
      </c>
      <c r="F548" t="s">
        <v>1216</v>
      </c>
      <c r="G548" t="str">
        <f t="shared" si="16"/>
        <v>FVI</v>
      </c>
      <c r="H548" t="s">
        <v>34</v>
      </c>
      <c r="I548" t="s">
        <v>89</v>
      </c>
      <c r="J548" t="str">
        <f t="shared" si="17"/>
        <v>SHIFT B</v>
      </c>
    </row>
    <row r="549" spans="1:10">
      <c r="A549">
        <v>682</v>
      </c>
      <c r="B549" t="s">
        <v>2522</v>
      </c>
      <c r="C549" t="s">
        <v>2523</v>
      </c>
      <c r="D549" t="s">
        <v>1064</v>
      </c>
      <c r="E549" t="s">
        <v>29</v>
      </c>
      <c r="F549" t="s">
        <v>72</v>
      </c>
      <c r="G549" t="str">
        <f t="shared" si="16"/>
        <v>BBT</v>
      </c>
      <c r="H549" t="s">
        <v>34</v>
      </c>
      <c r="I549" t="s">
        <v>89</v>
      </c>
      <c r="J549" t="str">
        <f t="shared" si="17"/>
        <v>SHIFT B</v>
      </c>
    </row>
    <row r="550" spans="1:10">
      <c r="A550">
        <v>683</v>
      </c>
      <c r="B550" t="s">
        <v>2524</v>
      </c>
      <c r="C550" t="s">
        <v>2525</v>
      </c>
      <c r="D550" t="s">
        <v>1064</v>
      </c>
      <c r="E550" t="s">
        <v>29</v>
      </c>
      <c r="F550" t="s">
        <v>85</v>
      </c>
      <c r="G550" t="str">
        <f t="shared" si="16"/>
        <v>DRILL</v>
      </c>
      <c r="H550" t="s">
        <v>34</v>
      </c>
      <c r="I550" t="s">
        <v>146</v>
      </c>
      <c r="J550" t="str">
        <f t="shared" si="17"/>
        <v>SHIFT C</v>
      </c>
    </row>
    <row r="551" spans="1:10">
      <c r="A551">
        <v>684</v>
      </c>
      <c r="B551" t="s">
        <v>2526</v>
      </c>
      <c r="C551" t="s">
        <v>2527</v>
      </c>
      <c r="D551" t="s">
        <v>1064</v>
      </c>
      <c r="E551" t="s">
        <v>29</v>
      </c>
      <c r="F551" t="s">
        <v>72</v>
      </c>
      <c r="G551" t="str">
        <f t="shared" si="16"/>
        <v>BBT</v>
      </c>
      <c r="H551" t="s">
        <v>34</v>
      </c>
      <c r="I551" t="s">
        <v>146</v>
      </c>
      <c r="J551" t="str">
        <f t="shared" si="17"/>
        <v>SHIFT C</v>
      </c>
    </row>
    <row r="552" spans="1:10">
      <c r="A552">
        <v>685</v>
      </c>
      <c r="B552" t="s">
        <v>2528</v>
      </c>
      <c r="C552" t="s">
        <v>2529</v>
      </c>
      <c r="D552" t="s">
        <v>1064</v>
      </c>
      <c r="E552" t="s">
        <v>29</v>
      </c>
      <c r="F552" t="s">
        <v>72</v>
      </c>
      <c r="G552" t="str">
        <f t="shared" si="16"/>
        <v>BBT</v>
      </c>
      <c r="H552" t="s">
        <v>34</v>
      </c>
      <c r="I552" t="s">
        <v>53</v>
      </c>
      <c r="J552" t="str">
        <f t="shared" si="17"/>
        <v>SHIFT A</v>
      </c>
    </row>
    <row r="553" spans="1:10">
      <c r="A553">
        <v>686</v>
      </c>
      <c r="B553" t="s">
        <v>2530</v>
      </c>
      <c r="C553" t="s">
        <v>2531</v>
      </c>
      <c r="D553" t="s">
        <v>1064</v>
      </c>
      <c r="E553" t="s">
        <v>29</v>
      </c>
      <c r="F553" t="s">
        <v>85</v>
      </c>
      <c r="G553" t="str">
        <f t="shared" si="16"/>
        <v>DRILL</v>
      </c>
      <c r="H553" t="s">
        <v>34</v>
      </c>
      <c r="I553" t="s">
        <v>89</v>
      </c>
      <c r="J553" t="str">
        <f t="shared" si="17"/>
        <v>SHIFT B</v>
      </c>
    </row>
    <row r="554" spans="1:10">
      <c r="A554">
        <v>687</v>
      </c>
      <c r="B554" t="s">
        <v>2532</v>
      </c>
      <c r="C554" t="s">
        <v>2533</v>
      </c>
      <c r="D554" t="s">
        <v>28</v>
      </c>
      <c r="E554" t="s">
        <v>29</v>
      </c>
      <c r="F554" t="s">
        <v>72</v>
      </c>
      <c r="G554" t="str">
        <f t="shared" si="16"/>
        <v>BBT</v>
      </c>
      <c r="H554" t="s">
        <v>34</v>
      </c>
      <c r="I554" t="s">
        <v>53</v>
      </c>
      <c r="J554" t="str">
        <f t="shared" si="17"/>
        <v>SHIFT A</v>
      </c>
    </row>
    <row r="555" spans="1:10">
      <c r="A555">
        <v>688</v>
      </c>
      <c r="B555" t="s">
        <v>2534</v>
      </c>
      <c r="C555" t="s">
        <v>2535</v>
      </c>
      <c r="D555" t="s">
        <v>28</v>
      </c>
      <c r="E555" t="s">
        <v>29</v>
      </c>
      <c r="F555" t="s">
        <v>85</v>
      </c>
      <c r="G555" t="str">
        <f t="shared" si="16"/>
        <v>DRILL</v>
      </c>
      <c r="H555" t="s">
        <v>34</v>
      </c>
      <c r="I555" t="s">
        <v>146</v>
      </c>
      <c r="J555" t="str">
        <f t="shared" si="17"/>
        <v>SHIFT C</v>
      </c>
    </row>
    <row r="556" spans="1:10">
      <c r="A556">
        <v>689</v>
      </c>
      <c r="B556" t="s">
        <v>2536</v>
      </c>
      <c r="C556" t="s">
        <v>2537</v>
      </c>
      <c r="D556" t="s">
        <v>28</v>
      </c>
      <c r="E556" t="s">
        <v>29</v>
      </c>
      <c r="F556" t="s">
        <v>79</v>
      </c>
      <c r="G556" t="str">
        <f t="shared" si="16"/>
        <v>SM</v>
      </c>
      <c r="H556" t="s">
        <v>34</v>
      </c>
      <c r="I556" t="s">
        <v>53</v>
      </c>
      <c r="J556" t="str">
        <f t="shared" si="17"/>
        <v>SHIFT A</v>
      </c>
    </row>
    <row r="557" spans="1:10">
      <c r="A557">
        <v>690</v>
      </c>
      <c r="B557" t="s">
        <v>2538</v>
      </c>
      <c r="C557" t="s">
        <v>2539</v>
      </c>
      <c r="D557" t="s">
        <v>28</v>
      </c>
      <c r="E557" t="s">
        <v>29</v>
      </c>
      <c r="F557" t="s">
        <v>79</v>
      </c>
      <c r="G557" t="str">
        <f t="shared" si="16"/>
        <v>SM</v>
      </c>
      <c r="H557" t="s">
        <v>34</v>
      </c>
      <c r="I557" t="s">
        <v>146</v>
      </c>
      <c r="J557" t="str">
        <f t="shared" si="17"/>
        <v>SHIFT C</v>
      </c>
    </row>
    <row r="558" spans="1:10">
      <c r="A558">
        <v>691</v>
      </c>
      <c r="B558" t="s">
        <v>2540</v>
      </c>
      <c r="C558" t="s">
        <v>2541</v>
      </c>
      <c r="D558" t="s">
        <v>28</v>
      </c>
      <c r="E558" t="s">
        <v>29</v>
      </c>
      <c r="F558" t="s">
        <v>1216</v>
      </c>
      <c r="G558" t="str">
        <f t="shared" si="16"/>
        <v>FVI</v>
      </c>
      <c r="H558" t="s">
        <v>34</v>
      </c>
      <c r="I558" t="s">
        <v>53</v>
      </c>
      <c r="J558" t="str">
        <f t="shared" si="17"/>
        <v>SHIFT A</v>
      </c>
    </row>
    <row r="559" spans="1:10">
      <c r="A559">
        <v>692</v>
      </c>
      <c r="B559" t="s">
        <v>2542</v>
      </c>
      <c r="C559" t="s">
        <v>2158</v>
      </c>
      <c r="D559" t="s">
        <v>28</v>
      </c>
      <c r="E559" t="s">
        <v>29</v>
      </c>
      <c r="F559" t="s">
        <v>79</v>
      </c>
      <c r="G559" t="str">
        <f t="shared" si="16"/>
        <v>SM</v>
      </c>
      <c r="H559" t="s">
        <v>34</v>
      </c>
      <c r="I559" t="s">
        <v>53</v>
      </c>
      <c r="J559" t="str">
        <f t="shared" si="17"/>
        <v>SHIFT A</v>
      </c>
    </row>
    <row r="560" spans="1:10">
      <c r="A560">
        <v>693</v>
      </c>
      <c r="B560" t="s">
        <v>2543</v>
      </c>
      <c r="C560" t="s">
        <v>2544</v>
      </c>
      <c r="D560" t="s">
        <v>28</v>
      </c>
      <c r="E560" t="s">
        <v>29</v>
      </c>
      <c r="F560" t="s">
        <v>1216</v>
      </c>
      <c r="G560" t="str">
        <f t="shared" si="16"/>
        <v>FVI</v>
      </c>
      <c r="H560" t="s">
        <v>34</v>
      </c>
      <c r="I560" t="s">
        <v>146</v>
      </c>
      <c r="J560" t="str">
        <f t="shared" si="17"/>
        <v>SHIFT C</v>
      </c>
    </row>
    <row r="561" spans="1:10">
      <c r="A561">
        <v>694</v>
      </c>
      <c r="B561" t="s">
        <v>2545</v>
      </c>
      <c r="C561" t="s">
        <v>2546</v>
      </c>
      <c r="D561" t="s">
        <v>28</v>
      </c>
      <c r="E561" t="s">
        <v>29</v>
      </c>
      <c r="F561" t="s">
        <v>48</v>
      </c>
      <c r="G561" t="str">
        <f t="shared" si="16"/>
        <v>ROUTER</v>
      </c>
      <c r="H561" t="s">
        <v>34</v>
      </c>
      <c r="I561" t="s">
        <v>146</v>
      </c>
      <c r="J561" t="str">
        <f t="shared" si="17"/>
        <v>SHIFT C</v>
      </c>
    </row>
    <row r="562" spans="1:10">
      <c r="A562">
        <v>695</v>
      </c>
      <c r="B562" t="s">
        <v>2547</v>
      </c>
      <c r="C562" t="s">
        <v>2548</v>
      </c>
      <c r="D562" t="s">
        <v>28</v>
      </c>
      <c r="E562" t="s">
        <v>29</v>
      </c>
      <c r="F562" t="s">
        <v>79</v>
      </c>
      <c r="G562" t="str">
        <f t="shared" si="16"/>
        <v>SM</v>
      </c>
      <c r="H562" t="s">
        <v>34</v>
      </c>
      <c r="I562" t="s">
        <v>89</v>
      </c>
      <c r="J562" t="str">
        <f t="shared" si="17"/>
        <v>SHIFT B</v>
      </c>
    </row>
    <row r="563" spans="1:10">
      <c r="A563">
        <v>696</v>
      </c>
      <c r="B563" t="s">
        <v>2549</v>
      </c>
      <c r="C563" t="s">
        <v>2550</v>
      </c>
      <c r="D563" t="s">
        <v>28</v>
      </c>
      <c r="E563" t="s">
        <v>29</v>
      </c>
      <c r="F563" t="s">
        <v>79</v>
      </c>
      <c r="G563" t="str">
        <f t="shared" si="16"/>
        <v>SM</v>
      </c>
      <c r="H563" t="s">
        <v>34</v>
      </c>
      <c r="I563" t="s">
        <v>53</v>
      </c>
      <c r="J563" t="str">
        <f t="shared" si="17"/>
        <v>SHIFT A</v>
      </c>
    </row>
    <row r="564" spans="1:10">
      <c r="A564">
        <v>697</v>
      </c>
      <c r="B564" t="s">
        <v>2551</v>
      </c>
      <c r="C564" t="s">
        <v>2552</v>
      </c>
      <c r="D564" t="s">
        <v>28</v>
      </c>
      <c r="E564" t="s">
        <v>29</v>
      </c>
      <c r="F564" t="s">
        <v>79</v>
      </c>
      <c r="G564" t="str">
        <f t="shared" si="16"/>
        <v>SM</v>
      </c>
      <c r="H564" t="s">
        <v>34</v>
      </c>
      <c r="I564" t="s">
        <v>89</v>
      </c>
      <c r="J564" t="str">
        <f t="shared" si="17"/>
        <v>SHIFT B</v>
      </c>
    </row>
    <row r="565" spans="1:10">
      <c r="A565">
        <v>698</v>
      </c>
      <c r="B565" t="s">
        <v>2553</v>
      </c>
      <c r="C565" t="s">
        <v>2554</v>
      </c>
      <c r="D565" t="s">
        <v>28</v>
      </c>
      <c r="E565" t="s">
        <v>29</v>
      </c>
      <c r="F565" t="s">
        <v>1216</v>
      </c>
      <c r="G565" t="str">
        <f t="shared" si="16"/>
        <v>FVI</v>
      </c>
      <c r="H565" t="s">
        <v>34</v>
      </c>
      <c r="I565" t="s">
        <v>146</v>
      </c>
      <c r="J565" t="str">
        <f t="shared" si="17"/>
        <v>SHIFT C</v>
      </c>
    </row>
    <row r="566" spans="1:10">
      <c r="A566">
        <v>699</v>
      </c>
      <c r="B566" t="s">
        <v>2555</v>
      </c>
      <c r="C566" t="s">
        <v>2556</v>
      </c>
      <c r="D566" t="s">
        <v>28</v>
      </c>
      <c r="E566" t="s">
        <v>29</v>
      </c>
      <c r="F566" t="s">
        <v>1058</v>
      </c>
      <c r="G566" t="str">
        <f t="shared" si="16"/>
        <v>LASER</v>
      </c>
      <c r="H566" t="s">
        <v>34</v>
      </c>
      <c r="I566" t="s">
        <v>53</v>
      </c>
      <c r="J566" t="str">
        <f t="shared" si="17"/>
        <v>SHIFT A</v>
      </c>
    </row>
    <row r="567" spans="1:10">
      <c r="A567">
        <v>700</v>
      </c>
      <c r="B567" t="s">
        <v>2557</v>
      </c>
      <c r="C567" t="s">
        <v>2558</v>
      </c>
      <c r="D567" t="s">
        <v>28</v>
      </c>
      <c r="E567" t="s">
        <v>29</v>
      </c>
      <c r="F567" t="s">
        <v>85</v>
      </c>
      <c r="G567" t="str">
        <f t="shared" si="16"/>
        <v>DRILL</v>
      </c>
      <c r="H567" t="s">
        <v>34</v>
      </c>
      <c r="I567" t="s">
        <v>89</v>
      </c>
      <c r="J567" t="str">
        <f t="shared" si="17"/>
        <v>SHIFT B</v>
      </c>
    </row>
    <row r="568" spans="1:10">
      <c r="A568">
        <v>701</v>
      </c>
      <c r="B568" t="s">
        <v>2559</v>
      </c>
      <c r="C568" t="s">
        <v>2560</v>
      </c>
      <c r="D568" t="s">
        <v>762</v>
      </c>
      <c r="E568" t="s">
        <v>446</v>
      </c>
      <c r="F568" t="s">
        <v>860</v>
      </c>
      <c r="G568" t="str">
        <f t="shared" si="16"/>
        <v>EQUIPMENT</v>
      </c>
      <c r="H568" t="s">
        <v>34</v>
      </c>
      <c r="I568" t="s">
        <v>146</v>
      </c>
      <c r="J568" t="str">
        <f t="shared" si="17"/>
        <v>SHIFT C</v>
      </c>
    </row>
    <row r="569" spans="1:10">
      <c r="A569">
        <v>702</v>
      </c>
      <c r="B569" t="s">
        <v>2563</v>
      </c>
      <c r="C569" t="s">
        <v>2564</v>
      </c>
      <c r="D569" t="s">
        <v>762</v>
      </c>
      <c r="E569" t="s">
        <v>744</v>
      </c>
      <c r="F569" t="s">
        <v>745</v>
      </c>
      <c r="G569" t="str">
        <f t="shared" si="16"/>
        <v>HS</v>
      </c>
      <c r="H569" t="s">
        <v>106</v>
      </c>
      <c r="I569" t="s">
        <v>53</v>
      </c>
      <c r="J569" t="str">
        <f t="shared" si="17"/>
        <v>SHIFT A</v>
      </c>
    </row>
    <row r="570" spans="1:10">
      <c r="A570">
        <v>703</v>
      </c>
      <c r="B570" t="s">
        <v>2567</v>
      </c>
      <c r="C570" t="s">
        <v>2568</v>
      </c>
      <c r="D570" t="s">
        <v>765</v>
      </c>
      <c r="E570" t="s">
        <v>491</v>
      </c>
      <c r="F570" t="s">
        <v>830</v>
      </c>
      <c r="G570" t="str">
        <f t="shared" si="16"/>
        <v>QUALITY</v>
      </c>
      <c r="H570" t="s">
        <v>106</v>
      </c>
      <c r="I570" t="s">
        <v>146</v>
      </c>
      <c r="J570" t="str">
        <f t="shared" si="17"/>
        <v>SHIFT C</v>
      </c>
    </row>
    <row r="571" spans="1:10">
      <c r="A571">
        <v>705</v>
      </c>
      <c r="B571" t="s">
        <v>2575</v>
      </c>
      <c r="C571" t="s">
        <v>2576</v>
      </c>
      <c r="D571" t="s">
        <v>1064</v>
      </c>
      <c r="E571" t="s">
        <v>29</v>
      </c>
      <c r="F571" t="s">
        <v>30</v>
      </c>
      <c r="G571" t="str">
        <f t="shared" si="16"/>
        <v>DF</v>
      </c>
      <c r="H571" t="s">
        <v>34</v>
      </c>
      <c r="I571" t="s">
        <v>53</v>
      </c>
      <c r="J571" t="str">
        <f t="shared" si="17"/>
        <v>SHIFT A</v>
      </c>
    </row>
    <row r="572" spans="1:10">
      <c r="A572">
        <v>706</v>
      </c>
      <c r="B572" t="s">
        <v>2579</v>
      </c>
      <c r="C572" t="s">
        <v>2580</v>
      </c>
      <c r="D572" t="s">
        <v>28</v>
      </c>
      <c r="E572" t="s">
        <v>491</v>
      </c>
      <c r="F572" t="s">
        <v>1042</v>
      </c>
      <c r="G572" t="str">
        <f t="shared" si="16"/>
        <v>QUALITY</v>
      </c>
      <c r="H572" t="s">
        <v>106</v>
      </c>
      <c r="I572" t="s">
        <v>89</v>
      </c>
      <c r="J572" t="str">
        <f t="shared" si="17"/>
        <v>SHIFT B</v>
      </c>
    </row>
    <row r="573" spans="1:10">
      <c r="A573">
        <v>707</v>
      </c>
      <c r="B573" t="s">
        <v>2583</v>
      </c>
      <c r="C573" t="s">
        <v>2584</v>
      </c>
      <c r="D573" t="s">
        <v>1054</v>
      </c>
      <c r="E573" t="s">
        <v>29</v>
      </c>
      <c r="F573" t="s">
        <v>1216</v>
      </c>
      <c r="G573" t="str">
        <f t="shared" si="16"/>
        <v>FVI</v>
      </c>
      <c r="H573" t="s">
        <v>106</v>
      </c>
      <c r="I573" t="s">
        <v>89</v>
      </c>
      <c r="J573" t="str">
        <f t="shared" si="17"/>
        <v>SHIFT B</v>
      </c>
    </row>
    <row r="574" spans="1:10">
      <c r="A574">
        <v>708</v>
      </c>
      <c r="B574" t="s">
        <v>2587</v>
      </c>
      <c r="C574" t="s">
        <v>2588</v>
      </c>
      <c r="D574" t="s">
        <v>28</v>
      </c>
      <c r="E574" t="s">
        <v>29</v>
      </c>
      <c r="F574" t="s">
        <v>30</v>
      </c>
      <c r="G574" t="str">
        <f t="shared" si="16"/>
        <v>DF</v>
      </c>
      <c r="H574" t="s">
        <v>34</v>
      </c>
      <c r="I574" t="s">
        <v>146</v>
      </c>
      <c r="J574" t="str">
        <f t="shared" si="17"/>
        <v>SHIFT C</v>
      </c>
    </row>
    <row r="575" spans="1:10">
      <c r="A575">
        <v>709</v>
      </c>
      <c r="B575" t="s">
        <v>2591</v>
      </c>
      <c r="C575" t="s">
        <v>2592</v>
      </c>
      <c r="D575" t="s">
        <v>28</v>
      </c>
      <c r="E575" t="s">
        <v>491</v>
      </c>
      <c r="F575" t="s">
        <v>978</v>
      </c>
      <c r="G575" t="str">
        <f t="shared" si="16"/>
        <v>QUALITY</v>
      </c>
      <c r="H575" t="s">
        <v>106</v>
      </c>
      <c r="I575" t="s">
        <v>53</v>
      </c>
      <c r="J575" t="str">
        <f t="shared" si="17"/>
        <v>SHIFT A</v>
      </c>
    </row>
    <row r="576" spans="1:10">
      <c r="A576">
        <v>710</v>
      </c>
      <c r="B576" t="s">
        <v>2595</v>
      </c>
      <c r="C576" t="s">
        <v>2596</v>
      </c>
      <c r="D576" t="s">
        <v>28</v>
      </c>
      <c r="E576" t="s">
        <v>29</v>
      </c>
      <c r="F576" t="s">
        <v>1216</v>
      </c>
      <c r="G576" t="str">
        <f t="shared" si="16"/>
        <v>FVI</v>
      </c>
      <c r="H576" t="s">
        <v>106</v>
      </c>
      <c r="I576" t="s">
        <v>53</v>
      </c>
      <c r="J576" t="str">
        <f t="shared" si="17"/>
        <v>SHIFT A</v>
      </c>
    </row>
    <row r="577" spans="1:10">
      <c r="A577">
        <v>711</v>
      </c>
      <c r="B577" t="s">
        <v>2599</v>
      </c>
      <c r="C577" t="s">
        <v>2600</v>
      </c>
      <c r="D577" t="s">
        <v>28</v>
      </c>
      <c r="E577" t="s">
        <v>491</v>
      </c>
      <c r="F577" t="s">
        <v>978</v>
      </c>
      <c r="G577" t="str">
        <f t="shared" si="16"/>
        <v>QUALITY</v>
      </c>
      <c r="H577" t="s">
        <v>34</v>
      </c>
      <c r="I577" t="s">
        <v>53</v>
      </c>
      <c r="J577" t="str">
        <f t="shared" si="17"/>
        <v>SHIFT A</v>
      </c>
    </row>
    <row r="578" spans="1:10">
      <c r="A578">
        <v>712</v>
      </c>
      <c r="B578" t="s">
        <v>2603</v>
      </c>
      <c r="C578" t="s">
        <v>2604</v>
      </c>
      <c r="D578" t="s">
        <v>1064</v>
      </c>
      <c r="E578" t="s">
        <v>475</v>
      </c>
      <c r="F578" t="s">
        <v>476</v>
      </c>
      <c r="G578" t="str">
        <f t="shared" si="16"/>
        <v>DESIGN</v>
      </c>
      <c r="H578" t="s">
        <v>34</v>
      </c>
      <c r="I578" t="s">
        <v>89</v>
      </c>
      <c r="J578" t="str">
        <f t="shared" si="17"/>
        <v>SHIFT B</v>
      </c>
    </row>
    <row r="579" spans="1:10">
      <c r="A579">
        <v>713</v>
      </c>
      <c r="B579" t="s">
        <v>2607</v>
      </c>
      <c r="C579" t="s">
        <v>2608</v>
      </c>
      <c r="D579" t="s">
        <v>1064</v>
      </c>
      <c r="E579" t="s">
        <v>29</v>
      </c>
      <c r="F579" t="s">
        <v>85</v>
      </c>
      <c r="G579" t="str">
        <f t="shared" si="16"/>
        <v>DRILL</v>
      </c>
      <c r="H579" t="s">
        <v>106</v>
      </c>
      <c r="I579" t="s">
        <v>146</v>
      </c>
      <c r="J579" t="str">
        <f t="shared" si="17"/>
        <v>SHIFT C</v>
      </c>
    </row>
    <row r="580" spans="1:10">
      <c r="A580">
        <v>714</v>
      </c>
      <c r="B580" t="s">
        <v>2611</v>
      </c>
      <c r="C580" t="s">
        <v>2612</v>
      </c>
      <c r="D580" t="s">
        <v>28</v>
      </c>
      <c r="E580" t="s">
        <v>29</v>
      </c>
      <c r="F580" t="s">
        <v>1058</v>
      </c>
      <c r="G580" t="str">
        <f t="shared" ref="G580:G643" si="18">IF(OR(ISNUMBER(SEARCH("P1",F580)),ISNUMBER(SEARCH("P2",F580)),ISNUMBER(SEARCH("P3",F580)),ISNUMBER(SEARCH("P4",F580)),ISNUMBER(SEARCH("P5",F580))),"EQUIPMENT",
IF(ISNUMBER(SEARCH("Warehouse",F580)),"WAREHOUSE",
IF(ISNUMBER(SEARCH("WWTP",F580)),"ENVIRONMENT",
IF(OR(ISNUMBER(SEARCH("QC",F580)),ISNUMBER(SEARCH("RELIABILITY",F580)),ISNUMBER(SEARCH("OQA",F580)),ISNUMBER(SEARCH("CHEMICAL",F580))),"QUALITY",
IF(OR(ISNUMBER(SEARCH("OPERATION",F580)),ISNUMBER(SEARCH("PSM",F580))),"HS",
IF(ISNUMBER(SEARCH("FVI",F580)),"FVI",
IF(OR(ISNUMBER(SEARCH("ELECTRICITY",F580)),ISNUMBER(SEARCH("FACILITIES",F580)),ISNUMBER(SEARCH("MECHANICAL",F580))),"FACILITY",F580)))))))</f>
        <v>LASER</v>
      </c>
      <c r="H580" t="s">
        <v>34</v>
      </c>
      <c r="I580" t="s">
        <v>53</v>
      </c>
      <c r="J580" t="str">
        <f t="shared" ref="J580:J643" si="19">IF(ISNUMBER(SEARCH("GROUP C",I580)),"SHIFT C",
IF(ISNUMBER(SEARCH("GROUP A",I580)),"SHIFT A",
IF(ISNUMBER(SEARCH("GROUP O",I580)),"SHIFT O",
IF(ISNUMBER(SEARCH("GROUP B",I580)),"SHIFT B",
IF(ISNUMBER(SEARCH("GROUP E",I580)),"SHIFT E","")))))</f>
        <v>SHIFT A</v>
      </c>
    </row>
    <row r="581" spans="1:10">
      <c r="A581">
        <v>715</v>
      </c>
      <c r="B581" t="s">
        <v>2615</v>
      </c>
      <c r="C581" t="s">
        <v>2616</v>
      </c>
      <c r="D581" t="s">
        <v>1064</v>
      </c>
      <c r="E581" t="s">
        <v>29</v>
      </c>
      <c r="F581" t="s">
        <v>1216</v>
      </c>
      <c r="G581" t="str">
        <f t="shared" si="18"/>
        <v>FVI</v>
      </c>
      <c r="H581" t="s">
        <v>34</v>
      </c>
      <c r="I581" t="s">
        <v>89</v>
      </c>
      <c r="J581" t="str">
        <f t="shared" si="19"/>
        <v>SHIFT B</v>
      </c>
    </row>
    <row r="582" spans="1:10">
      <c r="A582">
        <v>716</v>
      </c>
      <c r="B582" t="s">
        <v>2619</v>
      </c>
      <c r="C582" t="s">
        <v>2620</v>
      </c>
      <c r="D582" t="s">
        <v>1064</v>
      </c>
      <c r="E582" t="s">
        <v>29</v>
      </c>
      <c r="F582" t="s">
        <v>537</v>
      </c>
      <c r="G582" t="str">
        <f t="shared" si="18"/>
        <v>MLB</v>
      </c>
      <c r="H582" t="s">
        <v>34</v>
      </c>
      <c r="I582" t="s">
        <v>53</v>
      </c>
      <c r="J582" t="str">
        <f t="shared" si="19"/>
        <v>SHIFT A</v>
      </c>
    </row>
    <row r="583" spans="1:10">
      <c r="A583">
        <v>717</v>
      </c>
      <c r="B583" t="s">
        <v>2623</v>
      </c>
      <c r="C583" t="s">
        <v>2624</v>
      </c>
      <c r="D583" t="s">
        <v>1064</v>
      </c>
      <c r="E583" t="s">
        <v>475</v>
      </c>
      <c r="F583" t="s">
        <v>476</v>
      </c>
      <c r="G583" t="str">
        <f t="shared" si="18"/>
        <v>DESIGN</v>
      </c>
      <c r="H583" t="s">
        <v>34</v>
      </c>
      <c r="I583" t="s">
        <v>89</v>
      </c>
      <c r="J583" t="str">
        <f t="shared" si="19"/>
        <v>SHIFT B</v>
      </c>
    </row>
    <row r="584" spans="1:10">
      <c r="A584">
        <v>718</v>
      </c>
      <c r="B584" t="s">
        <v>2627</v>
      </c>
      <c r="C584" t="s">
        <v>2628</v>
      </c>
      <c r="D584" t="s">
        <v>28</v>
      </c>
      <c r="E584" t="s">
        <v>491</v>
      </c>
      <c r="F584" t="s">
        <v>950</v>
      </c>
      <c r="G584" t="str">
        <f t="shared" si="18"/>
        <v>QUALITY</v>
      </c>
      <c r="H584" t="s">
        <v>34</v>
      </c>
      <c r="I584" t="s">
        <v>146</v>
      </c>
      <c r="J584" t="str">
        <f t="shared" si="19"/>
        <v>SHIFT C</v>
      </c>
    </row>
    <row r="585" spans="1:10">
      <c r="A585">
        <v>719</v>
      </c>
      <c r="B585" t="s">
        <v>2631</v>
      </c>
      <c r="C585" t="s">
        <v>2632</v>
      </c>
      <c r="D585" t="s">
        <v>28</v>
      </c>
      <c r="E585" t="s">
        <v>29</v>
      </c>
      <c r="F585" t="s">
        <v>1216</v>
      </c>
      <c r="G585" t="str">
        <f t="shared" si="18"/>
        <v>FVI</v>
      </c>
      <c r="H585" t="s">
        <v>34</v>
      </c>
      <c r="I585" t="s">
        <v>146</v>
      </c>
      <c r="J585" t="str">
        <f t="shared" si="19"/>
        <v>SHIFT C</v>
      </c>
    </row>
    <row r="586" spans="1:10">
      <c r="A586">
        <v>720</v>
      </c>
      <c r="B586" t="s">
        <v>2635</v>
      </c>
      <c r="C586" t="s">
        <v>2636</v>
      </c>
      <c r="D586" t="s">
        <v>28</v>
      </c>
      <c r="E586" t="s">
        <v>29</v>
      </c>
      <c r="F586" t="s">
        <v>1058</v>
      </c>
      <c r="G586" t="str">
        <f t="shared" si="18"/>
        <v>LASER</v>
      </c>
      <c r="H586" t="s">
        <v>34</v>
      </c>
      <c r="I586" t="s">
        <v>89</v>
      </c>
      <c r="J586" t="str">
        <f t="shared" si="19"/>
        <v>SHIFT B</v>
      </c>
    </row>
    <row r="587" spans="1:10">
      <c r="A587">
        <v>721</v>
      </c>
      <c r="B587" t="s">
        <v>2639</v>
      </c>
      <c r="C587" t="s">
        <v>2640</v>
      </c>
      <c r="D587" t="s">
        <v>1054</v>
      </c>
      <c r="E587" t="s">
        <v>29</v>
      </c>
      <c r="F587" t="s">
        <v>79</v>
      </c>
      <c r="G587" t="str">
        <f t="shared" si="18"/>
        <v>SM</v>
      </c>
      <c r="H587" t="s">
        <v>34</v>
      </c>
      <c r="I587" t="s">
        <v>89</v>
      </c>
      <c r="J587" t="str">
        <f t="shared" si="19"/>
        <v>SHIFT B</v>
      </c>
    </row>
    <row r="588" spans="1:10">
      <c r="A588">
        <v>722</v>
      </c>
      <c r="B588" t="s">
        <v>2643</v>
      </c>
      <c r="C588" t="s">
        <v>1387</v>
      </c>
      <c r="D588" t="s">
        <v>499</v>
      </c>
      <c r="E588" t="s">
        <v>29</v>
      </c>
      <c r="F588" t="s">
        <v>79</v>
      </c>
      <c r="G588" t="str">
        <f t="shared" si="18"/>
        <v>SM</v>
      </c>
      <c r="H588" t="s">
        <v>34</v>
      </c>
      <c r="I588" t="s">
        <v>89</v>
      </c>
      <c r="J588" t="str">
        <f t="shared" si="19"/>
        <v>SHIFT B</v>
      </c>
    </row>
    <row r="589" spans="1:10">
      <c r="A589">
        <v>723</v>
      </c>
      <c r="B589" t="s">
        <v>2646</v>
      </c>
      <c r="C589" t="s">
        <v>2647</v>
      </c>
      <c r="D589" t="s">
        <v>28</v>
      </c>
      <c r="E589" t="s">
        <v>29</v>
      </c>
      <c r="F589" t="s">
        <v>79</v>
      </c>
      <c r="G589" t="str">
        <f t="shared" si="18"/>
        <v>SM</v>
      </c>
      <c r="H589" t="s">
        <v>34</v>
      </c>
      <c r="I589" t="s">
        <v>89</v>
      </c>
      <c r="J589" t="str">
        <f t="shared" si="19"/>
        <v>SHIFT B</v>
      </c>
    </row>
    <row r="590" spans="1:10">
      <c r="A590">
        <v>724</v>
      </c>
      <c r="B590" t="s">
        <v>2650</v>
      </c>
      <c r="C590" t="s">
        <v>50</v>
      </c>
      <c r="D590" t="s">
        <v>499</v>
      </c>
      <c r="E590" t="s">
        <v>29</v>
      </c>
      <c r="F590" t="s">
        <v>48</v>
      </c>
      <c r="G590" t="str">
        <f t="shared" si="18"/>
        <v>ROUTER</v>
      </c>
      <c r="H590" t="s">
        <v>34</v>
      </c>
      <c r="I590" t="s">
        <v>53</v>
      </c>
      <c r="J590" t="str">
        <f t="shared" si="19"/>
        <v>SHIFT A</v>
      </c>
    </row>
    <row r="591" spans="1:10">
      <c r="A591">
        <v>725</v>
      </c>
      <c r="B591" t="s">
        <v>2653</v>
      </c>
      <c r="C591" t="s">
        <v>2654</v>
      </c>
      <c r="D591" t="s">
        <v>28</v>
      </c>
      <c r="E591" t="s">
        <v>29</v>
      </c>
      <c r="F591" t="s">
        <v>48</v>
      </c>
      <c r="G591" t="str">
        <f t="shared" si="18"/>
        <v>ROUTER</v>
      </c>
      <c r="H591" t="s">
        <v>34</v>
      </c>
      <c r="I591" t="s">
        <v>89</v>
      </c>
      <c r="J591" t="str">
        <f t="shared" si="19"/>
        <v>SHIFT B</v>
      </c>
    </row>
    <row r="592" spans="1:10">
      <c r="A592">
        <v>726</v>
      </c>
      <c r="B592" t="s">
        <v>2657</v>
      </c>
      <c r="C592" t="s">
        <v>2658</v>
      </c>
      <c r="D592" t="s">
        <v>28</v>
      </c>
      <c r="E592" t="s">
        <v>491</v>
      </c>
      <c r="F592" t="s">
        <v>950</v>
      </c>
      <c r="G592" t="str">
        <f t="shared" si="18"/>
        <v>QUALITY</v>
      </c>
      <c r="H592" t="s">
        <v>34</v>
      </c>
      <c r="I592" t="s">
        <v>89</v>
      </c>
      <c r="J592" t="str">
        <f t="shared" si="19"/>
        <v>SHIFT B</v>
      </c>
    </row>
    <row r="593" spans="1:10">
      <c r="A593">
        <v>727</v>
      </c>
      <c r="B593" t="s">
        <v>2661</v>
      </c>
      <c r="C593" t="s">
        <v>2662</v>
      </c>
      <c r="D593" t="s">
        <v>28</v>
      </c>
      <c r="E593" t="s">
        <v>29</v>
      </c>
      <c r="F593" t="s">
        <v>79</v>
      </c>
      <c r="G593" t="str">
        <f t="shared" si="18"/>
        <v>SM</v>
      </c>
      <c r="H593" t="s">
        <v>34</v>
      </c>
      <c r="I593" t="s">
        <v>146</v>
      </c>
      <c r="J593" t="str">
        <f t="shared" si="19"/>
        <v>SHIFT C</v>
      </c>
    </row>
    <row r="594" spans="1:10">
      <c r="A594">
        <v>728</v>
      </c>
      <c r="B594" t="s">
        <v>2665</v>
      </c>
      <c r="C594" t="s">
        <v>2666</v>
      </c>
      <c r="D594" t="s">
        <v>28</v>
      </c>
      <c r="E594" t="s">
        <v>29</v>
      </c>
      <c r="F594" t="s">
        <v>72</v>
      </c>
      <c r="G594" t="str">
        <f t="shared" si="18"/>
        <v>BBT</v>
      </c>
      <c r="H594" t="s">
        <v>106</v>
      </c>
      <c r="I594" t="s">
        <v>76</v>
      </c>
      <c r="J594" t="str">
        <f t="shared" si="19"/>
        <v>SHIFT E</v>
      </c>
    </row>
    <row r="595" spans="1:10">
      <c r="A595">
        <v>729</v>
      </c>
      <c r="B595" t="s">
        <v>2669</v>
      </c>
      <c r="C595" t="s">
        <v>2670</v>
      </c>
      <c r="D595" t="s">
        <v>28</v>
      </c>
      <c r="E595" t="s">
        <v>491</v>
      </c>
      <c r="F595" t="s">
        <v>978</v>
      </c>
      <c r="G595" t="str">
        <f t="shared" si="18"/>
        <v>QUALITY</v>
      </c>
      <c r="H595" t="s">
        <v>106</v>
      </c>
      <c r="I595" t="s">
        <v>53</v>
      </c>
      <c r="J595" t="str">
        <f t="shared" si="19"/>
        <v>SHIFT A</v>
      </c>
    </row>
    <row r="596" spans="1:10">
      <c r="A596">
        <v>730</v>
      </c>
      <c r="B596" t="s">
        <v>2673</v>
      </c>
      <c r="C596" t="s">
        <v>2674</v>
      </c>
      <c r="D596" t="s">
        <v>1064</v>
      </c>
      <c r="E596" t="s">
        <v>29</v>
      </c>
      <c r="F596" t="s">
        <v>537</v>
      </c>
      <c r="G596" t="str">
        <f t="shared" si="18"/>
        <v>MLB</v>
      </c>
      <c r="H596" t="s">
        <v>106</v>
      </c>
      <c r="I596" t="s">
        <v>53</v>
      </c>
      <c r="J596" t="str">
        <f t="shared" si="19"/>
        <v>SHIFT A</v>
      </c>
    </row>
    <row r="597" spans="1:10">
      <c r="A597">
        <v>732</v>
      </c>
      <c r="B597" t="s">
        <v>2681</v>
      </c>
      <c r="C597" t="s">
        <v>2682</v>
      </c>
      <c r="D597" t="s">
        <v>762</v>
      </c>
      <c r="E597" t="s">
        <v>453</v>
      </c>
      <c r="F597" t="s">
        <v>739</v>
      </c>
      <c r="G597" t="str">
        <f t="shared" si="18"/>
        <v>RODI</v>
      </c>
      <c r="H597" t="s">
        <v>34</v>
      </c>
      <c r="I597" t="s">
        <v>89</v>
      </c>
      <c r="J597" t="str">
        <f t="shared" si="19"/>
        <v>SHIFT B</v>
      </c>
    </row>
    <row r="598" spans="1:10">
      <c r="A598">
        <v>733</v>
      </c>
      <c r="B598" t="s">
        <v>2685</v>
      </c>
      <c r="C598" t="s">
        <v>2686</v>
      </c>
      <c r="D598" t="s">
        <v>499</v>
      </c>
      <c r="E598" t="s">
        <v>491</v>
      </c>
      <c r="F598" t="s">
        <v>978</v>
      </c>
      <c r="G598" t="str">
        <f t="shared" si="18"/>
        <v>QUALITY</v>
      </c>
      <c r="H598" t="s">
        <v>106</v>
      </c>
      <c r="I598" t="s">
        <v>89</v>
      </c>
      <c r="J598" t="str">
        <f t="shared" si="19"/>
        <v>SHIFT B</v>
      </c>
    </row>
    <row r="599" spans="1:10">
      <c r="A599">
        <v>735</v>
      </c>
      <c r="B599" t="s">
        <v>2693</v>
      </c>
      <c r="C599" t="s">
        <v>2694</v>
      </c>
      <c r="D599" t="s">
        <v>762</v>
      </c>
      <c r="E599" t="s">
        <v>706</v>
      </c>
      <c r="F599" t="s">
        <v>870</v>
      </c>
      <c r="G599" t="str">
        <f t="shared" si="18"/>
        <v>FACILITY</v>
      </c>
      <c r="H599" t="s">
        <v>34</v>
      </c>
      <c r="I599" t="s">
        <v>53</v>
      </c>
      <c r="J599" t="str">
        <f t="shared" si="19"/>
        <v>SHIFT A</v>
      </c>
    </row>
    <row r="600" spans="1:10">
      <c r="A600">
        <v>742</v>
      </c>
      <c r="B600" t="s">
        <v>2725</v>
      </c>
      <c r="C600" t="s">
        <v>2726</v>
      </c>
      <c r="D600" t="s">
        <v>733</v>
      </c>
      <c r="E600" t="s">
        <v>706</v>
      </c>
      <c r="F600" t="s">
        <v>870</v>
      </c>
      <c r="G600" t="str">
        <f t="shared" si="18"/>
        <v>FACILITY</v>
      </c>
      <c r="H600" t="s">
        <v>34</v>
      </c>
      <c r="I600" t="s">
        <v>89</v>
      </c>
      <c r="J600" t="str">
        <f t="shared" si="19"/>
        <v>SHIFT B</v>
      </c>
    </row>
    <row r="601" spans="1:10">
      <c r="A601">
        <v>743</v>
      </c>
      <c r="B601" t="s">
        <v>2729</v>
      </c>
      <c r="C601" t="s">
        <v>2730</v>
      </c>
      <c r="D601" t="s">
        <v>668</v>
      </c>
      <c r="E601" t="s">
        <v>706</v>
      </c>
      <c r="F601" t="s">
        <v>707</v>
      </c>
      <c r="G601" t="str">
        <f t="shared" si="18"/>
        <v>FACILITY</v>
      </c>
      <c r="H601" t="s">
        <v>34</v>
      </c>
      <c r="I601" t="s">
        <v>53</v>
      </c>
      <c r="J601" t="str">
        <f t="shared" si="19"/>
        <v>SHIFT A</v>
      </c>
    </row>
    <row r="602" spans="1:10">
      <c r="A602">
        <v>752</v>
      </c>
      <c r="B602" t="s">
        <v>2765</v>
      </c>
      <c r="C602" t="s">
        <v>2766</v>
      </c>
      <c r="D602" t="s">
        <v>765</v>
      </c>
      <c r="E602" t="s">
        <v>446</v>
      </c>
      <c r="F602" t="s">
        <v>860</v>
      </c>
      <c r="G602" t="str">
        <f t="shared" si="18"/>
        <v>EQUIPMENT</v>
      </c>
      <c r="H602" t="s">
        <v>34</v>
      </c>
      <c r="I602" t="s">
        <v>752</v>
      </c>
      <c r="J602" t="str">
        <f t="shared" si="19"/>
        <v>SHIFT O</v>
      </c>
    </row>
    <row r="603" spans="1:10">
      <c r="A603">
        <v>753</v>
      </c>
      <c r="B603" t="s">
        <v>2769</v>
      </c>
      <c r="C603" t="s">
        <v>2770</v>
      </c>
      <c r="D603" t="s">
        <v>765</v>
      </c>
      <c r="E603" t="s">
        <v>446</v>
      </c>
      <c r="F603" t="s">
        <v>516</v>
      </c>
      <c r="G603" t="str">
        <f t="shared" si="18"/>
        <v>EQUIPMENT</v>
      </c>
      <c r="H603" t="s">
        <v>34</v>
      </c>
      <c r="I603" t="s">
        <v>89</v>
      </c>
      <c r="J603" t="str">
        <f t="shared" si="19"/>
        <v>SHIFT B</v>
      </c>
    </row>
    <row r="604" spans="1:10">
      <c r="A604">
        <v>757</v>
      </c>
      <c r="B604" t="s">
        <v>2787</v>
      </c>
      <c r="C604" t="s">
        <v>2788</v>
      </c>
      <c r="D604" t="s">
        <v>28</v>
      </c>
      <c r="E604" t="s">
        <v>29</v>
      </c>
      <c r="F604" t="s">
        <v>72</v>
      </c>
      <c r="G604" t="str">
        <f t="shared" si="18"/>
        <v>BBT</v>
      </c>
      <c r="H604" t="s">
        <v>34</v>
      </c>
      <c r="I604" t="s">
        <v>89</v>
      </c>
      <c r="J604" t="str">
        <f t="shared" si="19"/>
        <v>SHIFT B</v>
      </c>
    </row>
    <row r="605" spans="1:10">
      <c r="A605">
        <v>758</v>
      </c>
      <c r="B605" t="s">
        <v>2791</v>
      </c>
      <c r="C605" t="s">
        <v>2792</v>
      </c>
      <c r="D605" t="s">
        <v>1064</v>
      </c>
      <c r="E605" t="s">
        <v>29</v>
      </c>
      <c r="F605" t="s">
        <v>72</v>
      </c>
      <c r="G605" t="str">
        <f t="shared" si="18"/>
        <v>BBT</v>
      </c>
      <c r="H605" t="s">
        <v>34</v>
      </c>
      <c r="I605" t="s">
        <v>53</v>
      </c>
      <c r="J605" t="str">
        <f t="shared" si="19"/>
        <v>SHIFT A</v>
      </c>
    </row>
    <row r="606" spans="1:10">
      <c r="A606">
        <v>759</v>
      </c>
      <c r="B606" t="s">
        <v>2795</v>
      </c>
      <c r="C606" t="s">
        <v>2796</v>
      </c>
      <c r="D606" t="s">
        <v>28</v>
      </c>
      <c r="E606" t="s">
        <v>29</v>
      </c>
      <c r="F606" t="s">
        <v>72</v>
      </c>
      <c r="G606" t="str">
        <f t="shared" si="18"/>
        <v>BBT</v>
      </c>
      <c r="H606" t="s">
        <v>34</v>
      </c>
      <c r="I606" t="s">
        <v>76</v>
      </c>
      <c r="J606" t="str">
        <f t="shared" si="19"/>
        <v>SHIFT E</v>
      </c>
    </row>
    <row r="607" spans="1:10">
      <c r="A607">
        <v>760</v>
      </c>
      <c r="B607" t="s">
        <v>2799</v>
      </c>
      <c r="C607" t="s">
        <v>2800</v>
      </c>
      <c r="D607" t="s">
        <v>28</v>
      </c>
      <c r="E607" t="s">
        <v>491</v>
      </c>
      <c r="F607" t="s">
        <v>830</v>
      </c>
      <c r="G607" t="str">
        <f t="shared" si="18"/>
        <v>QUALITY</v>
      </c>
      <c r="H607" t="s">
        <v>106</v>
      </c>
      <c r="I607" t="s">
        <v>53</v>
      </c>
      <c r="J607" t="str">
        <f t="shared" si="19"/>
        <v>SHIFT A</v>
      </c>
    </row>
    <row r="608" spans="1:10">
      <c r="A608">
        <v>761</v>
      </c>
      <c r="B608" t="s">
        <v>2803</v>
      </c>
      <c r="C608" t="s">
        <v>2804</v>
      </c>
      <c r="D608" t="s">
        <v>28</v>
      </c>
      <c r="E608" t="s">
        <v>29</v>
      </c>
      <c r="F608" t="s">
        <v>62</v>
      </c>
      <c r="G608" t="str">
        <f t="shared" si="18"/>
        <v>CU</v>
      </c>
      <c r="H608" t="s">
        <v>34</v>
      </c>
      <c r="I608" t="s">
        <v>76</v>
      </c>
      <c r="J608" t="str">
        <f t="shared" si="19"/>
        <v>SHIFT E</v>
      </c>
    </row>
    <row r="609" spans="1:10">
      <c r="A609">
        <v>762</v>
      </c>
      <c r="B609" t="s">
        <v>2807</v>
      </c>
      <c r="C609" t="s">
        <v>2808</v>
      </c>
      <c r="D609" t="s">
        <v>1064</v>
      </c>
      <c r="E609" t="s">
        <v>29</v>
      </c>
      <c r="F609" t="s">
        <v>30</v>
      </c>
      <c r="G609" t="str">
        <f t="shared" si="18"/>
        <v>DF</v>
      </c>
      <c r="H609" t="s">
        <v>34</v>
      </c>
      <c r="I609" t="s">
        <v>89</v>
      </c>
      <c r="J609" t="str">
        <f t="shared" si="19"/>
        <v>SHIFT B</v>
      </c>
    </row>
    <row r="610" spans="1:10">
      <c r="A610">
        <v>763</v>
      </c>
      <c r="B610" t="s">
        <v>2811</v>
      </c>
      <c r="C610" t="s">
        <v>2812</v>
      </c>
      <c r="D610" t="s">
        <v>28</v>
      </c>
      <c r="E610" t="s">
        <v>29</v>
      </c>
      <c r="F610" t="s">
        <v>30</v>
      </c>
      <c r="G610" t="str">
        <f t="shared" si="18"/>
        <v>DF</v>
      </c>
      <c r="H610" t="s">
        <v>34</v>
      </c>
      <c r="I610" t="s">
        <v>146</v>
      </c>
      <c r="J610" t="str">
        <f t="shared" si="19"/>
        <v>SHIFT C</v>
      </c>
    </row>
    <row r="611" spans="1:10">
      <c r="A611">
        <v>764</v>
      </c>
      <c r="B611" t="s">
        <v>2815</v>
      </c>
      <c r="C611" t="s">
        <v>2816</v>
      </c>
      <c r="D611" t="s">
        <v>28</v>
      </c>
      <c r="E611" t="s">
        <v>29</v>
      </c>
      <c r="F611" t="s">
        <v>30</v>
      </c>
      <c r="G611" t="str">
        <f t="shared" si="18"/>
        <v>DF</v>
      </c>
      <c r="H611" t="s">
        <v>34</v>
      </c>
      <c r="I611" t="s">
        <v>53</v>
      </c>
      <c r="J611" t="str">
        <f t="shared" si="19"/>
        <v>SHIFT A</v>
      </c>
    </row>
    <row r="612" spans="1:10">
      <c r="A612">
        <v>765</v>
      </c>
      <c r="B612" t="s">
        <v>2819</v>
      </c>
      <c r="C612" t="s">
        <v>2820</v>
      </c>
      <c r="D612" t="s">
        <v>28</v>
      </c>
      <c r="E612" t="s">
        <v>29</v>
      </c>
      <c r="F612" t="s">
        <v>1216</v>
      </c>
      <c r="G612" t="str">
        <f t="shared" si="18"/>
        <v>FVI</v>
      </c>
      <c r="H612" t="s">
        <v>106</v>
      </c>
      <c r="I612" t="s">
        <v>53</v>
      </c>
      <c r="J612" t="str">
        <f t="shared" si="19"/>
        <v>SHIFT A</v>
      </c>
    </row>
    <row r="613" spans="1:10">
      <c r="A613">
        <v>766</v>
      </c>
      <c r="B613" t="s">
        <v>2823</v>
      </c>
      <c r="C613" t="s">
        <v>2824</v>
      </c>
      <c r="D613" t="s">
        <v>28</v>
      </c>
      <c r="E613" t="s">
        <v>29</v>
      </c>
      <c r="F613" t="s">
        <v>1216</v>
      </c>
      <c r="G613" t="str">
        <f t="shared" si="18"/>
        <v>FVI</v>
      </c>
      <c r="H613" t="s">
        <v>34</v>
      </c>
      <c r="I613" t="s">
        <v>53</v>
      </c>
      <c r="J613" t="str">
        <f t="shared" si="19"/>
        <v>SHIFT A</v>
      </c>
    </row>
    <row r="614" spans="1:10">
      <c r="A614">
        <v>767</v>
      </c>
      <c r="B614" t="s">
        <v>2827</v>
      </c>
      <c r="C614" t="s">
        <v>2828</v>
      </c>
      <c r="D614" t="s">
        <v>1064</v>
      </c>
      <c r="E614" t="s">
        <v>29</v>
      </c>
      <c r="F614" t="s">
        <v>85</v>
      </c>
      <c r="G614" t="str">
        <f t="shared" si="18"/>
        <v>DRILL</v>
      </c>
      <c r="H614" t="s">
        <v>34</v>
      </c>
      <c r="I614" t="s">
        <v>53</v>
      </c>
      <c r="J614" t="str">
        <f t="shared" si="19"/>
        <v>SHIFT A</v>
      </c>
    </row>
    <row r="615" spans="1:10">
      <c r="A615">
        <v>768</v>
      </c>
      <c r="B615" t="s">
        <v>2831</v>
      </c>
      <c r="C615" t="s">
        <v>2832</v>
      </c>
      <c r="D615" t="s">
        <v>1064</v>
      </c>
      <c r="E615" t="s">
        <v>29</v>
      </c>
      <c r="F615" t="s">
        <v>85</v>
      </c>
      <c r="G615" t="str">
        <f t="shared" si="18"/>
        <v>DRILL</v>
      </c>
      <c r="H615" t="s">
        <v>34</v>
      </c>
      <c r="I615" t="s">
        <v>146</v>
      </c>
      <c r="J615" t="str">
        <f t="shared" si="19"/>
        <v>SHIFT C</v>
      </c>
    </row>
    <row r="616" spans="1:10">
      <c r="A616">
        <v>769</v>
      </c>
      <c r="B616" t="s">
        <v>2835</v>
      </c>
      <c r="C616" t="s">
        <v>2836</v>
      </c>
      <c r="D616" t="s">
        <v>28</v>
      </c>
      <c r="E616" t="s">
        <v>491</v>
      </c>
      <c r="F616" t="s">
        <v>1042</v>
      </c>
      <c r="G616" t="str">
        <f t="shared" si="18"/>
        <v>QUALITY</v>
      </c>
      <c r="H616" t="s">
        <v>106</v>
      </c>
      <c r="I616" t="s">
        <v>146</v>
      </c>
      <c r="J616" t="str">
        <f t="shared" si="19"/>
        <v>SHIFT C</v>
      </c>
    </row>
    <row r="617" spans="1:10">
      <c r="A617">
        <v>770</v>
      </c>
      <c r="B617" t="s">
        <v>2839</v>
      </c>
      <c r="C617" t="s">
        <v>2840</v>
      </c>
      <c r="D617" t="s">
        <v>1064</v>
      </c>
      <c r="E617" t="s">
        <v>29</v>
      </c>
      <c r="F617" t="s">
        <v>123</v>
      </c>
      <c r="G617" t="str">
        <f t="shared" si="18"/>
        <v>PACKING</v>
      </c>
      <c r="H617" t="s">
        <v>34</v>
      </c>
      <c r="I617" t="s">
        <v>89</v>
      </c>
      <c r="J617" t="str">
        <f t="shared" si="19"/>
        <v>SHIFT B</v>
      </c>
    </row>
    <row r="618" spans="1:10">
      <c r="A618">
        <v>771</v>
      </c>
      <c r="B618" t="s">
        <v>2843</v>
      </c>
      <c r="C618" t="s">
        <v>2844</v>
      </c>
      <c r="D618" t="s">
        <v>1064</v>
      </c>
      <c r="E618" t="s">
        <v>29</v>
      </c>
      <c r="F618" t="s">
        <v>123</v>
      </c>
      <c r="G618" t="str">
        <f t="shared" si="18"/>
        <v>PACKING</v>
      </c>
      <c r="H618" t="s">
        <v>34</v>
      </c>
      <c r="I618" t="s">
        <v>146</v>
      </c>
      <c r="J618" t="str">
        <f t="shared" si="19"/>
        <v>SHIFT C</v>
      </c>
    </row>
    <row r="619" spans="1:10">
      <c r="A619">
        <v>772</v>
      </c>
      <c r="B619" t="s">
        <v>2847</v>
      </c>
      <c r="C619" t="s">
        <v>2848</v>
      </c>
      <c r="D619" t="s">
        <v>28</v>
      </c>
      <c r="E619" t="s">
        <v>491</v>
      </c>
      <c r="F619" t="s">
        <v>950</v>
      </c>
      <c r="G619" t="str">
        <f t="shared" si="18"/>
        <v>QUALITY</v>
      </c>
      <c r="H619" t="s">
        <v>106</v>
      </c>
      <c r="I619" t="s">
        <v>89</v>
      </c>
      <c r="J619" t="str">
        <f t="shared" si="19"/>
        <v>SHIFT B</v>
      </c>
    </row>
    <row r="620" spans="1:10">
      <c r="A620">
        <v>773</v>
      </c>
      <c r="B620" t="s">
        <v>2851</v>
      </c>
      <c r="C620" t="s">
        <v>2852</v>
      </c>
      <c r="D620" t="s">
        <v>28</v>
      </c>
      <c r="E620" t="s">
        <v>29</v>
      </c>
      <c r="F620" t="s">
        <v>48</v>
      </c>
      <c r="G620" t="str">
        <f t="shared" si="18"/>
        <v>ROUTER</v>
      </c>
      <c r="H620" t="s">
        <v>34</v>
      </c>
      <c r="I620" t="s">
        <v>146</v>
      </c>
      <c r="J620" t="str">
        <f t="shared" si="19"/>
        <v>SHIFT C</v>
      </c>
    </row>
    <row r="621" spans="1:10">
      <c r="A621">
        <v>774</v>
      </c>
      <c r="B621" t="s">
        <v>2855</v>
      </c>
      <c r="C621" t="s">
        <v>2856</v>
      </c>
      <c r="D621" t="s">
        <v>1064</v>
      </c>
      <c r="E621" t="s">
        <v>29</v>
      </c>
      <c r="F621" t="s">
        <v>680</v>
      </c>
      <c r="G621" t="str">
        <f t="shared" si="18"/>
        <v>CHAMFER</v>
      </c>
      <c r="H621" t="s">
        <v>106</v>
      </c>
      <c r="I621" t="s">
        <v>89</v>
      </c>
      <c r="J621" t="str">
        <f t="shared" si="19"/>
        <v>SHIFT B</v>
      </c>
    </row>
    <row r="622" spans="1:10">
      <c r="A622">
        <v>775</v>
      </c>
      <c r="B622" t="s">
        <v>2859</v>
      </c>
      <c r="C622" t="s">
        <v>2860</v>
      </c>
      <c r="D622" t="s">
        <v>28</v>
      </c>
      <c r="E622" t="s">
        <v>29</v>
      </c>
      <c r="F622" t="s">
        <v>79</v>
      </c>
      <c r="G622" t="str">
        <f t="shared" si="18"/>
        <v>SM</v>
      </c>
      <c r="H622" t="s">
        <v>34</v>
      </c>
      <c r="I622" t="s">
        <v>146</v>
      </c>
      <c r="J622" t="str">
        <f t="shared" si="19"/>
        <v>SHIFT C</v>
      </c>
    </row>
    <row r="623" spans="1:10">
      <c r="A623">
        <v>776</v>
      </c>
      <c r="B623" t="s">
        <v>2863</v>
      </c>
      <c r="C623" t="s">
        <v>2864</v>
      </c>
      <c r="D623" t="s">
        <v>28</v>
      </c>
      <c r="E623" t="s">
        <v>29</v>
      </c>
      <c r="F623" t="s">
        <v>79</v>
      </c>
      <c r="G623" t="str">
        <f t="shared" si="18"/>
        <v>SM</v>
      </c>
      <c r="H623" t="s">
        <v>106</v>
      </c>
      <c r="I623" t="s">
        <v>40</v>
      </c>
      <c r="J623" t="str">
        <f t="shared" si="19"/>
        <v>SHIFT E</v>
      </c>
    </row>
    <row r="624" spans="1:10">
      <c r="A624">
        <v>777</v>
      </c>
      <c r="B624" t="s">
        <v>2867</v>
      </c>
      <c r="C624" t="s">
        <v>2868</v>
      </c>
      <c r="D624" t="s">
        <v>28</v>
      </c>
      <c r="E624" t="s">
        <v>29</v>
      </c>
      <c r="F624" t="s">
        <v>79</v>
      </c>
      <c r="G624" t="str">
        <f t="shared" si="18"/>
        <v>SM</v>
      </c>
      <c r="H624" t="s">
        <v>34</v>
      </c>
      <c r="I624" t="s">
        <v>89</v>
      </c>
      <c r="J624" t="str">
        <f t="shared" si="19"/>
        <v>SHIFT B</v>
      </c>
    </row>
    <row r="625" spans="1:10">
      <c r="A625">
        <v>778</v>
      </c>
      <c r="B625" t="s">
        <v>2871</v>
      </c>
      <c r="C625" t="s">
        <v>2872</v>
      </c>
      <c r="D625" t="s">
        <v>28</v>
      </c>
      <c r="E625" t="s">
        <v>29</v>
      </c>
      <c r="F625" t="s">
        <v>79</v>
      </c>
      <c r="G625" t="str">
        <f t="shared" si="18"/>
        <v>SM</v>
      </c>
      <c r="H625" t="s">
        <v>34</v>
      </c>
      <c r="I625" t="s">
        <v>76</v>
      </c>
      <c r="J625" t="str">
        <f t="shared" si="19"/>
        <v>SHIFT E</v>
      </c>
    </row>
    <row r="626" spans="1:10">
      <c r="A626">
        <v>779</v>
      </c>
      <c r="B626" t="s">
        <v>2875</v>
      </c>
      <c r="C626" t="s">
        <v>2876</v>
      </c>
      <c r="D626" t="s">
        <v>28</v>
      </c>
      <c r="E626" t="s">
        <v>29</v>
      </c>
      <c r="F626" t="s">
        <v>79</v>
      </c>
      <c r="G626" t="str">
        <f t="shared" si="18"/>
        <v>SM</v>
      </c>
      <c r="H626" t="s">
        <v>34</v>
      </c>
      <c r="I626" t="s">
        <v>146</v>
      </c>
      <c r="J626" t="str">
        <f t="shared" si="19"/>
        <v>SHIFT C</v>
      </c>
    </row>
    <row r="627" spans="1:10">
      <c r="A627">
        <v>780</v>
      </c>
      <c r="B627" t="s">
        <v>2879</v>
      </c>
      <c r="C627" t="s">
        <v>2880</v>
      </c>
      <c r="D627" t="s">
        <v>1064</v>
      </c>
      <c r="E627" t="s">
        <v>475</v>
      </c>
      <c r="F627" t="s">
        <v>476</v>
      </c>
      <c r="G627" t="str">
        <f t="shared" si="18"/>
        <v>DESIGN</v>
      </c>
      <c r="H627" t="s">
        <v>106</v>
      </c>
      <c r="I627" t="s">
        <v>89</v>
      </c>
      <c r="J627" t="str">
        <f t="shared" si="19"/>
        <v>SHIFT B</v>
      </c>
    </row>
    <row r="628" spans="1:10">
      <c r="A628">
        <v>783</v>
      </c>
      <c r="B628" t="s">
        <v>2890</v>
      </c>
      <c r="C628" t="s">
        <v>2891</v>
      </c>
      <c r="D628" t="s">
        <v>765</v>
      </c>
      <c r="E628" t="s">
        <v>744</v>
      </c>
      <c r="F628" t="s">
        <v>38</v>
      </c>
      <c r="G628" t="str">
        <f t="shared" si="18"/>
        <v>HS</v>
      </c>
      <c r="H628" t="s">
        <v>106</v>
      </c>
      <c r="I628" t="s">
        <v>89</v>
      </c>
      <c r="J628" t="str">
        <f t="shared" si="19"/>
        <v>SHIFT B</v>
      </c>
    </row>
    <row r="629" spans="1:10">
      <c r="A629">
        <v>787</v>
      </c>
      <c r="B629" t="s">
        <v>2906</v>
      </c>
      <c r="C629" t="s">
        <v>2907</v>
      </c>
      <c r="D629" t="s">
        <v>765</v>
      </c>
      <c r="E629" t="s">
        <v>706</v>
      </c>
      <c r="F629" t="s">
        <v>707</v>
      </c>
      <c r="G629" t="str">
        <f t="shared" si="18"/>
        <v>FACILITY</v>
      </c>
      <c r="H629" t="s">
        <v>34</v>
      </c>
      <c r="I629" t="s">
        <v>89</v>
      </c>
      <c r="J629" t="str">
        <f t="shared" si="19"/>
        <v>SHIFT B</v>
      </c>
    </row>
    <row r="630" spans="1:10">
      <c r="A630">
        <v>790</v>
      </c>
      <c r="B630" t="s">
        <v>2920</v>
      </c>
      <c r="C630" t="s">
        <v>2921</v>
      </c>
      <c r="D630" t="s">
        <v>28</v>
      </c>
      <c r="E630" t="s">
        <v>29</v>
      </c>
      <c r="F630" t="s">
        <v>43</v>
      </c>
      <c r="G630" t="str">
        <f t="shared" si="18"/>
        <v>AU</v>
      </c>
      <c r="H630" t="s">
        <v>106</v>
      </c>
      <c r="I630" t="s">
        <v>89</v>
      </c>
      <c r="J630" t="str">
        <f t="shared" si="19"/>
        <v>SHIFT B</v>
      </c>
    </row>
    <row r="631" spans="1:10">
      <c r="A631">
        <v>791</v>
      </c>
      <c r="B631" t="s">
        <v>2924</v>
      </c>
      <c r="C631" t="s">
        <v>2925</v>
      </c>
      <c r="D631" t="s">
        <v>28</v>
      </c>
      <c r="E631" t="s">
        <v>29</v>
      </c>
      <c r="F631" t="s">
        <v>56</v>
      </c>
      <c r="G631" t="str">
        <f t="shared" si="18"/>
        <v>AOI</v>
      </c>
      <c r="H631" t="s">
        <v>106</v>
      </c>
      <c r="I631" t="s">
        <v>76</v>
      </c>
      <c r="J631" t="str">
        <f t="shared" si="19"/>
        <v>SHIFT E</v>
      </c>
    </row>
    <row r="632" spans="1:10">
      <c r="A632">
        <v>792</v>
      </c>
      <c r="B632" t="s">
        <v>2928</v>
      </c>
      <c r="C632" t="s">
        <v>2929</v>
      </c>
      <c r="D632" t="s">
        <v>28</v>
      </c>
      <c r="E632" t="s">
        <v>29</v>
      </c>
      <c r="F632" t="s">
        <v>79</v>
      </c>
      <c r="G632" t="str">
        <f t="shared" si="18"/>
        <v>SM</v>
      </c>
      <c r="H632" t="s">
        <v>34</v>
      </c>
      <c r="I632" t="s">
        <v>89</v>
      </c>
      <c r="J632" t="str">
        <f t="shared" si="19"/>
        <v>SHIFT B</v>
      </c>
    </row>
    <row r="633" spans="1:10">
      <c r="A633">
        <v>793</v>
      </c>
      <c r="B633" t="s">
        <v>2932</v>
      </c>
      <c r="C633" t="s">
        <v>2933</v>
      </c>
      <c r="D633" t="s">
        <v>1064</v>
      </c>
      <c r="E633" t="s">
        <v>29</v>
      </c>
      <c r="F633" t="s">
        <v>30</v>
      </c>
      <c r="G633" t="str">
        <f t="shared" si="18"/>
        <v>DF</v>
      </c>
      <c r="H633" t="s">
        <v>34</v>
      </c>
      <c r="I633" t="s">
        <v>53</v>
      </c>
      <c r="J633" t="str">
        <f t="shared" si="19"/>
        <v>SHIFT A</v>
      </c>
    </row>
    <row r="634" spans="1:10">
      <c r="A634">
        <v>794</v>
      </c>
      <c r="B634" t="s">
        <v>2936</v>
      </c>
      <c r="C634" t="s">
        <v>2937</v>
      </c>
      <c r="D634" t="s">
        <v>28</v>
      </c>
      <c r="E634" t="s">
        <v>29</v>
      </c>
      <c r="F634" t="s">
        <v>30</v>
      </c>
      <c r="G634" t="str">
        <f t="shared" si="18"/>
        <v>DF</v>
      </c>
      <c r="H634" t="s">
        <v>34</v>
      </c>
      <c r="I634" t="s">
        <v>89</v>
      </c>
      <c r="J634" t="str">
        <f t="shared" si="19"/>
        <v>SHIFT B</v>
      </c>
    </row>
    <row r="635" spans="1:10">
      <c r="A635">
        <v>795</v>
      </c>
      <c r="B635" t="s">
        <v>2940</v>
      </c>
      <c r="C635" t="s">
        <v>2941</v>
      </c>
      <c r="D635" t="s">
        <v>28</v>
      </c>
      <c r="E635" t="s">
        <v>417</v>
      </c>
      <c r="F635" t="s">
        <v>674</v>
      </c>
      <c r="G635" t="str">
        <f t="shared" si="18"/>
        <v>WAREHOUSE</v>
      </c>
      <c r="H635" t="s">
        <v>34</v>
      </c>
      <c r="I635" t="s">
        <v>89</v>
      </c>
      <c r="J635" t="str">
        <f t="shared" si="19"/>
        <v>SHIFT B</v>
      </c>
    </row>
    <row r="636" spans="1:10">
      <c r="A636">
        <v>796</v>
      </c>
      <c r="B636" t="s">
        <v>2944</v>
      </c>
      <c r="C636" t="s">
        <v>2945</v>
      </c>
      <c r="D636" t="s">
        <v>1064</v>
      </c>
      <c r="E636" t="s">
        <v>29</v>
      </c>
      <c r="F636" t="s">
        <v>43</v>
      </c>
      <c r="G636" t="str">
        <f t="shared" si="18"/>
        <v>AU</v>
      </c>
      <c r="H636" t="s">
        <v>34</v>
      </c>
      <c r="I636" t="s">
        <v>146</v>
      </c>
      <c r="J636" t="str">
        <f t="shared" si="19"/>
        <v>SHIFT C</v>
      </c>
    </row>
    <row r="637" spans="1:10">
      <c r="A637">
        <v>797</v>
      </c>
      <c r="B637" t="s">
        <v>2948</v>
      </c>
      <c r="C637" t="s">
        <v>2949</v>
      </c>
      <c r="D637" t="s">
        <v>28</v>
      </c>
      <c r="E637" t="s">
        <v>29</v>
      </c>
      <c r="F637" t="s">
        <v>1216</v>
      </c>
      <c r="G637" t="str">
        <f t="shared" si="18"/>
        <v>FVI</v>
      </c>
      <c r="H637" t="s">
        <v>106</v>
      </c>
      <c r="I637" t="s">
        <v>53</v>
      </c>
      <c r="J637" t="str">
        <f t="shared" si="19"/>
        <v>SHIFT A</v>
      </c>
    </row>
    <row r="638" spans="1:10">
      <c r="A638">
        <v>798</v>
      </c>
      <c r="B638" t="s">
        <v>2952</v>
      </c>
      <c r="C638" t="s">
        <v>2953</v>
      </c>
      <c r="D638" t="s">
        <v>1064</v>
      </c>
      <c r="E638" t="s">
        <v>29</v>
      </c>
      <c r="F638" t="s">
        <v>56</v>
      </c>
      <c r="G638" t="str">
        <f t="shared" si="18"/>
        <v>AOI</v>
      </c>
      <c r="H638" t="s">
        <v>106</v>
      </c>
      <c r="I638" t="s">
        <v>89</v>
      </c>
      <c r="J638" t="str">
        <f t="shared" si="19"/>
        <v>SHIFT B</v>
      </c>
    </row>
    <row r="639" spans="1:10">
      <c r="A639">
        <v>799</v>
      </c>
      <c r="B639" t="s">
        <v>2956</v>
      </c>
      <c r="C639" t="s">
        <v>2957</v>
      </c>
      <c r="D639" t="s">
        <v>28</v>
      </c>
      <c r="E639" t="s">
        <v>29</v>
      </c>
      <c r="F639" t="s">
        <v>1216</v>
      </c>
      <c r="G639" t="str">
        <f t="shared" si="18"/>
        <v>FVI</v>
      </c>
      <c r="H639" t="s">
        <v>106</v>
      </c>
      <c r="I639" t="s">
        <v>53</v>
      </c>
      <c r="J639" t="str">
        <f t="shared" si="19"/>
        <v>SHIFT A</v>
      </c>
    </row>
    <row r="640" spans="1:10">
      <c r="A640">
        <v>800</v>
      </c>
      <c r="B640" t="s">
        <v>2960</v>
      </c>
      <c r="C640" t="s">
        <v>2961</v>
      </c>
      <c r="D640" t="s">
        <v>1064</v>
      </c>
      <c r="E640" t="s">
        <v>29</v>
      </c>
      <c r="F640" t="s">
        <v>85</v>
      </c>
      <c r="G640" t="str">
        <f t="shared" si="18"/>
        <v>DRILL</v>
      </c>
      <c r="H640" t="s">
        <v>106</v>
      </c>
      <c r="I640" t="s">
        <v>89</v>
      </c>
      <c r="J640" t="str">
        <f t="shared" si="19"/>
        <v>SHIFT B</v>
      </c>
    </row>
    <row r="641" spans="1:10">
      <c r="A641">
        <v>801</v>
      </c>
      <c r="B641" t="s">
        <v>2964</v>
      </c>
      <c r="C641" t="s">
        <v>2965</v>
      </c>
      <c r="D641" t="s">
        <v>1064</v>
      </c>
      <c r="E641" t="s">
        <v>29</v>
      </c>
      <c r="F641" t="s">
        <v>43</v>
      </c>
      <c r="G641" t="str">
        <f t="shared" si="18"/>
        <v>AU</v>
      </c>
      <c r="H641" t="s">
        <v>34</v>
      </c>
      <c r="I641" t="s">
        <v>53</v>
      </c>
      <c r="J641" t="str">
        <f t="shared" si="19"/>
        <v>SHIFT A</v>
      </c>
    </row>
    <row r="642" spans="1:10">
      <c r="A642">
        <v>802</v>
      </c>
      <c r="B642" t="s">
        <v>2968</v>
      </c>
      <c r="C642" t="s">
        <v>2969</v>
      </c>
      <c r="D642" t="s">
        <v>1064</v>
      </c>
      <c r="E642" t="s">
        <v>29</v>
      </c>
      <c r="F642" t="s">
        <v>30</v>
      </c>
      <c r="G642" t="str">
        <f t="shared" si="18"/>
        <v>DF</v>
      </c>
      <c r="H642" t="s">
        <v>34</v>
      </c>
      <c r="I642" t="s">
        <v>89</v>
      </c>
      <c r="J642" t="str">
        <f t="shared" si="19"/>
        <v>SHIFT B</v>
      </c>
    </row>
    <row r="643" spans="1:10">
      <c r="A643">
        <v>803</v>
      </c>
      <c r="B643" t="s">
        <v>2972</v>
      </c>
      <c r="C643" t="s">
        <v>2973</v>
      </c>
      <c r="D643" t="s">
        <v>1064</v>
      </c>
      <c r="E643" t="s">
        <v>29</v>
      </c>
      <c r="F643" t="s">
        <v>537</v>
      </c>
      <c r="G643" t="str">
        <f t="shared" si="18"/>
        <v>MLB</v>
      </c>
      <c r="H643" t="s">
        <v>34</v>
      </c>
      <c r="I643" t="s">
        <v>53</v>
      </c>
      <c r="J643" t="str">
        <f t="shared" si="19"/>
        <v>SHIFT A</v>
      </c>
    </row>
    <row r="644" spans="1:10">
      <c r="A644">
        <v>804</v>
      </c>
      <c r="B644" t="s">
        <v>2976</v>
      </c>
      <c r="C644" t="s">
        <v>2977</v>
      </c>
      <c r="D644" t="s">
        <v>1064</v>
      </c>
      <c r="E644" t="s">
        <v>29</v>
      </c>
      <c r="F644" t="s">
        <v>56</v>
      </c>
      <c r="G644" t="str">
        <f t="shared" ref="G644:G707" si="20">IF(OR(ISNUMBER(SEARCH("P1",F644)),ISNUMBER(SEARCH("P2",F644)),ISNUMBER(SEARCH("P3",F644)),ISNUMBER(SEARCH("P4",F644)),ISNUMBER(SEARCH("P5",F644))),"EQUIPMENT",
IF(ISNUMBER(SEARCH("Warehouse",F644)),"WAREHOUSE",
IF(ISNUMBER(SEARCH("WWTP",F644)),"ENVIRONMENT",
IF(OR(ISNUMBER(SEARCH("QC",F644)),ISNUMBER(SEARCH("RELIABILITY",F644)),ISNUMBER(SEARCH("OQA",F644)),ISNUMBER(SEARCH("CHEMICAL",F644))),"QUALITY",
IF(OR(ISNUMBER(SEARCH("OPERATION",F644)),ISNUMBER(SEARCH("PSM",F644))),"HS",
IF(ISNUMBER(SEARCH("FVI",F644)),"FVI",
IF(OR(ISNUMBER(SEARCH("ELECTRICITY",F644)),ISNUMBER(SEARCH("FACILITIES",F644)),ISNUMBER(SEARCH("MECHANICAL",F644))),"FACILITY",F644)))))))</f>
        <v>AOI</v>
      </c>
      <c r="H644" t="s">
        <v>34</v>
      </c>
      <c r="I644" t="s">
        <v>146</v>
      </c>
      <c r="J644" t="str">
        <f t="shared" ref="J644:J707" si="21">IF(ISNUMBER(SEARCH("GROUP C",I644)),"SHIFT C",
IF(ISNUMBER(SEARCH("GROUP A",I644)),"SHIFT A",
IF(ISNUMBER(SEARCH("GROUP O",I644)),"SHIFT O",
IF(ISNUMBER(SEARCH("GROUP B",I644)),"SHIFT B",
IF(ISNUMBER(SEARCH("GROUP E",I644)),"SHIFT E","")))))</f>
        <v>SHIFT C</v>
      </c>
    </row>
    <row r="645" spans="1:10">
      <c r="A645">
        <v>806</v>
      </c>
      <c r="B645" t="s">
        <v>2984</v>
      </c>
      <c r="C645" t="s">
        <v>2985</v>
      </c>
      <c r="D645" t="s">
        <v>28</v>
      </c>
      <c r="E645" t="s">
        <v>29</v>
      </c>
      <c r="F645" t="s">
        <v>62</v>
      </c>
      <c r="G645" t="str">
        <f t="shared" si="20"/>
        <v>CU</v>
      </c>
      <c r="H645" t="s">
        <v>34</v>
      </c>
      <c r="I645" t="s">
        <v>40</v>
      </c>
      <c r="J645" t="str">
        <f t="shared" si="21"/>
        <v>SHIFT E</v>
      </c>
    </row>
    <row r="646" spans="1:10">
      <c r="A646">
        <v>807</v>
      </c>
      <c r="B646" t="s">
        <v>2988</v>
      </c>
      <c r="C646" t="s">
        <v>2989</v>
      </c>
      <c r="D646" t="s">
        <v>28</v>
      </c>
      <c r="E646" t="s">
        <v>29</v>
      </c>
      <c r="F646" t="s">
        <v>1216</v>
      </c>
      <c r="G646" t="str">
        <f t="shared" si="20"/>
        <v>FVI</v>
      </c>
      <c r="H646" t="s">
        <v>106</v>
      </c>
      <c r="I646" t="s">
        <v>146</v>
      </c>
      <c r="J646" t="str">
        <f t="shared" si="21"/>
        <v>SHIFT C</v>
      </c>
    </row>
    <row r="647" spans="1:10">
      <c r="A647">
        <v>808</v>
      </c>
      <c r="B647" t="s">
        <v>2992</v>
      </c>
      <c r="C647" t="s">
        <v>2993</v>
      </c>
      <c r="D647" t="s">
        <v>28</v>
      </c>
      <c r="E647" t="s">
        <v>29</v>
      </c>
      <c r="F647" t="s">
        <v>30</v>
      </c>
      <c r="G647" t="str">
        <f t="shared" si="20"/>
        <v>DF</v>
      </c>
      <c r="H647" t="s">
        <v>34</v>
      </c>
      <c r="I647" t="s">
        <v>146</v>
      </c>
      <c r="J647" t="str">
        <f t="shared" si="21"/>
        <v>SHIFT C</v>
      </c>
    </row>
    <row r="648" spans="1:10">
      <c r="A648">
        <v>809</v>
      </c>
      <c r="B648" t="s">
        <v>2996</v>
      </c>
      <c r="C648" t="s">
        <v>2997</v>
      </c>
      <c r="D648" t="s">
        <v>28</v>
      </c>
      <c r="E648" t="s">
        <v>29</v>
      </c>
      <c r="F648" t="s">
        <v>123</v>
      </c>
      <c r="G648" t="str">
        <f t="shared" si="20"/>
        <v>PACKING</v>
      </c>
      <c r="H648" t="s">
        <v>106</v>
      </c>
      <c r="I648" t="s">
        <v>89</v>
      </c>
      <c r="J648" t="str">
        <f t="shared" si="21"/>
        <v>SHIFT B</v>
      </c>
    </row>
    <row r="649" spans="1:10">
      <c r="A649">
        <v>810</v>
      </c>
      <c r="B649" t="s">
        <v>3000</v>
      </c>
      <c r="C649" t="s">
        <v>3001</v>
      </c>
      <c r="D649" t="s">
        <v>1064</v>
      </c>
      <c r="E649" t="s">
        <v>29</v>
      </c>
      <c r="F649" t="s">
        <v>1216</v>
      </c>
      <c r="G649" t="str">
        <f t="shared" si="20"/>
        <v>FVI</v>
      </c>
      <c r="H649" t="s">
        <v>106</v>
      </c>
      <c r="I649" t="s">
        <v>53</v>
      </c>
      <c r="J649" t="str">
        <f t="shared" si="21"/>
        <v>SHIFT A</v>
      </c>
    </row>
    <row r="650" spans="1:10">
      <c r="A650">
        <v>811</v>
      </c>
      <c r="B650" t="s">
        <v>3004</v>
      </c>
      <c r="C650" t="s">
        <v>3005</v>
      </c>
      <c r="D650" t="s">
        <v>1064</v>
      </c>
      <c r="E650" t="s">
        <v>29</v>
      </c>
      <c r="F650" t="s">
        <v>85</v>
      </c>
      <c r="G650" t="str">
        <f t="shared" si="20"/>
        <v>DRILL</v>
      </c>
      <c r="H650" t="s">
        <v>34</v>
      </c>
      <c r="I650" t="s">
        <v>89</v>
      </c>
      <c r="J650" t="str">
        <f t="shared" si="21"/>
        <v>SHIFT B</v>
      </c>
    </row>
    <row r="651" spans="1:10">
      <c r="A651">
        <v>812</v>
      </c>
      <c r="B651" t="s">
        <v>3008</v>
      </c>
      <c r="C651" t="s">
        <v>3009</v>
      </c>
      <c r="D651" t="s">
        <v>1054</v>
      </c>
      <c r="E651" t="s">
        <v>29</v>
      </c>
      <c r="F651" t="s">
        <v>30</v>
      </c>
      <c r="G651" t="str">
        <f t="shared" si="20"/>
        <v>DF</v>
      </c>
      <c r="H651" t="s">
        <v>34</v>
      </c>
      <c r="I651" t="s">
        <v>53</v>
      </c>
      <c r="J651" t="str">
        <f t="shared" si="21"/>
        <v>SHIFT A</v>
      </c>
    </row>
    <row r="652" spans="1:10">
      <c r="A652">
        <v>813</v>
      </c>
      <c r="B652" t="s">
        <v>3012</v>
      </c>
      <c r="C652" t="s">
        <v>3013</v>
      </c>
      <c r="D652" t="s">
        <v>28</v>
      </c>
      <c r="E652" t="s">
        <v>29</v>
      </c>
      <c r="F652" t="s">
        <v>1058</v>
      </c>
      <c r="G652" t="str">
        <f t="shared" si="20"/>
        <v>LASER</v>
      </c>
      <c r="H652" t="s">
        <v>106</v>
      </c>
      <c r="I652" t="s">
        <v>146</v>
      </c>
      <c r="J652" t="str">
        <f t="shared" si="21"/>
        <v>SHIFT C</v>
      </c>
    </row>
    <row r="653" spans="1:10">
      <c r="A653">
        <v>814</v>
      </c>
      <c r="B653" t="s">
        <v>3016</v>
      </c>
      <c r="C653" t="s">
        <v>3017</v>
      </c>
      <c r="D653" t="s">
        <v>1054</v>
      </c>
      <c r="E653" t="s">
        <v>29</v>
      </c>
      <c r="F653" t="s">
        <v>48</v>
      </c>
      <c r="G653" t="str">
        <f t="shared" si="20"/>
        <v>ROUTER</v>
      </c>
      <c r="H653" t="s">
        <v>34</v>
      </c>
      <c r="I653" t="s">
        <v>89</v>
      </c>
      <c r="J653" t="str">
        <f t="shared" si="21"/>
        <v>SHIFT B</v>
      </c>
    </row>
    <row r="654" spans="1:10">
      <c r="A654">
        <v>815</v>
      </c>
      <c r="B654" t="s">
        <v>3020</v>
      </c>
      <c r="C654" t="s">
        <v>3021</v>
      </c>
      <c r="D654" t="s">
        <v>1064</v>
      </c>
      <c r="E654" t="s">
        <v>29</v>
      </c>
      <c r="F654" t="s">
        <v>123</v>
      </c>
      <c r="G654" t="str">
        <f t="shared" si="20"/>
        <v>PACKING</v>
      </c>
      <c r="H654" t="s">
        <v>34</v>
      </c>
      <c r="I654" t="s">
        <v>53</v>
      </c>
      <c r="J654" t="str">
        <f t="shared" si="21"/>
        <v>SHIFT A</v>
      </c>
    </row>
    <row r="655" spans="1:10">
      <c r="A655">
        <v>816</v>
      </c>
      <c r="B655" t="s">
        <v>3024</v>
      </c>
      <c r="C655" t="s">
        <v>3025</v>
      </c>
      <c r="D655" t="s">
        <v>28</v>
      </c>
      <c r="E655" t="s">
        <v>29</v>
      </c>
      <c r="F655" t="s">
        <v>62</v>
      </c>
      <c r="G655" t="str">
        <f t="shared" si="20"/>
        <v>CU</v>
      </c>
      <c r="H655" t="s">
        <v>34</v>
      </c>
      <c r="I655" t="s">
        <v>40</v>
      </c>
      <c r="J655" t="str">
        <f t="shared" si="21"/>
        <v>SHIFT E</v>
      </c>
    </row>
    <row r="656" spans="1:10">
      <c r="A656">
        <v>817</v>
      </c>
      <c r="B656" t="s">
        <v>3028</v>
      </c>
      <c r="C656" t="s">
        <v>3029</v>
      </c>
      <c r="D656" t="s">
        <v>28</v>
      </c>
      <c r="E656" t="s">
        <v>29</v>
      </c>
      <c r="F656" t="s">
        <v>79</v>
      </c>
      <c r="G656" t="str">
        <f t="shared" si="20"/>
        <v>SM</v>
      </c>
      <c r="H656" t="s">
        <v>34</v>
      </c>
      <c r="I656" t="s">
        <v>53</v>
      </c>
      <c r="J656" t="str">
        <f t="shared" si="21"/>
        <v>SHIFT A</v>
      </c>
    </row>
    <row r="657" spans="1:10">
      <c r="A657">
        <v>818</v>
      </c>
      <c r="B657" t="s">
        <v>3032</v>
      </c>
      <c r="C657" t="s">
        <v>3033</v>
      </c>
      <c r="D657" t="s">
        <v>28</v>
      </c>
      <c r="E657" t="s">
        <v>29</v>
      </c>
      <c r="F657" t="s">
        <v>123</v>
      </c>
      <c r="G657" t="str">
        <f t="shared" si="20"/>
        <v>PACKING</v>
      </c>
      <c r="H657" t="s">
        <v>106</v>
      </c>
      <c r="I657" t="s">
        <v>53</v>
      </c>
      <c r="J657" t="str">
        <f t="shared" si="21"/>
        <v>SHIFT A</v>
      </c>
    </row>
    <row r="658" spans="1:10">
      <c r="A658">
        <v>819</v>
      </c>
      <c r="B658" t="s">
        <v>3036</v>
      </c>
      <c r="C658" t="s">
        <v>3037</v>
      </c>
      <c r="D658" t="s">
        <v>1064</v>
      </c>
      <c r="E658" t="s">
        <v>29</v>
      </c>
      <c r="F658" t="s">
        <v>123</v>
      </c>
      <c r="G658" t="str">
        <f t="shared" si="20"/>
        <v>PACKING</v>
      </c>
      <c r="H658" t="s">
        <v>34</v>
      </c>
      <c r="I658" t="s">
        <v>89</v>
      </c>
      <c r="J658" t="str">
        <f t="shared" si="21"/>
        <v>SHIFT B</v>
      </c>
    </row>
    <row r="659" spans="1:10">
      <c r="A659">
        <v>820</v>
      </c>
      <c r="B659" t="s">
        <v>3040</v>
      </c>
      <c r="C659" t="s">
        <v>3041</v>
      </c>
      <c r="D659" t="s">
        <v>28</v>
      </c>
      <c r="E659" t="s">
        <v>491</v>
      </c>
      <c r="F659" t="s">
        <v>1042</v>
      </c>
      <c r="G659" t="str">
        <f t="shared" si="20"/>
        <v>QUALITY</v>
      </c>
      <c r="H659" t="s">
        <v>34</v>
      </c>
      <c r="I659" t="s">
        <v>53</v>
      </c>
      <c r="J659" t="str">
        <f t="shared" si="21"/>
        <v>SHIFT A</v>
      </c>
    </row>
    <row r="660" spans="1:10">
      <c r="A660">
        <v>821</v>
      </c>
      <c r="B660" t="s">
        <v>3044</v>
      </c>
      <c r="C660" t="s">
        <v>3045</v>
      </c>
      <c r="D660" t="s">
        <v>28</v>
      </c>
      <c r="E660" t="s">
        <v>29</v>
      </c>
      <c r="F660" t="s">
        <v>48</v>
      </c>
      <c r="G660" t="str">
        <f t="shared" si="20"/>
        <v>ROUTER</v>
      </c>
      <c r="H660" t="s">
        <v>34</v>
      </c>
      <c r="I660" t="s">
        <v>146</v>
      </c>
      <c r="J660" t="str">
        <f t="shared" si="21"/>
        <v>SHIFT C</v>
      </c>
    </row>
    <row r="661" spans="1:10">
      <c r="A661">
        <v>822</v>
      </c>
      <c r="B661" t="s">
        <v>3048</v>
      </c>
      <c r="C661" t="s">
        <v>3049</v>
      </c>
      <c r="D661" t="s">
        <v>28</v>
      </c>
      <c r="E661" t="s">
        <v>491</v>
      </c>
      <c r="F661" t="s">
        <v>1042</v>
      </c>
      <c r="G661" t="str">
        <f t="shared" si="20"/>
        <v>QUALITY</v>
      </c>
      <c r="H661" t="s">
        <v>34</v>
      </c>
      <c r="I661" t="s">
        <v>53</v>
      </c>
      <c r="J661" t="str">
        <f t="shared" si="21"/>
        <v>SHIFT A</v>
      </c>
    </row>
    <row r="662" spans="1:10">
      <c r="A662">
        <v>823</v>
      </c>
      <c r="B662" t="s">
        <v>3052</v>
      </c>
      <c r="C662" t="s">
        <v>3053</v>
      </c>
      <c r="D662" t="s">
        <v>28</v>
      </c>
      <c r="E662" t="s">
        <v>29</v>
      </c>
      <c r="F662" t="s">
        <v>1058</v>
      </c>
      <c r="G662" t="str">
        <f t="shared" si="20"/>
        <v>LASER</v>
      </c>
      <c r="H662" t="s">
        <v>34</v>
      </c>
      <c r="I662" t="s">
        <v>146</v>
      </c>
      <c r="J662" t="str">
        <f t="shared" si="21"/>
        <v>SHIFT C</v>
      </c>
    </row>
    <row r="663" spans="1:10">
      <c r="A663">
        <v>825</v>
      </c>
      <c r="B663" t="s">
        <v>3060</v>
      </c>
      <c r="C663" t="s">
        <v>1816</v>
      </c>
      <c r="D663" t="s">
        <v>1041</v>
      </c>
      <c r="E663" t="s">
        <v>29</v>
      </c>
      <c r="F663" t="s">
        <v>62</v>
      </c>
      <c r="G663" t="str">
        <f t="shared" si="20"/>
        <v>CU</v>
      </c>
      <c r="H663" t="s">
        <v>34</v>
      </c>
      <c r="I663" t="s">
        <v>89</v>
      </c>
      <c r="J663" t="str">
        <f t="shared" si="21"/>
        <v>SHIFT B</v>
      </c>
    </row>
    <row r="664" spans="1:10">
      <c r="A664">
        <v>826</v>
      </c>
      <c r="B664" t="s">
        <v>3063</v>
      </c>
      <c r="C664" t="s">
        <v>3064</v>
      </c>
      <c r="D664" t="s">
        <v>28</v>
      </c>
      <c r="E664" t="s">
        <v>29</v>
      </c>
      <c r="F664" t="s">
        <v>680</v>
      </c>
      <c r="G664" t="str">
        <f t="shared" si="20"/>
        <v>CHAMFER</v>
      </c>
      <c r="H664" t="s">
        <v>106</v>
      </c>
      <c r="I664" t="s">
        <v>53</v>
      </c>
      <c r="J664" t="str">
        <f t="shared" si="21"/>
        <v>SHIFT A</v>
      </c>
    </row>
    <row r="665" spans="1:10">
      <c r="A665">
        <v>827</v>
      </c>
      <c r="B665" t="s">
        <v>3065</v>
      </c>
      <c r="C665" t="s">
        <v>3066</v>
      </c>
      <c r="D665" t="s">
        <v>28</v>
      </c>
      <c r="E665" t="s">
        <v>29</v>
      </c>
      <c r="F665" t="s">
        <v>537</v>
      </c>
      <c r="G665" t="str">
        <f t="shared" si="20"/>
        <v>MLB</v>
      </c>
      <c r="H665" t="s">
        <v>106</v>
      </c>
      <c r="I665" t="s">
        <v>146</v>
      </c>
      <c r="J665" t="str">
        <f t="shared" si="21"/>
        <v>SHIFT C</v>
      </c>
    </row>
    <row r="666" spans="1:10">
      <c r="A666">
        <v>828</v>
      </c>
      <c r="B666" t="s">
        <v>3067</v>
      </c>
      <c r="C666" t="s">
        <v>3068</v>
      </c>
      <c r="D666" t="s">
        <v>28</v>
      </c>
      <c r="E666" t="s">
        <v>29</v>
      </c>
      <c r="F666" t="s">
        <v>537</v>
      </c>
      <c r="G666" t="str">
        <f t="shared" si="20"/>
        <v>MLB</v>
      </c>
      <c r="H666" t="s">
        <v>106</v>
      </c>
      <c r="I666" t="s">
        <v>146</v>
      </c>
      <c r="J666" t="str">
        <f t="shared" si="21"/>
        <v>SHIFT C</v>
      </c>
    </row>
    <row r="667" spans="1:10">
      <c r="A667">
        <v>829</v>
      </c>
      <c r="B667" t="s">
        <v>3069</v>
      </c>
      <c r="C667" t="s">
        <v>3070</v>
      </c>
      <c r="D667" t="s">
        <v>28</v>
      </c>
      <c r="E667" t="s">
        <v>29</v>
      </c>
      <c r="F667" t="s">
        <v>1216</v>
      </c>
      <c r="G667" t="str">
        <f t="shared" si="20"/>
        <v>FVI</v>
      </c>
      <c r="H667" t="s">
        <v>106</v>
      </c>
      <c r="I667" t="s">
        <v>53</v>
      </c>
      <c r="J667" t="str">
        <f t="shared" si="21"/>
        <v>SHIFT A</v>
      </c>
    </row>
    <row r="668" spans="1:10">
      <c r="A668">
        <v>830</v>
      </c>
      <c r="B668" t="s">
        <v>3071</v>
      </c>
      <c r="C668" t="s">
        <v>3072</v>
      </c>
      <c r="D668" t="s">
        <v>28</v>
      </c>
      <c r="E668" t="s">
        <v>29</v>
      </c>
      <c r="F668" t="s">
        <v>1216</v>
      </c>
      <c r="G668" t="str">
        <f t="shared" si="20"/>
        <v>FVI</v>
      </c>
      <c r="H668" t="s">
        <v>106</v>
      </c>
      <c r="I668" t="s">
        <v>89</v>
      </c>
      <c r="J668" t="str">
        <f t="shared" si="21"/>
        <v>SHIFT B</v>
      </c>
    </row>
    <row r="669" spans="1:10">
      <c r="A669">
        <v>831</v>
      </c>
      <c r="B669" t="s">
        <v>3073</v>
      </c>
      <c r="C669" t="s">
        <v>3074</v>
      </c>
      <c r="D669" t="s">
        <v>28</v>
      </c>
      <c r="E669" t="s">
        <v>29</v>
      </c>
      <c r="F669" t="s">
        <v>72</v>
      </c>
      <c r="G669" t="str">
        <f t="shared" si="20"/>
        <v>BBT</v>
      </c>
      <c r="H669" t="s">
        <v>106</v>
      </c>
      <c r="I669" t="s">
        <v>146</v>
      </c>
      <c r="J669" t="str">
        <f t="shared" si="21"/>
        <v>SHIFT C</v>
      </c>
    </row>
    <row r="670" spans="1:10">
      <c r="A670">
        <v>832</v>
      </c>
      <c r="B670" t="s">
        <v>3075</v>
      </c>
      <c r="C670" t="s">
        <v>3076</v>
      </c>
      <c r="D670" t="s">
        <v>28</v>
      </c>
      <c r="E670" t="s">
        <v>29</v>
      </c>
      <c r="F670" t="s">
        <v>537</v>
      </c>
      <c r="G670" t="str">
        <f t="shared" si="20"/>
        <v>MLB</v>
      </c>
      <c r="H670" t="s">
        <v>106</v>
      </c>
      <c r="I670" t="s">
        <v>89</v>
      </c>
      <c r="J670" t="str">
        <f t="shared" si="21"/>
        <v>SHIFT B</v>
      </c>
    </row>
    <row r="671" spans="1:10">
      <c r="A671">
        <v>833</v>
      </c>
      <c r="B671" t="s">
        <v>3077</v>
      </c>
      <c r="C671" t="s">
        <v>3078</v>
      </c>
      <c r="D671" t="s">
        <v>28</v>
      </c>
      <c r="E671" t="s">
        <v>29</v>
      </c>
      <c r="F671" t="s">
        <v>1216</v>
      </c>
      <c r="G671" t="str">
        <f t="shared" si="20"/>
        <v>FVI</v>
      </c>
      <c r="H671" t="s">
        <v>106</v>
      </c>
      <c r="I671" t="s">
        <v>89</v>
      </c>
      <c r="J671" t="str">
        <f t="shared" si="21"/>
        <v>SHIFT B</v>
      </c>
    </row>
    <row r="672" spans="1:10">
      <c r="A672">
        <v>834</v>
      </c>
      <c r="B672" t="s">
        <v>3079</v>
      </c>
      <c r="C672" t="s">
        <v>3080</v>
      </c>
      <c r="D672" t="s">
        <v>28</v>
      </c>
      <c r="E672" t="s">
        <v>29</v>
      </c>
      <c r="F672" t="s">
        <v>1216</v>
      </c>
      <c r="G672" t="str">
        <f t="shared" si="20"/>
        <v>FVI</v>
      </c>
      <c r="H672" t="s">
        <v>106</v>
      </c>
      <c r="I672" t="s">
        <v>53</v>
      </c>
      <c r="J672" t="str">
        <f t="shared" si="21"/>
        <v>SHIFT A</v>
      </c>
    </row>
    <row r="673" spans="1:10">
      <c r="A673">
        <v>835</v>
      </c>
      <c r="B673" t="s">
        <v>3081</v>
      </c>
      <c r="C673" t="s">
        <v>3082</v>
      </c>
      <c r="D673" t="s">
        <v>28</v>
      </c>
      <c r="E673" t="s">
        <v>29</v>
      </c>
      <c r="F673" t="s">
        <v>1216</v>
      </c>
      <c r="G673" t="str">
        <f t="shared" si="20"/>
        <v>FVI</v>
      </c>
      <c r="H673" t="s">
        <v>106</v>
      </c>
      <c r="I673" t="s">
        <v>146</v>
      </c>
      <c r="J673" t="str">
        <f t="shared" si="21"/>
        <v>SHIFT C</v>
      </c>
    </row>
    <row r="674" spans="1:10">
      <c r="A674">
        <v>836</v>
      </c>
      <c r="B674" t="s">
        <v>3083</v>
      </c>
      <c r="C674" t="s">
        <v>3084</v>
      </c>
      <c r="D674" t="s">
        <v>28</v>
      </c>
      <c r="E674" t="s">
        <v>29</v>
      </c>
      <c r="F674" t="s">
        <v>1216</v>
      </c>
      <c r="G674" t="str">
        <f t="shared" si="20"/>
        <v>FVI</v>
      </c>
      <c r="H674" t="s">
        <v>106</v>
      </c>
      <c r="I674" t="s">
        <v>146</v>
      </c>
      <c r="J674" t="str">
        <f t="shared" si="21"/>
        <v>SHIFT C</v>
      </c>
    </row>
    <row r="675" spans="1:10">
      <c r="A675">
        <v>837</v>
      </c>
      <c r="B675" t="s">
        <v>3085</v>
      </c>
      <c r="C675" t="s">
        <v>3086</v>
      </c>
      <c r="D675" t="s">
        <v>28</v>
      </c>
      <c r="E675" t="s">
        <v>29</v>
      </c>
      <c r="F675" t="s">
        <v>72</v>
      </c>
      <c r="G675" t="str">
        <f t="shared" si="20"/>
        <v>BBT</v>
      </c>
      <c r="H675" t="s">
        <v>106</v>
      </c>
      <c r="I675" t="s">
        <v>89</v>
      </c>
      <c r="J675" t="str">
        <f t="shared" si="21"/>
        <v>SHIFT B</v>
      </c>
    </row>
    <row r="676" spans="1:10">
      <c r="A676">
        <v>838</v>
      </c>
      <c r="B676" t="s">
        <v>3087</v>
      </c>
      <c r="C676" t="s">
        <v>3088</v>
      </c>
      <c r="D676" t="s">
        <v>28</v>
      </c>
      <c r="E676" t="s">
        <v>29</v>
      </c>
      <c r="F676" t="s">
        <v>72</v>
      </c>
      <c r="G676" t="str">
        <f t="shared" si="20"/>
        <v>BBT</v>
      </c>
      <c r="H676" t="s">
        <v>106</v>
      </c>
      <c r="I676" t="s">
        <v>53</v>
      </c>
      <c r="J676" t="str">
        <f t="shared" si="21"/>
        <v>SHIFT A</v>
      </c>
    </row>
    <row r="677" spans="1:10">
      <c r="A677">
        <v>839</v>
      </c>
      <c r="B677" t="s">
        <v>3089</v>
      </c>
      <c r="C677" t="s">
        <v>3090</v>
      </c>
      <c r="D677" t="s">
        <v>28</v>
      </c>
      <c r="E677" t="s">
        <v>29</v>
      </c>
      <c r="F677" t="s">
        <v>1216</v>
      </c>
      <c r="G677" t="str">
        <f t="shared" si="20"/>
        <v>FVI</v>
      </c>
      <c r="H677" t="s">
        <v>106</v>
      </c>
      <c r="I677" t="s">
        <v>146</v>
      </c>
      <c r="J677" t="str">
        <f t="shared" si="21"/>
        <v>SHIFT C</v>
      </c>
    </row>
    <row r="678" spans="1:10">
      <c r="A678">
        <v>840</v>
      </c>
      <c r="B678" t="s">
        <v>3091</v>
      </c>
      <c r="C678" t="s">
        <v>3092</v>
      </c>
      <c r="D678" t="s">
        <v>28</v>
      </c>
      <c r="E678" t="s">
        <v>29</v>
      </c>
      <c r="F678" t="s">
        <v>56</v>
      </c>
      <c r="G678" t="str">
        <f t="shared" si="20"/>
        <v>AOI</v>
      </c>
      <c r="H678" t="s">
        <v>106</v>
      </c>
      <c r="I678" t="s">
        <v>53</v>
      </c>
      <c r="J678" t="str">
        <f t="shared" si="21"/>
        <v>SHIFT A</v>
      </c>
    </row>
    <row r="679" spans="1:10">
      <c r="A679">
        <v>841</v>
      </c>
      <c r="B679" t="s">
        <v>3093</v>
      </c>
      <c r="C679" t="s">
        <v>3094</v>
      </c>
      <c r="D679" t="s">
        <v>28</v>
      </c>
      <c r="E679" t="s">
        <v>29</v>
      </c>
      <c r="F679" t="s">
        <v>56</v>
      </c>
      <c r="G679" t="str">
        <f t="shared" si="20"/>
        <v>AOI</v>
      </c>
      <c r="H679" t="s">
        <v>106</v>
      </c>
      <c r="I679" t="s">
        <v>89</v>
      </c>
      <c r="J679" t="str">
        <f t="shared" si="21"/>
        <v>SHIFT B</v>
      </c>
    </row>
    <row r="680" spans="1:10">
      <c r="A680">
        <v>842</v>
      </c>
      <c r="B680" t="s">
        <v>3095</v>
      </c>
      <c r="C680" t="s">
        <v>3096</v>
      </c>
      <c r="D680" t="s">
        <v>28</v>
      </c>
      <c r="E680" t="s">
        <v>29</v>
      </c>
      <c r="F680" t="s">
        <v>56</v>
      </c>
      <c r="G680" t="str">
        <f t="shared" si="20"/>
        <v>AOI</v>
      </c>
      <c r="H680" t="s">
        <v>106</v>
      </c>
      <c r="I680" t="s">
        <v>89</v>
      </c>
      <c r="J680" t="str">
        <f t="shared" si="21"/>
        <v>SHIFT B</v>
      </c>
    </row>
    <row r="681" spans="1:10">
      <c r="A681">
        <v>843</v>
      </c>
      <c r="B681" t="s">
        <v>3097</v>
      </c>
      <c r="C681" t="s">
        <v>3098</v>
      </c>
      <c r="D681" t="s">
        <v>28</v>
      </c>
      <c r="E681" t="s">
        <v>29</v>
      </c>
      <c r="F681" t="s">
        <v>56</v>
      </c>
      <c r="G681" t="str">
        <f t="shared" si="20"/>
        <v>AOI</v>
      </c>
      <c r="H681" t="s">
        <v>106</v>
      </c>
      <c r="I681" t="s">
        <v>146</v>
      </c>
      <c r="J681" t="str">
        <f t="shared" si="21"/>
        <v>SHIFT C</v>
      </c>
    </row>
    <row r="682" spans="1:10">
      <c r="A682">
        <v>844</v>
      </c>
      <c r="B682" t="s">
        <v>3099</v>
      </c>
      <c r="C682" t="s">
        <v>3100</v>
      </c>
      <c r="D682" t="s">
        <v>28</v>
      </c>
      <c r="E682" t="s">
        <v>29</v>
      </c>
      <c r="F682" t="s">
        <v>1216</v>
      </c>
      <c r="G682" t="str">
        <f t="shared" si="20"/>
        <v>FVI</v>
      </c>
      <c r="H682" t="s">
        <v>106</v>
      </c>
      <c r="I682" t="s">
        <v>89</v>
      </c>
      <c r="J682" t="str">
        <f t="shared" si="21"/>
        <v>SHIFT B</v>
      </c>
    </row>
    <row r="683" spans="1:10">
      <c r="A683">
        <v>845</v>
      </c>
      <c r="B683" t="s">
        <v>3101</v>
      </c>
      <c r="C683" t="s">
        <v>3102</v>
      </c>
      <c r="D683" t="s">
        <v>28</v>
      </c>
      <c r="E683" t="s">
        <v>29</v>
      </c>
      <c r="F683" t="s">
        <v>680</v>
      </c>
      <c r="G683" t="str">
        <f t="shared" si="20"/>
        <v>CHAMFER</v>
      </c>
      <c r="H683" t="s">
        <v>106</v>
      </c>
      <c r="I683" t="s">
        <v>89</v>
      </c>
      <c r="J683" t="str">
        <f t="shared" si="21"/>
        <v>SHIFT B</v>
      </c>
    </row>
    <row r="684" spans="1:10">
      <c r="A684">
        <v>846</v>
      </c>
      <c r="B684" t="s">
        <v>3103</v>
      </c>
      <c r="C684" t="s">
        <v>3104</v>
      </c>
      <c r="D684" t="s">
        <v>28</v>
      </c>
      <c r="E684" t="s">
        <v>29</v>
      </c>
      <c r="F684" t="s">
        <v>537</v>
      </c>
      <c r="G684" t="str">
        <f t="shared" si="20"/>
        <v>MLB</v>
      </c>
      <c r="H684" t="s">
        <v>106</v>
      </c>
      <c r="I684" t="s">
        <v>53</v>
      </c>
      <c r="J684" t="str">
        <f t="shared" si="21"/>
        <v>SHIFT A</v>
      </c>
    </row>
    <row r="685" spans="1:10">
      <c r="A685">
        <v>847</v>
      </c>
      <c r="B685" t="s">
        <v>3105</v>
      </c>
      <c r="C685" t="s">
        <v>3106</v>
      </c>
      <c r="D685" t="s">
        <v>28</v>
      </c>
      <c r="E685" t="s">
        <v>29</v>
      </c>
      <c r="F685" t="s">
        <v>1216</v>
      </c>
      <c r="G685" t="str">
        <f t="shared" si="20"/>
        <v>FVI</v>
      </c>
      <c r="H685" t="s">
        <v>106</v>
      </c>
      <c r="I685" t="s">
        <v>89</v>
      </c>
      <c r="J685" t="str">
        <f t="shared" si="21"/>
        <v>SHIFT B</v>
      </c>
    </row>
    <row r="686" spans="1:10">
      <c r="A686">
        <v>848</v>
      </c>
      <c r="B686" t="s">
        <v>3107</v>
      </c>
      <c r="C686" t="s">
        <v>3108</v>
      </c>
      <c r="D686" t="s">
        <v>28</v>
      </c>
      <c r="E686" t="s">
        <v>29</v>
      </c>
      <c r="F686" t="s">
        <v>680</v>
      </c>
      <c r="G686" t="str">
        <f t="shared" si="20"/>
        <v>CHAMFER</v>
      </c>
      <c r="H686" t="s">
        <v>106</v>
      </c>
      <c r="I686" t="s">
        <v>89</v>
      </c>
      <c r="J686" t="str">
        <f t="shared" si="21"/>
        <v>SHIFT B</v>
      </c>
    </row>
    <row r="687" spans="1:10">
      <c r="A687">
        <v>849</v>
      </c>
      <c r="B687" t="s">
        <v>3109</v>
      </c>
      <c r="C687" t="s">
        <v>3110</v>
      </c>
      <c r="D687" t="s">
        <v>28</v>
      </c>
      <c r="E687" t="s">
        <v>29</v>
      </c>
      <c r="F687" t="s">
        <v>1216</v>
      </c>
      <c r="G687" t="str">
        <f t="shared" si="20"/>
        <v>FVI</v>
      </c>
      <c r="H687" t="s">
        <v>106</v>
      </c>
      <c r="I687" t="s">
        <v>146</v>
      </c>
      <c r="J687" t="str">
        <f t="shared" si="21"/>
        <v>SHIFT C</v>
      </c>
    </row>
    <row r="688" spans="1:10">
      <c r="A688">
        <v>852</v>
      </c>
      <c r="B688" t="s">
        <v>3119</v>
      </c>
      <c r="C688" t="s">
        <v>3120</v>
      </c>
      <c r="D688" t="s">
        <v>28</v>
      </c>
      <c r="E688" t="s">
        <v>29</v>
      </c>
      <c r="F688" t="s">
        <v>30</v>
      </c>
      <c r="G688" t="str">
        <f t="shared" si="20"/>
        <v>DF</v>
      </c>
      <c r="H688" t="s">
        <v>34</v>
      </c>
      <c r="I688" t="s">
        <v>146</v>
      </c>
      <c r="J688" t="str">
        <f t="shared" si="21"/>
        <v>SHIFT C</v>
      </c>
    </row>
    <row r="689" spans="1:10">
      <c r="A689">
        <v>853</v>
      </c>
      <c r="B689" t="s">
        <v>3123</v>
      </c>
      <c r="C689" t="s">
        <v>3124</v>
      </c>
      <c r="D689" t="s">
        <v>28</v>
      </c>
      <c r="E689" t="s">
        <v>29</v>
      </c>
      <c r="F689" t="s">
        <v>680</v>
      </c>
      <c r="G689" t="str">
        <f t="shared" si="20"/>
        <v>CHAMFER</v>
      </c>
      <c r="H689" t="s">
        <v>106</v>
      </c>
      <c r="I689" t="s">
        <v>146</v>
      </c>
      <c r="J689" t="str">
        <f t="shared" si="21"/>
        <v>SHIFT C</v>
      </c>
    </row>
    <row r="690" spans="1:10">
      <c r="A690">
        <v>854</v>
      </c>
      <c r="B690" t="s">
        <v>3127</v>
      </c>
      <c r="C690" t="s">
        <v>3128</v>
      </c>
      <c r="D690" t="s">
        <v>28</v>
      </c>
      <c r="E690" t="s">
        <v>29</v>
      </c>
      <c r="F690" t="s">
        <v>1216</v>
      </c>
      <c r="G690" t="str">
        <f t="shared" si="20"/>
        <v>FVI</v>
      </c>
      <c r="H690" t="s">
        <v>106</v>
      </c>
      <c r="I690" t="s">
        <v>146</v>
      </c>
      <c r="J690" t="str">
        <f t="shared" si="21"/>
        <v>SHIFT C</v>
      </c>
    </row>
    <row r="691" spans="1:10">
      <c r="A691">
        <v>855</v>
      </c>
      <c r="B691" t="s">
        <v>3131</v>
      </c>
      <c r="C691" t="s">
        <v>3132</v>
      </c>
      <c r="D691" t="s">
        <v>28</v>
      </c>
      <c r="E691" t="s">
        <v>29</v>
      </c>
      <c r="F691" t="s">
        <v>1216</v>
      </c>
      <c r="G691" t="str">
        <f t="shared" si="20"/>
        <v>FVI</v>
      </c>
      <c r="H691" t="s">
        <v>106</v>
      </c>
      <c r="I691" t="s">
        <v>53</v>
      </c>
      <c r="J691" t="str">
        <f t="shared" si="21"/>
        <v>SHIFT A</v>
      </c>
    </row>
    <row r="692" spans="1:10">
      <c r="A692">
        <v>856</v>
      </c>
      <c r="B692" t="s">
        <v>3135</v>
      </c>
      <c r="C692" t="s">
        <v>3136</v>
      </c>
      <c r="D692" t="s">
        <v>28</v>
      </c>
      <c r="E692" t="s">
        <v>29</v>
      </c>
      <c r="F692" t="s">
        <v>56</v>
      </c>
      <c r="G692" t="str">
        <f t="shared" si="20"/>
        <v>AOI</v>
      </c>
      <c r="H692" t="s">
        <v>106</v>
      </c>
      <c r="I692" t="s">
        <v>53</v>
      </c>
      <c r="J692" t="str">
        <f t="shared" si="21"/>
        <v>SHIFT A</v>
      </c>
    </row>
    <row r="693" spans="1:10">
      <c r="A693">
        <v>857</v>
      </c>
      <c r="B693" t="s">
        <v>3139</v>
      </c>
      <c r="C693" t="s">
        <v>3140</v>
      </c>
      <c r="D693" t="s">
        <v>28</v>
      </c>
      <c r="E693" t="s">
        <v>29</v>
      </c>
      <c r="F693" t="s">
        <v>1216</v>
      </c>
      <c r="G693" t="str">
        <f t="shared" si="20"/>
        <v>FVI</v>
      </c>
      <c r="H693" t="s">
        <v>106</v>
      </c>
      <c r="I693" t="s">
        <v>53</v>
      </c>
      <c r="J693" t="str">
        <f t="shared" si="21"/>
        <v>SHIFT A</v>
      </c>
    </row>
    <row r="694" spans="1:10">
      <c r="A694">
        <v>858</v>
      </c>
      <c r="B694" t="s">
        <v>3143</v>
      </c>
      <c r="C694" t="s">
        <v>3144</v>
      </c>
      <c r="D694" t="s">
        <v>28</v>
      </c>
      <c r="E694" t="s">
        <v>29</v>
      </c>
      <c r="F694" t="s">
        <v>48</v>
      </c>
      <c r="G694" t="str">
        <f t="shared" si="20"/>
        <v>ROUTER</v>
      </c>
      <c r="H694" t="s">
        <v>34</v>
      </c>
      <c r="I694" t="s">
        <v>53</v>
      </c>
      <c r="J694" t="str">
        <f t="shared" si="21"/>
        <v>SHIFT A</v>
      </c>
    </row>
    <row r="695" spans="1:10">
      <c r="A695">
        <v>859</v>
      </c>
      <c r="B695" t="s">
        <v>3147</v>
      </c>
      <c r="C695" t="s">
        <v>3148</v>
      </c>
      <c r="D695" t="s">
        <v>28</v>
      </c>
      <c r="E695" t="s">
        <v>29</v>
      </c>
      <c r="F695" t="s">
        <v>56</v>
      </c>
      <c r="G695" t="str">
        <f t="shared" si="20"/>
        <v>AOI</v>
      </c>
      <c r="H695" t="s">
        <v>106</v>
      </c>
      <c r="I695" t="s">
        <v>146</v>
      </c>
      <c r="J695" t="str">
        <f t="shared" si="21"/>
        <v>SHIFT C</v>
      </c>
    </row>
    <row r="696" spans="1:10">
      <c r="A696">
        <v>860</v>
      </c>
      <c r="B696" t="s">
        <v>3151</v>
      </c>
      <c r="C696" t="s">
        <v>3152</v>
      </c>
      <c r="D696" t="s">
        <v>28</v>
      </c>
      <c r="E696" t="s">
        <v>29</v>
      </c>
      <c r="F696" t="s">
        <v>56</v>
      </c>
      <c r="G696" t="str">
        <f t="shared" si="20"/>
        <v>AOI</v>
      </c>
      <c r="H696" t="s">
        <v>34</v>
      </c>
      <c r="I696" t="s">
        <v>76</v>
      </c>
      <c r="J696" t="str">
        <f t="shared" si="21"/>
        <v>SHIFT E</v>
      </c>
    </row>
    <row r="697" spans="1:10">
      <c r="A697">
        <v>861</v>
      </c>
      <c r="B697" t="s">
        <v>3155</v>
      </c>
      <c r="C697" t="s">
        <v>3156</v>
      </c>
      <c r="D697" t="s">
        <v>28</v>
      </c>
      <c r="E697" t="s">
        <v>29</v>
      </c>
      <c r="F697" t="s">
        <v>1216</v>
      </c>
      <c r="G697" t="str">
        <f t="shared" si="20"/>
        <v>FVI</v>
      </c>
      <c r="H697" t="s">
        <v>106</v>
      </c>
      <c r="I697" t="s">
        <v>146</v>
      </c>
      <c r="J697" t="str">
        <f t="shared" si="21"/>
        <v>SHIFT C</v>
      </c>
    </row>
    <row r="698" spans="1:10">
      <c r="A698">
        <v>862</v>
      </c>
      <c r="B698" t="s">
        <v>3159</v>
      </c>
      <c r="C698" t="s">
        <v>3160</v>
      </c>
      <c r="D698" t="s">
        <v>28</v>
      </c>
      <c r="E698" t="s">
        <v>29</v>
      </c>
      <c r="F698" t="s">
        <v>30</v>
      </c>
      <c r="G698" t="str">
        <f t="shared" si="20"/>
        <v>DF</v>
      </c>
      <c r="H698" t="s">
        <v>34</v>
      </c>
      <c r="I698" t="s">
        <v>146</v>
      </c>
      <c r="J698" t="str">
        <f t="shared" si="21"/>
        <v>SHIFT C</v>
      </c>
    </row>
    <row r="699" spans="1:10">
      <c r="A699">
        <v>863</v>
      </c>
      <c r="B699" t="s">
        <v>3163</v>
      </c>
      <c r="C699" t="s">
        <v>3164</v>
      </c>
      <c r="D699" t="s">
        <v>28</v>
      </c>
      <c r="E699" t="s">
        <v>29</v>
      </c>
      <c r="F699" t="s">
        <v>1216</v>
      </c>
      <c r="G699" t="str">
        <f t="shared" si="20"/>
        <v>FVI</v>
      </c>
      <c r="H699" t="s">
        <v>106</v>
      </c>
      <c r="I699" t="s">
        <v>146</v>
      </c>
      <c r="J699" t="str">
        <f t="shared" si="21"/>
        <v>SHIFT C</v>
      </c>
    </row>
    <row r="700" spans="1:10">
      <c r="A700">
        <v>864</v>
      </c>
      <c r="B700" t="s">
        <v>3167</v>
      </c>
      <c r="C700" t="s">
        <v>3168</v>
      </c>
      <c r="D700" t="s">
        <v>28</v>
      </c>
      <c r="E700" t="s">
        <v>29</v>
      </c>
      <c r="F700" t="s">
        <v>30</v>
      </c>
      <c r="G700" t="str">
        <f t="shared" si="20"/>
        <v>DF</v>
      </c>
      <c r="H700" t="s">
        <v>34</v>
      </c>
      <c r="I700" t="s">
        <v>146</v>
      </c>
      <c r="J700" t="str">
        <f t="shared" si="21"/>
        <v>SHIFT C</v>
      </c>
    </row>
    <row r="701" spans="1:10">
      <c r="A701">
        <v>865</v>
      </c>
      <c r="B701" t="s">
        <v>3171</v>
      </c>
      <c r="C701" t="s">
        <v>3172</v>
      </c>
      <c r="D701" t="s">
        <v>28</v>
      </c>
      <c r="E701" t="s">
        <v>29</v>
      </c>
      <c r="F701" t="s">
        <v>1216</v>
      </c>
      <c r="G701" t="str">
        <f t="shared" si="20"/>
        <v>FVI</v>
      </c>
      <c r="H701" t="s">
        <v>34</v>
      </c>
      <c r="I701" t="s">
        <v>146</v>
      </c>
      <c r="J701" t="str">
        <f t="shared" si="21"/>
        <v>SHIFT C</v>
      </c>
    </row>
    <row r="702" spans="1:10">
      <c r="A702">
        <v>866</v>
      </c>
      <c r="B702" t="s">
        <v>3175</v>
      </c>
      <c r="C702" t="s">
        <v>3176</v>
      </c>
      <c r="D702" t="s">
        <v>28</v>
      </c>
      <c r="E702" t="s">
        <v>29</v>
      </c>
      <c r="F702" t="s">
        <v>72</v>
      </c>
      <c r="G702" t="str">
        <f t="shared" si="20"/>
        <v>BBT</v>
      </c>
      <c r="H702" t="s">
        <v>34</v>
      </c>
      <c r="I702" t="s">
        <v>53</v>
      </c>
      <c r="J702" t="str">
        <f t="shared" si="21"/>
        <v>SHIFT A</v>
      </c>
    </row>
    <row r="703" spans="1:10">
      <c r="A703">
        <v>867</v>
      </c>
      <c r="B703" t="s">
        <v>3179</v>
      </c>
      <c r="C703" t="s">
        <v>3180</v>
      </c>
      <c r="D703" t="s">
        <v>28</v>
      </c>
      <c r="E703" t="s">
        <v>29</v>
      </c>
      <c r="F703" t="s">
        <v>1216</v>
      </c>
      <c r="G703" t="str">
        <f t="shared" si="20"/>
        <v>FVI</v>
      </c>
      <c r="H703" t="s">
        <v>106</v>
      </c>
      <c r="I703" t="s">
        <v>53</v>
      </c>
      <c r="J703" t="str">
        <f t="shared" si="21"/>
        <v>SHIFT A</v>
      </c>
    </row>
    <row r="704" spans="1:10">
      <c r="A704">
        <v>868</v>
      </c>
      <c r="B704" t="s">
        <v>3183</v>
      </c>
      <c r="C704" t="s">
        <v>1033</v>
      </c>
      <c r="D704" t="s">
        <v>499</v>
      </c>
      <c r="E704" t="s">
        <v>29</v>
      </c>
      <c r="F704" t="s">
        <v>56</v>
      </c>
      <c r="G704" t="str">
        <f t="shared" si="20"/>
        <v>AOI</v>
      </c>
      <c r="H704" t="s">
        <v>34</v>
      </c>
      <c r="I704" t="s">
        <v>146</v>
      </c>
      <c r="J704" t="str">
        <f t="shared" si="21"/>
        <v>SHIFT C</v>
      </c>
    </row>
    <row r="705" spans="1:10">
      <c r="A705">
        <v>869</v>
      </c>
      <c r="B705" t="s">
        <v>3186</v>
      </c>
      <c r="C705" t="s">
        <v>3187</v>
      </c>
      <c r="D705" t="s">
        <v>28</v>
      </c>
      <c r="E705" t="s">
        <v>29</v>
      </c>
      <c r="F705" t="s">
        <v>85</v>
      </c>
      <c r="G705" t="str">
        <f t="shared" si="20"/>
        <v>DRILL</v>
      </c>
      <c r="H705" t="s">
        <v>106</v>
      </c>
      <c r="I705" t="s">
        <v>146</v>
      </c>
      <c r="J705" t="str">
        <f t="shared" si="21"/>
        <v>SHIFT C</v>
      </c>
    </row>
    <row r="706" spans="1:10">
      <c r="A706">
        <v>870</v>
      </c>
      <c r="B706" t="s">
        <v>3190</v>
      </c>
      <c r="C706" t="s">
        <v>3191</v>
      </c>
      <c r="D706" t="s">
        <v>28</v>
      </c>
      <c r="E706" t="s">
        <v>29</v>
      </c>
      <c r="F706" t="s">
        <v>680</v>
      </c>
      <c r="G706" t="str">
        <f t="shared" si="20"/>
        <v>CHAMFER</v>
      </c>
      <c r="H706" t="s">
        <v>34</v>
      </c>
      <c r="I706" t="s">
        <v>146</v>
      </c>
      <c r="J706" t="str">
        <f t="shared" si="21"/>
        <v>SHIFT C</v>
      </c>
    </row>
    <row r="707" spans="1:10">
      <c r="A707">
        <v>871</v>
      </c>
      <c r="B707" t="s">
        <v>3194</v>
      </c>
      <c r="C707" t="s">
        <v>3195</v>
      </c>
      <c r="D707" t="s">
        <v>28</v>
      </c>
      <c r="E707" t="s">
        <v>29</v>
      </c>
      <c r="F707" t="s">
        <v>1216</v>
      </c>
      <c r="G707" t="str">
        <f t="shared" si="20"/>
        <v>FVI</v>
      </c>
      <c r="H707" t="s">
        <v>106</v>
      </c>
      <c r="I707" t="s">
        <v>89</v>
      </c>
      <c r="J707" t="str">
        <f t="shared" si="21"/>
        <v>SHIFT B</v>
      </c>
    </row>
    <row r="708" spans="1:10">
      <c r="A708">
        <v>872</v>
      </c>
      <c r="B708" t="s">
        <v>3198</v>
      </c>
      <c r="C708" t="s">
        <v>3199</v>
      </c>
      <c r="D708" t="s">
        <v>28</v>
      </c>
      <c r="E708" t="s">
        <v>29</v>
      </c>
      <c r="F708" t="s">
        <v>85</v>
      </c>
      <c r="G708" t="str">
        <f t="shared" ref="G708:G771" si="22">IF(OR(ISNUMBER(SEARCH("P1",F708)),ISNUMBER(SEARCH("P2",F708)),ISNUMBER(SEARCH("P3",F708)),ISNUMBER(SEARCH("P4",F708)),ISNUMBER(SEARCH("P5",F708))),"EQUIPMENT",
IF(ISNUMBER(SEARCH("Warehouse",F708)),"WAREHOUSE",
IF(ISNUMBER(SEARCH("WWTP",F708)),"ENVIRONMENT",
IF(OR(ISNUMBER(SEARCH("QC",F708)),ISNUMBER(SEARCH("RELIABILITY",F708)),ISNUMBER(SEARCH("OQA",F708)),ISNUMBER(SEARCH("CHEMICAL",F708))),"QUALITY",
IF(OR(ISNUMBER(SEARCH("OPERATION",F708)),ISNUMBER(SEARCH("PSM",F708))),"HS",
IF(ISNUMBER(SEARCH("FVI",F708)),"FVI",
IF(OR(ISNUMBER(SEARCH("ELECTRICITY",F708)),ISNUMBER(SEARCH("FACILITIES",F708)),ISNUMBER(SEARCH("MECHANICAL",F708))),"FACILITY",F708)))))))</f>
        <v>DRILL</v>
      </c>
      <c r="H708" t="s">
        <v>34</v>
      </c>
      <c r="I708" t="s">
        <v>146</v>
      </c>
      <c r="J708" t="str">
        <f t="shared" ref="J708:J771" si="23">IF(ISNUMBER(SEARCH("GROUP C",I708)),"SHIFT C",
IF(ISNUMBER(SEARCH("GROUP A",I708)),"SHIFT A",
IF(ISNUMBER(SEARCH("GROUP O",I708)),"SHIFT O",
IF(ISNUMBER(SEARCH("GROUP B",I708)),"SHIFT B",
IF(ISNUMBER(SEARCH("GROUP E",I708)),"SHIFT E","")))))</f>
        <v>SHIFT C</v>
      </c>
    </row>
    <row r="709" spans="1:10">
      <c r="A709">
        <v>873</v>
      </c>
      <c r="B709" t="s">
        <v>3202</v>
      </c>
      <c r="C709" t="s">
        <v>3203</v>
      </c>
      <c r="D709" t="s">
        <v>28</v>
      </c>
      <c r="E709" t="s">
        <v>29</v>
      </c>
      <c r="F709" t="s">
        <v>1058</v>
      </c>
      <c r="G709" t="str">
        <f t="shared" si="22"/>
        <v>LASER</v>
      </c>
      <c r="H709" t="s">
        <v>34</v>
      </c>
      <c r="I709" t="s">
        <v>89</v>
      </c>
      <c r="J709" t="str">
        <f t="shared" si="23"/>
        <v>SHIFT B</v>
      </c>
    </row>
    <row r="710" spans="1:10">
      <c r="A710">
        <v>874</v>
      </c>
      <c r="B710" t="s">
        <v>3206</v>
      </c>
      <c r="C710" t="s">
        <v>3207</v>
      </c>
      <c r="D710" t="s">
        <v>28</v>
      </c>
      <c r="E710" t="s">
        <v>29</v>
      </c>
      <c r="F710" t="s">
        <v>1058</v>
      </c>
      <c r="G710" t="str">
        <f t="shared" si="22"/>
        <v>LASER</v>
      </c>
      <c r="H710" t="s">
        <v>34</v>
      </c>
      <c r="I710" t="s">
        <v>146</v>
      </c>
      <c r="J710" t="str">
        <f t="shared" si="23"/>
        <v>SHIFT C</v>
      </c>
    </row>
    <row r="711" spans="1:10">
      <c r="A711">
        <v>875</v>
      </c>
      <c r="B711" t="s">
        <v>3210</v>
      </c>
      <c r="C711" t="s">
        <v>3211</v>
      </c>
      <c r="D711" t="s">
        <v>28</v>
      </c>
      <c r="E711" t="s">
        <v>417</v>
      </c>
      <c r="F711" t="s">
        <v>674</v>
      </c>
      <c r="G711" t="str">
        <f t="shared" si="22"/>
        <v>WAREHOUSE</v>
      </c>
      <c r="H711" t="s">
        <v>34</v>
      </c>
      <c r="I711" t="s">
        <v>53</v>
      </c>
      <c r="J711" t="str">
        <f t="shared" si="23"/>
        <v>SHIFT A</v>
      </c>
    </row>
    <row r="712" spans="1:10">
      <c r="A712">
        <v>876</v>
      </c>
      <c r="B712" t="s">
        <v>3214</v>
      </c>
      <c r="C712" t="s">
        <v>3215</v>
      </c>
      <c r="D712" t="s">
        <v>28</v>
      </c>
      <c r="E712" t="s">
        <v>29</v>
      </c>
      <c r="F712" t="s">
        <v>123</v>
      </c>
      <c r="G712" t="str">
        <f t="shared" si="22"/>
        <v>PACKING</v>
      </c>
      <c r="H712" t="s">
        <v>106</v>
      </c>
      <c r="I712" t="s">
        <v>146</v>
      </c>
      <c r="J712" t="str">
        <f t="shared" si="23"/>
        <v>SHIFT C</v>
      </c>
    </row>
    <row r="713" spans="1:10">
      <c r="A713">
        <v>877</v>
      </c>
      <c r="B713" t="s">
        <v>3218</v>
      </c>
      <c r="C713" t="s">
        <v>3219</v>
      </c>
      <c r="D713" t="s">
        <v>28</v>
      </c>
      <c r="E713" t="s">
        <v>29</v>
      </c>
      <c r="F713" t="s">
        <v>48</v>
      </c>
      <c r="G713" t="str">
        <f t="shared" si="22"/>
        <v>ROUTER</v>
      </c>
      <c r="H713" t="s">
        <v>34</v>
      </c>
      <c r="I713" t="s">
        <v>53</v>
      </c>
      <c r="J713" t="str">
        <f t="shared" si="23"/>
        <v>SHIFT A</v>
      </c>
    </row>
    <row r="714" spans="1:10">
      <c r="A714">
        <v>878</v>
      </c>
      <c r="B714" t="s">
        <v>3222</v>
      </c>
      <c r="C714" t="s">
        <v>3223</v>
      </c>
      <c r="D714" t="s">
        <v>28</v>
      </c>
      <c r="E714" t="s">
        <v>417</v>
      </c>
      <c r="F714" t="s">
        <v>756</v>
      </c>
      <c r="G714" t="str">
        <f t="shared" si="22"/>
        <v>WAREHOUSE</v>
      </c>
      <c r="H714" t="s">
        <v>34</v>
      </c>
      <c r="I714" t="s">
        <v>89</v>
      </c>
      <c r="J714" t="str">
        <f t="shared" si="23"/>
        <v>SHIFT B</v>
      </c>
    </row>
    <row r="715" spans="1:10">
      <c r="A715">
        <v>879</v>
      </c>
      <c r="B715" t="s">
        <v>3226</v>
      </c>
      <c r="C715" t="s">
        <v>3227</v>
      </c>
      <c r="D715" t="s">
        <v>28</v>
      </c>
      <c r="E715" t="s">
        <v>29</v>
      </c>
      <c r="F715" t="s">
        <v>123</v>
      </c>
      <c r="G715" t="str">
        <f t="shared" si="22"/>
        <v>PACKING</v>
      </c>
      <c r="H715" t="s">
        <v>106</v>
      </c>
      <c r="I715" t="s">
        <v>146</v>
      </c>
      <c r="J715" t="str">
        <f t="shared" si="23"/>
        <v>SHIFT C</v>
      </c>
    </row>
    <row r="716" spans="1:10">
      <c r="A716">
        <v>880</v>
      </c>
      <c r="B716" t="s">
        <v>3230</v>
      </c>
      <c r="C716" t="s">
        <v>3231</v>
      </c>
      <c r="D716" t="s">
        <v>28</v>
      </c>
      <c r="E716" t="s">
        <v>29</v>
      </c>
      <c r="F716" t="s">
        <v>56</v>
      </c>
      <c r="G716" t="str">
        <f t="shared" si="22"/>
        <v>AOI</v>
      </c>
      <c r="H716" t="s">
        <v>106</v>
      </c>
      <c r="I716" t="s">
        <v>89</v>
      </c>
      <c r="J716" t="str">
        <f t="shared" si="23"/>
        <v>SHIFT B</v>
      </c>
    </row>
    <row r="717" spans="1:10">
      <c r="A717">
        <v>881</v>
      </c>
      <c r="B717" t="s">
        <v>3234</v>
      </c>
      <c r="C717" t="s">
        <v>3235</v>
      </c>
      <c r="D717" t="s">
        <v>28</v>
      </c>
      <c r="E717" t="s">
        <v>29</v>
      </c>
      <c r="F717" t="s">
        <v>72</v>
      </c>
      <c r="G717" t="str">
        <f t="shared" si="22"/>
        <v>BBT</v>
      </c>
      <c r="H717" t="s">
        <v>34</v>
      </c>
      <c r="I717" t="s">
        <v>89</v>
      </c>
      <c r="J717" t="str">
        <f t="shared" si="23"/>
        <v>SHIFT B</v>
      </c>
    </row>
    <row r="718" spans="1:10">
      <c r="A718">
        <v>882</v>
      </c>
      <c r="B718" t="s">
        <v>3238</v>
      </c>
      <c r="C718" t="s">
        <v>3239</v>
      </c>
      <c r="D718" t="s">
        <v>1054</v>
      </c>
      <c r="E718" t="s">
        <v>29</v>
      </c>
      <c r="F718" t="s">
        <v>537</v>
      </c>
      <c r="G718" t="str">
        <f t="shared" si="22"/>
        <v>MLB</v>
      </c>
      <c r="H718" t="s">
        <v>106</v>
      </c>
      <c r="I718" t="s">
        <v>89</v>
      </c>
      <c r="J718" t="str">
        <f t="shared" si="23"/>
        <v>SHIFT B</v>
      </c>
    </row>
    <row r="719" spans="1:10">
      <c r="A719">
        <v>883</v>
      </c>
      <c r="B719" t="s">
        <v>3242</v>
      </c>
      <c r="C719" t="s">
        <v>3243</v>
      </c>
      <c r="D719" t="s">
        <v>28</v>
      </c>
      <c r="E719" t="s">
        <v>29</v>
      </c>
      <c r="F719" t="s">
        <v>79</v>
      </c>
      <c r="G719" t="str">
        <f t="shared" si="22"/>
        <v>SM</v>
      </c>
      <c r="H719" t="s">
        <v>34</v>
      </c>
      <c r="I719" t="s">
        <v>76</v>
      </c>
      <c r="J719" t="str">
        <f t="shared" si="23"/>
        <v>SHIFT E</v>
      </c>
    </row>
    <row r="720" spans="1:10">
      <c r="A720">
        <v>884</v>
      </c>
      <c r="B720" t="s">
        <v>3246</v>
      </c>
      <c r="C720" t="s">
        <v>3247</v>
      </c>
      <c r="D720" t="s">
        <v>1054</v>
      </c>
      <c r="E720" t="s">
        <v>29</v>
      </c>
      <c r="F720" t="s">
        <v>1216</v>
      </c>
      <c r="G720" t="str">
        <f t="shared" si="22"/>
        <v>FVI</v>
      </c>
      <c r="H720" t="s">
        <v>106</v>
      </c>
      <c r="I720" t="s">
        <v>146</v>
      </c>
      <c r="J720" t="str">
        <f t="shared" si="23"/>
        <v>SHIFT C</v>
      </c>
    </row>
    <row r="721" spans="1:10">
      <c r="A721">
        <v>885</v>
      </c>
      <c r="B721" t="s">
        <v>3250</v>
      </c>
      <c r="C721" t="s">
        <v>3251</v>
      </c>
      <c r="D721" t="s">
        <v>28</v>
      </c>
      <c r="E721" t="s">
        <v>29</v>
      </c>
      <c r="F721" t="s">
        <v>1216</v>
      </c>
      <c r="G721" t="str">
        <f t="shared" si="22"/>
        <v>FVI</v>
      </c>
      <c r="H721" t="s">
        <v>106</v>
      </c>
      <c r="I721" t="s">
        <v>146</v>
      </c>
      <c r="J721" t="str">
        <f t="shared" si="23"/>
        <v>SHIFT C</v>
      </c>
    </row>
    <row r="722" spans="1:10">
      <c r="A722">
        <v>886</v>
      </c>
      <c r="B722" t="s">
        <v>3254</v>
      </c>
      <c r="C722" t="s">
        <v>3255</v>
      </c>
      <c r="D722" t="s">
        <v>28</v>
      </c>
      <c r="E722" t="s">
        <v>29</v>
      </c>
      <c r="F722" t="s">
        <v>72</v>
      </c>
      <c r="G722" t="str">
        <f t="shared" si="22"/>
        <v>BBT</v>
      </c>
      <c r="H722" t="s">
        <v>106</v>
      </c>
      <c r="I722" t="s">
        <v>89</v>
      </c>
      <c r="J722" t="str">
        <f t="shared" si="23"/>
        <v>SHIFT B</v>
      </c>
    </row>
    <row r="723" spans="1:10">
      <c r="A723">
        <v>887</v>
      </c>
      <c r="B723" t="s">
        <v>3256</v>
      </c>
      <c r="C723" t="s">
        <v>3257</v>
      </c>
      <c r="D723" t="s">
        <v>28</v>
      </c>
      <c r="E723" t="s">
        <v>29</v>
      </c>
      <c r="F723" t="s">
        <v>72</v>
      </c>
      <c r="G723" t="str">
        <f t="shared" si="22"/>
        <v>BBT</v>
      </c>
      <c r="H723" t="s">
        <v>106</v>
      </c>
      <c r="I723" t="s">
        <v>89</v>
      </c>
      <c r="J723" t="str">
        <f t="shared" si="23"/>
        <v>SHIFT B</v>
      </c>
    </row>
    <row r="724" spans="1:10">
      <c r="A724">
        <v>888</v>
      </c>
      <c r="B724" t="s">
        <v>3258</v>
      </c>
      <c r="C724" t="s">
        <v>3259</v>
      </c>
      <c r="D724" t="s">
        <v>28</v>
      </c>
      <c r="E724" t="s">
        <v>29</v>
      </c>
      <c r="F724" t="s">
        <v>56</v>
      </c>
      <c r="G724" t="str">
        <f t="shared" si="22"/>
        <v>AOI</v>
      </c>
      <c r="H724" t="s">
        <v>106</v>
      </c>
      <c r="I724" t="s">
        <v>89</v>
      </c>
      <c r="J724" t="str">
        <f t="shared" si="23"/>
        <v>SHIFT B</v>
      </c>
    </row>
    <row r="725" spans="1:10">
      <c r="A725">
        <v>889</v>
      </c>
      <c r="B725" t="s">
        <v>3260</v>
      </c>
      <c r="C725" t="s">
        <v>3261</v>
      </c>
      <c r="D725" t="s">
        <v>28</v>
      </c>
      <c r="E725" t="s">
        <v>29</v>
      </c>
      <c r="F725" t="s">
        <v>56</v>
      </c>
      <c r="G725" t="str">
        <f t="shared" si="22"/>
        <v>AOI</v>
      </c>
      <c r="H725" t="s">
        <v>106</v>
      </c>
      <c r="I725" t="s">
        <v>146</v>
      </c>
      <c r="J725" t="str">
        <f t="shared" si="23"/>
        <v>SHIFT C</v>
      </c>
    </row>
    <row r="726" spans="1:10">
      <c r="A726">
        <v>890</v>
      </c>
      <c r="B726" t="s">
        <v>3262</v>
      </c>
      <c r="C726" t="s">
        <v>3263</v>
      </c>
      <c r="D726" t="s">
        <v>28</v>
      </c>
      <c r="E726" t="s">
        <v>29</v>
      </c>
      <c r="F726" t="s">
        <v>56</v>
      </c>
      <c r="G726" t="str">
        <f t="shared" si="22"/>
        <v>AOI</v>
      </c>
      <c r="H726" t="s">
        <v>106</v>
      </c>
      <c r="I726" t="s">
        <v>146</v>
      </c>
      <c r="J726" t="str">
        <f t="shared" si="23"/>
        <v>SHIFT C</v>
      </c>
    </row>
    <row r="727" spans="1:10">
      <c r="A727">
        <v>891</v>
      </c>
      <c r="B727" t="s">
        <v>3264</v>
      </c>
      <c r="C727" t="s">
        <v>3265</v>
      </c>
      <c r="D727" t="s">
        <v>28</v>
      </c>
      <c r="E727" t="s">
        <v>29</v>
      </c>
      <c r="F727" t="s">
        <v>680</v>
      </c>
      <c r="G727" t="str">
        <f t="shared" si="22"/>
        <v>CHAMFER</v>
      </c>
      <c r="H727" t="s">
        <v>106</v>
      </c>
      <c r="I727" t="s">
        <v>146</v>
      </c>
      <c r="J727" t="str">
        <f t="shared" si="23"/>
        <v>SHIFT C</v>
      </c>
    </row>
    <row r="728" spans="1:10">
      <c r="A728">
        <v>892</v>
      </c>
      <c r="B728" t="s">
        <v>3266</v>
      </c>
      <c r="C728" t="s">
        <v>3267</v>
      </c>
      <c r="D728" t="s">
        <v>28</v>
      </c>
      <c r="E728" t="s">
        <v>29</v>
      </c>
      <c r="F728" t="s">
        <v>680</v>
      </c>
      <c r="G728" t="str">
        <f t="shared" si="22"/>
        <v>CHAMFER</v>
      </c>
      <c r="H728" t="s">
        <v>106</v>
      </c>
      <c r="I728" t="s">
        <v>53</v>
      </c>
      <c r="J728" t="str">
        <f t="shared" si="23"/>
        <v>SHIFT A</v>
      </c>
    </row>
    <row r="729" spans="1:10">
      <c r="A729">
        <v>893</v>
      </c>
      <c r="B729" t="s">
        <v>3268</v>
      </c>
      <c r="C729" t="s">
        <v>3269</v>
      </c>
      <c r="D729" t="s">
        <v>28</v>
      </c>
      <c r="E729" t="s">
        <v>29</v>
      </c>
      <c r="F729" t="s">
        <v>85</v>
      </c>
      <c r="G729" t="str">
        <f t="shared" si="22"/>
        <v>DRILL</v>
      </c>
      <c r="H729" t="s">
        <v>106</v>
      </c>
      <c r="I729" t="s">
        <v>53</v>
      </c>
      <c r="J729" t="str">
        <f t="shared" si="23"/>
        <v>SHIFT A</v>
      </c>
    </row>
    <row r="730" spans="1:10">
      <c r="A730">
        <v>894</v>
      </c>
      <c r="B730" t="s">
        <v>3270</v>
      </c>
      <c r="C730" t="s">
        <v>3271</v>
      </c>
      <c r="D730" t="s">
        <v>28</v>
      </c>
      <c r="E730" t="s">
        <v>29</v>
      </c>
      <c r="F730" t="s">
        <v>1216</v>
      </c>
      <c r="G730" t="str">
        <f t="shared" si="22"/>
        <v>FVI</v>
      </c>
      <c r="H730" t="s">
        <v>106</v>
      </c>
      <c r="I730" t="s">
        <v>146</v>
      </c>
      <c r="J730" t="str">
        <f t="shared" si="23"/>
        <v>SHIFT C</v>
      </c>
    </row>
    <row r="731" spans="1:10">
      <c r="A731">
        <v>895</v>
      </c>
      <c r="B731" t="s">
        <v>3272</v>
      </c>
      <c r="C731" t="s">
        <v>3273</v>
      </c>
      <c r="D731" t="s">
        <v>28</v>
      </c>
      <c r="E731" t="s">
        <v>29</v>
      </c>
      <c r="F731" t="s">
        <v>680</v>
      </c>
      <c r="G731" t="str">
        <f t="shared" si="22"/>
        <v>CHAMFER</v>
      </c>
      <c r="H731" t="s">
        <v>106</v>
      </c>
      <c r="I731" t="s">
        <v>53</v>
      </c>
      <c r="J731" t="str">
        <f t="shared" si="23"/>
        <v>SHIFT A</v>
      </c>
    </row>
    <row r="732" spans="1:10">
      <c r="A732">
        <v>896</v>
      </c>
      <c r="B732" t="s">
        <v>3274</v>
      </c>
      <c r="C732" t="s">
        <v>3275</v>
      </c>
      <c r="D732" t="s">
        <v>28</v>
      </c>
      <c r="E732" t="s">
        <v>29</v>
      </c>
      <c r="F732" t="s">
        <v>1216</v>
      </c>
      <c r="G732" t="str">
        <f t="shared" si="22"/>
        <v>FVI</v>
      </c>
      <c r="H732" t="s">
        <v>106</v>
      </c>
      <c r="I732" t="s">
        <v>53</v>
      </c>
      <c r="J732" t="str">
        <f t="shared" si="23"/>
        <v>SHIFT A</v>
      </c>
    </row>
    <row r="733" spans="1:10">
      <c r="A733">
        <v>897</v>
      </c>
      <c r="B733" t="s">
        <v>3276</v>
      </c>
      <c r="C733" t="s">
        <v>3277</v>
      </c>
      <c r="D733" t="s">
        <v>28</v>
      </c>
      <c r="E733" t="s">
        <v>29</v>
      </c>
      <c r="F733" t="s">
        <v>1216</v>
      </c>
      <c r="G733" t="str">
        <f t="shared" si="22"/>
        <v>FVI</v>
      </c>
      <c r="H733" t="s">
        <v>106</v>
      </c>
      <c r="I733" t="s">
        <v>146</v>
      </c>
      <c r="J733" t="str">
        <f t="shared" si="23"/>
        <v>SHIFT C</v>
      </c>
    </row>
    <row r="734" spans="1:10">
      <c r="A734">
        <v>898</v>
      </c>
      <c r="B734" t="s">
        <v>3278</v>
      </c>
      <c r="C734" t="s">
        <v>3279</v>
      </c>
      <c r="D734" t="s">
        <v>28</v>
      </c>
      <c r="E734" t="s">
        <v>29</v>
      </c>
      <c r="F734" t="s">
        <v>85</v>
      </c>
      <c r="G734" t="str">
        <f t="shared" si="22"/>
        <v>DRILL</v>
      </c>
      <c r="H734" t="s">
        <v>106</v>
      </c>
      <c r="I734" t="s">
        <v>53</v>
      </c>
      <c r="J734" t="str">
        <f t="shared" si="23"/>
        <v>SHIFT A</v>
      </c>
    </row>
    <row r="735" spans="1:10">
      <c r="A735">
        <v>899</v>
      </c>
      <c r="B735" t="s">
        <v>3280</v>
      </c>
      <c r="C735" t="s">
        <v>3281</v>
      </c>
      <c r="D735" t="s">
        <v>28</v>
      </c>
      <c r="E735" t="s">
        <v>29</v>
      </c>
      <c r="F735" t="s">
        <v>1216</v>
      </c>
      <c r="G735" t="str">
        <f t="shared" si="22"/>
        <v>FVI</v>
      </c>
      <c r="H735" t="s">
        <v>106</v>
      </c>
      <c r="I735" t="s">
        <v>53</v>
      </c>
      <c r="J735" t="str">
        <f t="shared" si="23"/>
        <v>SHIFT A</v>
      </c>
    </row>
    <row r="736" spans="1:10">
      <c r="A736">
        <v>900</v>
      </c>
      <c r="B736" t="s">
        <v>3282</v>
      </c>
      <c r="C736" t="s">
        <v>3283</v>
      </c>
      <c r="D736" t="s">
        <v>28</v>
      </c>
      <c r="E736" t="s">
        <v>29</v>
      </c>
      <c r="F736" t="s">
        <v>1216</v>
      </c>
      <c r="G736" t="str">
        <f t="shared" si="22"/>
        <v>FVI</v>
      </c>
      <c r="H736" t="s">
        <v>106</v>
      </c>
      <c r="I736" t="s">
        <v>53</v>
      </c>
      <c r="J736" t="str">
        <f t="shared" si="23"/>
        <v>SHIFT A</v>
      </c>
    </row>
    <row r="737" spans="1:10">
      <c r="A737">
        <v>901</v>
      </c>
      <c r="B737" t="s">
        <v>3284</v>
      </c>
      <c r="C737" t="s">
        <v>3285</v>
      </c>
      <c r="D737" t="s">
        <v>28</v>
      </c>
      <c r="E737" t="s">
        <v>29</v>
      </c>
      <c r="F737" t="s">
        <v>1216</v>
      </c>
      <c r="G737" t="str">
        <f t="shared" si="22"/>
        <v>FVI</v>
      </c>
      <c r="H737" t="s">
        <v>106</v>
      </c>
      <c r="I737" t="s">
        <v>53</v>
      </c>
      <c r="J737" t="str">
        <f t="shared" si="23"/>
        <v>SHIFT A</v>
      </c>
    </row>
    <row r="738" spans="1:10">
      <c r="A738">
        <v>902</v>
      </c>
      <c r="B738" t="s">
        <v>3286</v>
      </c>
      <c r="C738" t="s">
        <v>3287</v>
      </c>
      <c r="D738" t="s">
        <v>28</v>
      </c>
      <c r="E738" t="s">
        <v>29</v>
      </c>
      <c r="F738" t="s">
        <v>1216</v>
      </c>
      <c r="G738" t="str">
        <f t="shared" si="22"/>
        <v>FVI</v>
      </c>
      <c r="H738" t="s">
        <v>106</v>
      </c>
      <c r="I738" t="s">
        <v>89</v>
      </c>
      <c r="J738" t="str">
        <f t="shared" si="23"/>
        <v>SHIFT B</v>
      </c>
    </row>
    <row r="739" spans="1:10">
      <c r="A739">
        <v>903</v>
      </c>
      <c r="B739" t="s">
        <v>3288</v>
      </c>
      <c r="C739" t="s">
        <v>3289</v>
      </c>
      <c r="D739" t="s">
        <v>28</v>
      </c>
      <c r="E739" t="s">
        <v>29</v>
      </c>
      <c r="F739" t="s">
        <v>1216</v>
      </c>
      <c r="G739" t="str">
        <f t="shared" si="22"/>
        <v>FVI</v>
      </c>
      <c r="H739" t="s">
        <v>106</v>
      </c>
      <c r="I739" t="s">
        <v>89</v>
      </c>
      <c r="J739" t="str">
        <f t="shared" si="23"/>
        <v>SHIFT B</v>
      </c>
    </row>
    <row r="740" spans="1:10">
      <c r="A740">
        <v>904</v>
      </c>
      <c r="B740" t="s">
        <v>3290</v>
      </c>
      <c r="C740" t="s">
        <v>3291</v>
      </c>
      <c r="D740" t="s">
        <v>28</v>
      </c>
      <c r="E740" t="s">
        <v>29</v>
      </c>
      <c r="F740" t="s">
        <v>1216</v>
      </c>
      <c r="G740" t="str">
        <f t="shared" si="22"/>
        <v>FVI</v>
      </c>
      <c r="H740" t="s">
        <v>106</v>
      </c>
      <c r="I740" t="s">
        <v>146</v>
      </c>
      <c r="J740" t="str">
        <f t="shared" si="23"/>
        <v>SHIFT C</v>
      </c>
    </row>
    <row r="741" spans="1:10">
      <c r="A741">
        <v>906</v>
      </c>
      <c r="B741" t="s">
        <v>3296</v>
      </c>
      <c r="C741" t="s">
        <v>3297</v>
      </c>
      <c r="D741" t="s">
        <v>733</v>
      </c>
      <c r="E741" t="s">
        <v>446</v>
      </c>
      <c r="F741" t="s">
        <v>615</v>
      </c>
      <c r="G741" t="str">
        <f t="shared" si="22"/>
        <v>EQUIPMENT</v>
      </c>
      <c r="H741" t="s">
        <v>34</v>
      </c>
      <c r="I741" t="s">
        <v>146</v>
      </c>
      <c r="J741" t="str">
        <f t="shared" si="23"/>
        <v>SHIFT C</v>
      </c>
    </row>
    <row r="742" spans="1:10">
      <c r="A742">
        <v>907</v>
      </c>
      <c r="B742" t="s">
        <v>3300</v>
      </c>
      <c r="C742" t="s">
        <v>3301</v>
      </c>
      <c r="D742" t="s">
        <v>762</v>
      </c>
      <c r="E742" t="s">
        <v>687</v>
      </c>
      <c r="F742" t="s">
        <v>687</v>
      </c>
      <c r="G742" t="str">
        <f t="shared" si="22"/>
        <v>PRODUCTION CONTROL</v>
      </c>
      <c r="H742" t="s">
        <v>106</v>
      </c>
      <c r="I742" t="s">
        <v>146</v>
      </c>
      <c r="J742" t="str">
        <f t="shared" si="23"/>
        <v>SHIFT C</v>
      </c>
    </row>
    <row r="743" spans="1:10">
      <c r="A743">
        <v>914</v>
      </c>
      <c r="B743" t="s">
        <v>3327</v>
      </c>
      <c r="C743" t="s">
        <v>1154</v>
      </c>
      <c r="D743" t="s">
        <v>499</v>
      </c>
      <c r="E743" t="s">
        <v>29</v>
      </c>
      <c r="F743" t="s">
        <v>30</v>
      </c>
      <c r="G743" t="str">
        <f t="shared" si="22"/>
        <v>DF</v>
      </c>
      <c r="H743" t="s">
        <v>106</v>
      </c>
      <c r="I743" t="s">
        <v>146</v>
      </c>
      <c r="J743" t="str">
        <f t="shared" si="23"/>
        <v>SHIFT C</v>
      </c>
    </row>
    <row r="744" spans="1:10">
      <c r="A744">
        <v>917</v>
      </c>
      <c r="B744" t="s">
        <v>3338</v>
      </c>
      <c r="C744" t="s">
        <v>3339</v>
      </c>
      <c r="D744" t="s">
        <v>28</v>
      </c>
      <c r="E744" t="s">
        <v>491</v>
      </c>
      <c r="F744" t="s">
        <v>950</v>
      </c>
      <c r="G744" t="str">
        <f t="shared" si="22"/>
        <v>QUALITY</v>
      </c>
      <c r="H744" t="s">
        <v>34</v>
      </c>
      <c r="I744" t="s">
        <v>89</v>
      </c>
      <c r="J744" t="str">
        <f t="shared" si="23"/>
        <v>SHIFT B</v>
      </c>
    </row>
    <row r="745" spans="1:10">
      <c r="A745">
        <v>918</v>
      </c>
      <c r="B745" t="s">
        <v>3340</v>
      </c>
      <c r="C745" t="s">
        <v>3341</v>
      </c>
      <c r="D745" t="s">
        <v>28</v>
      </c>
      <c r="E745" t="s">
        <v>29</v>
      </c>
      <c r="F745" t="s">
        <v>62</v>
      </c>
      <c r="G745" t="str">
        <f t="shared" si="22"/>
        <v>CU</v>
      </c>
      <c r="H745" t="s">
        <v>34</v>
      </c>
      <c r="I745" t="s">
        <v>89</v>
      </c>
      <c r="J745" t="str">
        <f t="shared" si="23"/>
        <v>SHIFT B</v>
      </c>
    </row>
    <row r="746" spans="1:10">
      <c r="A746">
        <v>919</v>
      </c>
      <c r="B746" t="s">
        <v>3342</v>
      </c>
      <c r="C746" t="s">
        <v>3343</v>
      </c>
      <c r="D746" t="s">
        <v>28</v>
      </c>
      <c r="E746" t="s">
        <v>29</v>
      </c>
      <c r="F746" t="s">
        <v>62</v>
      </c>
      <c r="G746" t="str">
        <f t="shared" si="22"/>
        <v>CU</v>
      </c>
      <c r="H746" t="s">
        <v>34</v>
      </c>
      <c r="I746" t="s">
        <v>53</v>
      </c>
      <c r="J746" t="str">
        <f t="shared" si="23"/>
        <v>SHIFT A</v>
      </c>
    </row>
    <row r="747" spans="1:10">
      <c r="A747">
        <v>920</v>
      </c>
      <c r="B747" t="s">
        <v>3344</v>
      </c>
      <c r="C747" t="s">
        <v>3345</v>
      </c>
      <c r="D747" t="s">
        <v>28</v>
      </c>
      <c r="E747" t="s">
        <v>491</v>
      </c>
      <c r="F747" t="s">
        <v>1042</v>
      </c>
      <c r="G747" t="str">
        <f t="shared" si="22"/>
        <v>QUALITY</v>
      </c>
      <c r="H747" t="s">
        <v>34</v>
      </c>
      <c r="I747" t="s">
        <v>53</v>
      </c>
      <c r="J747" t="str">
        <f t="shared" si="23"/>
        <v>SHIFT A</v>
      </c>
    </row>
    <row r="748" spans="1:10">
      <c r="A748">
        <v>921</v>
      </c>
      <c r="B748" t="s">
        <v>3346</v>
      </c>
      <c r="C748" t="s">
        <v>3347</v>
      </c>
      <c r="D748" t="s">
        <v>28</v>
      </c>
      <c r="E748" t="s">
        <v>491</v>
      </c>
      <c r="F748" t="s">
        <v>830</v>
      </c>
      <c r="G748" t="str">
        <f t="shared" si="22"/>
        <v>QUALITY</v>
      </c>
      <c r="H748" t="s">
        <v>34</v>
      </c>
      <c r="I748" t="s">
        <v>146</v>
      </c>
      <c r="J748" t="str">
        <f t="shared" si="23"/>
        <v>SHIFT C</v>
      </c>
    </row>
    <row r="749" spans="1:10">
      <c r="A749">
        <v>922</v>
      </c>
      <c r="B749" t="s">
        <v>3348</v>
      </c>
      <c r="C749" t="s">
        <v>3349</v>
      </c>
      <c r="D749" t="s">
        <v>28</v>
      </c>
      <c r="E749" t="s">
        <v>491</v>
      </c>
      <c r="F749" t="s">
        <v>1042</v>
      </c>
      <c r="G749" t="str">
        <f t="shared" si="22"/>
        <v>QUALITY</v>
      </c>
      <c r="H749" t="s">
        <v>34</v>
      </c>
      <c r="I749" t="s">
        <v>146</v>
      </c>
      <c r="J749" t="str">
        <f t="shared" si="23"/>
        <v>SHIFT C</v>
      </c>
    </row>
    <row r="750" spans="1:10">
      <c r="A750">
        <v>923</v>
      </c>
      <c r="B750" t="s">
        <v>3350</v>
      </c>
      <c r="C750" t="s">
        <v>3351</v>
      </c>
      <c r="D750" t="s">
        <v>28</v>
      </c>
      <c r="E750" t="s">
        <v>491</v>
      </c>
      <c r="F750" t="s">
        <v>1042</v>
      </c>
      <c r="G750" t="str">
        <f t="shared" si="22"/>
        <v>QUALITY</v>
      </c>
      <c r="H750" t="s">
        <v>34</v>
      </c>
      <c r="I750" t="s">
        <v>89</v>
      </c>
      <c r="J750" t="str">
        <f t="shared" si="23"/>
        <v>SHIFT B</v>
      </c>
    </row>
    <row r="751" spans="1:10">
      <c r="A751">
        <v>924</v>
      </c>
      <c r="B751" t="s">
        <v>3352</v>
      </c>
      <c r="C751" t="s">
        <v>3353</v>
      </c>
      <c r="D751" t="s">
        <v>28</v>
      </c>
      <c r="E751" t="s">
        <v>29</v>
      </c>
      <c r="F751" t="s">
        <v>56</v>
      </c>
      <c r="G751" t="str">
        <f t="shared" si="22"/>
        <v>AOI</v>
      </c>
      <c r="H751" t="s">
        <v>34</v>
      </c>
      <c r="I751" t="s">
        <v>89</v>
      </c>
      <c r="J751" t="str">
        <f t="shared" si="23"/>
        <v>SHIFT B</v>
      </c>
    </row>
    <row r="752" spans="1:10">
      <c r="A752">
        <v>925</v>
      </c>
      <c r="B752" t="s">
        <v>3354</v>
      </c>
      <c r="C752" t="s">
        <v>3355</v>
      </c>
      <c r="D752" t="s">
        <v>28</v>
      </c>
      <c r="E752" t="s">
        <v>29</v>
      </c>
      <c r="F752" t="s">
        <v>1216</v>
      </c>
      <c r="G752" t="str">
        <f t="shared" si="22"/>
        <v>FVI</v>
      </c>
      <c r="H752" t="s">
        <v>34</v>
      </c>
      <c r="I752" t="s">
        <v>53</v>
      </c>
      <c r="J752" t="str">
        <f t="shared" si="23"/>
        <v>SHIFT A</v>
      </c>
    </row>
    <row r="753" spans="1:10">
      <c r="A753">
        <v>926</v>
      </c>
      <c r="B753" t="s">
        <v>3356</v>
      </c>
      <c r="C753" t="s">
        <v>3357</v>
      </c>
      <c r="D753" t="s">
        <v>28</v>
      </c>
      <c r="E753" t="s">
        <v>491</v>
      </c>
      <c r="F753" t="s">
        <v>1042</v>
      </c>
      <c r="G753" t="str">
        <f t="shared" si="22"/>
        <v>QUALITY</v>
      </c>
      <c r="H753" t="s">
        <v>34</v>
      </c>
      <c r="I753" t="s">
        <v>146</v>
      </c>
      <c r="J753" t="str">
        <f t="shared" si="23"/>
        <v>SHIFT C</v>
      </c>
    </row>
    <row r="754" spans="1:10">
      <c r="A754">
        <v>927</v>
      </c>
      <c r="B754" t="s">
        <v>3358</v>
      </c>
      <c r="C754" t="s">
        <v>3359</v>
      </c>
      <c r="D754" t="s">
        <v>28</v>
      </c>
      <c r="E754" t="s">
        <v>29</v>
      </c>
      <c r="F754" t="s">
        <v>62</v>
      </c>
      <c r="G754" t="str">
        <f t="shared" si="22"/>
        <v>CU</v>
      </c>
      <c r="H754" t="s">
        <v>34</v>
      </c>
      <c r="I754" t="s">
        <v>53</v>
      </c>
      <c r="J754" t="str">
        <f t="shared" si="23"/>
        <v>SHIFT A</v>
      </c>
    </row>
    <row r="755" spans="1:10">
      <c r="A755">
        <v>928</v>
      </c>
      <c r="B755" t="s">
        <v>3360</v>
      </c>
      <c r="C755" t="s">
        <v>3361</v>
      </c>
      <c r="D755" t="s">
        <v>28</v>
      </c>
      <c r="E755" t="s">
        <v>29</v>
      </c>
      <c r="F755" t="s">
        <v>85</v>
      </c>
      <c r="G755" t="str">
        <f t="shared" si="22"/>
        <v>DRILL</v>
      </c>
      <c r="H755" t="s">
        <v>34</v>
      </c>
      <c r="I755" t="s">
        <v>146</v>
      </c>
      <c r="J755" t="str">
        <f t="shared" si="23"/>
        <v>SHIFT C</v>
      </c>
    </row>
    <row r="756" spans="1:10">
      <c r="A756">
        <v>929</v>
      </c>
      <c r="B756" t="s">
        <v>3362</v>
      </c>
      <c r="C756" t="s">
        <v>3363</v>
      </c>
      <c r="D756" t="s">
        <v>28</v>
      </c>
      <c r="E756" t="s">
        <v>491</v>
      </c>
      <c r="F756" t="s">
        <v>978</v>
      </c>
      <c r="G756" t="str">
        <f t="shared" si="22"/>
        <v>QUALITY</v>
      </c>
      <c r="H756" t="s">
        <v>34</v>
      </c>
      <c r="I756" t="s">
        <v>53</v>
      </c>
      <c r="J756" t="str">
        <f t="shared" si="23"/>
        <v>SHIFT A</v>
      </c>
    </row>
    <row r="757" spans="1:10">
      <c r="A757">
        <v>930</v>
      </c>
      <c r="B757" t="s">
        <v>3364</v>
      </c>
      <c r="C757" t="s">
        <v>3365</v>
      </c>
      <c r="D757" t="s">
        <v>28</v>
      </c>
      <c r="E757" t="s">
        <v>29</v>
      </c>
      <c r="F757" t="s">
        <v>62</v>
      </c>
      <c r="G757" t="str">
        <f t="shared" si="22"/>
        <v>CU</v>
      </c>
      <c r="H757" t="s">
        <v>34</v>
      </c>
      <c r="I757" t="s">
        <v>53</v>
      </c>
      <c r="J757" t="str">
        <f t="shared" si="23"/>
        <v>SHIFT A</v>
      </c>
    </row>
    <row r="758" spans="1:10">
      <c r="A758">
        <v>931</v>
      </c>
      <c r="B758" t="s">
        <v>3366</v>
      </c>
      <c r="C758" t="s">
        <v>3367</v>
      </c>
      <c r="D758" t="s">
        <v>28</v>
      </c>
      <c r="E758" t="s">
        <v>491</v>
      </c>
      <c r="F758" t="s">
        <v>978</v>
      </c>
      <c r="G758" t="str">
        <f t="shared" si="22"/>
        <v>QUALITY</v>
      </c>
      <c r="H758" t="s">
        <v>34</v>
      </c>
      <c r="I758" t="s">
        <v>146</v>
      </c>
      <c r="J758" t="str">
        <f t="shared" si="23"/>
        <v>SHIFT C</v>
      </c>
    </row>
    <row r="759" spans="1:10">
      <c r="A759">
        <v>932</v>
      </c>
      <c r="B759" t="s">
        <v>3368</v>
      </c>
      <c r="C759" t="s">
        <v>3369</v>
      </c>
      <c r="D759" t="s">
        <v>28</v>
      </c>
      <c r="E759" t="s">
        <v>491</v>
      </c>
      <c r="F759" t="s">
        <v>830</v>
      </c>
      <c r="G759" t="str">
        <f t="shared" si="22"/>
        <v>QUALITY</v>
      </c>
      <c r="H759" t="s">
        <v>34</v>
      </c>
      <c r="I759" t="s">
        <v>89</v>
      </c>
      <c r="J759" t="str">
        <f t="shared" si="23"/>
        <v>SHIFT B</v>
      </c>
    </row>
    <row r="760" spans="1:10">
      <c r="A760">
        <v>933</v>
      </c>
      <c r="B760" t="s">
        <v>3370</v>
      </c>
      <c r="C760" t="s">
        <v>3371</v>
      </c>
      <c r="D760" t="s">
        <v>28</v>
      </c>
      <c r="E760" t="s">
        <v>29</v>
      </c>
      <c r="F760" t="s">
        <v>30</v>
      </c>
      <c r="G760" t="str">
        <f t="shared" si="22"/>
        <v>DF</v>
      </c>
      <c r="H760" t="s">
        <v>34</v>
      </c>
      <c r="I760" t="s">
        <v>146</v>
      </c>
      <c r="J760" t="str">
        <f t="shared" si="23"/>
        <v>SHIFT C</v>
      </c>
    </row>
    <row r="761" spans="1:10">
      <c r="A761">
        <v>934</v>
      </c>
      <c r="B761" t="s">
        <v>3372</v>
      </c>
      <c r="C761" t="s">
        <v>3373</v>
      </c>
      <c r="D761" t="s">
        <v>28</v>
      </c>
      <c r="E761" t="s">
        <v>491</v>
      </c>
      <c r="F761" t="s">
        <v>1042</v>
      </c>
      <c r="G761" t="str">
        <f t="shared" si="22"/>
        <v>QUALITY</v>
      </c>
      <c r="H761" t="s">
        <v>34</v>
      </c>
      <c r="I761" t="s">
        <v>89</v>
      </c>
      <c r="J761" t="str">
        <f t="shared" si="23"/>
        <v>SHIFT B</v>
      </c>
    </row>
    <row r="762" spans="1:10">
      <c r="A762">
        <v>935</v>
      </c>
      <c r="B762" t="s">
        <v>3374</v>
      </c>
      <c r="C762" t="s">
        <v>3375</v>
      </c>
      <c r="D762" t="s">
        <v>28</v>
      </c>
      <c r="E762" t="s">
        <v>29</v>
      </c>
      <c r="F762" t="s">
        <v>79</v>
      </c>
      <c r="G762" t="str">
        <f t="shared" si="22"/>
        <v>SM</v>
      </c>
      <c r="H762" t="s">
        <v>34</v>
      </c>
      <c r="I762" t="s">
        <v>89</v>
      </c>
      <c r="J762" t="str">
        <f t="shared" si="23"/>
        <v>SHIFT B</v>
      </c>
    </row>
    <row r="763" spans="1:10">
      <c r="A763">
        <v>936</v>
      </c>
      <c r="B763" t="s">
        <v>3376</v>
      </c>
      <c r="C763" t="s">
        <v>3377</v>
      </c>
      <c r="D763" t="s">
        <v>28</v>
      </c>
      <c r="E763" t="s">
        <v>29</v>
      </c>
      <c r="F763" t="s">
        <v>62</v>
      </c>
      <c r="G763" t="str">
        <f t="shared" si="22"/>
        <v>CU</v>
      </c>
      <c r="H763" t="s">
        <v>34</v>
      </c>
      <c r="I763" t="s">
        <v>146</v>
      </c>
      <c r="J763" t="str">
        <f t="shared" si="23"/>
        <v>SHIFT C</v>
      </c>
    </row>
    <row r="764" spans="1:10">
      <c r="A764">
        <v>937</v>
      </c>
      <c r="B764" t="s">
        <v>3378</v>
      </c>
      <c r="C764" t="s">
        <v>3379</v>
      </c>
      <c r="D764" t="s">
        <v>28</v>
      </c>
      <c r="E764" t="s">
        <v>29</v>
      </c>
      <c r="F764" t="s">
        <v>72</v>
      </c>
      <c r="G764" t="str">
        <f t="shared" si="22"/>
        <v>BBT</v>
      </c>
      <c r="H764" t="s">
        <v>34</v>
      </c>
      <c r="I764" t="s">
        <v>53</v>
      </c>
      <c r="J764" t="str">
        <f t="shared" si="23"/>
        <v>SHIFT A</v>
      </c>
    </row>
    <row r="765" spans="1:10">
      <c r="A765">
        <v>938</v>
      </c>
      <c r="B765" t="s">
        <v>3380</v>
      </c>
      <c r="C765" t="s">
        <v>3381</v>
      </c>
      <c r="D765" t="s">
        <v>28</v>
      </c>
      <c r="E765" t="s">
        <v>491</v>
      </c>
      <c r="F765" t="s">
        <v>830</v>
      </c>
      <c r="G765" t="str">
        <f t="shared" si="22"/>
        <v>QUALITY</v>
      </c>
      <c r="H765" t="s">
        <v>34</v>
      </c>
      <c r="I765" t="s">
        <v>53</v>
      </c>
      <c r="J765" t="str">
        <f t="shared" si="23"/>
        <v>SHIFT A</v>
      </c>
    </row>
    <row r="766" spans="1:10">
      <c r="A766">
        <v>939</v>
      </c>
      <c r="B766" t="s">
        <v>3382</v>
      </c>
      <c r="C766" t="s">
        <v>3383</v>
      </c>
      <c r="D766" t="s">
        <v>28</v>
      </c>
      <c r="E766" t="s">
        <v>29</v>
      </c>
      <c r="F766" t="s">
        <v>62</v>
      </c>
      <c r="G766" t="str">
        <f t="shared" si="22"/>
        <v>CU</v>
      </c>
      <c r="H766" t="s">
        <v>34</v>
      </c>
      <c r="I766" t="s">
        <v>146</v>
      </c>
      <c r="J766" t="str">
        <f t="shared" si="23"/>
        <v>SHIFT C</v>
      </c>
    </row>
    <row r="767" spans="1:10">
      <c r="A767">
        <v>940</v>
      </c>
      <c r="B767" t="s">
        <v>3384</v>
      </c>
      <c r="C767" t="s">
        <v>3385</v>
      </c>
      <c r="D767" t="s">
        <v>28</v>
      </c>
      <c r="E767" t="s">
        <v>29</v>
      </c>
      <c r="F767" t="s">
        <v>30</v>
      </c>
      <c r="G767" t="str">
        <f t="shared" si="22"/>
        <v>DF</v>
      </c>
      <c r="H767" t="s">
        <v>34</v>
      </c>
      <c r="I767" t="s">
        <v>89</v>
      </c>
      <c r="J767" t="str">
        <f t="shared" si="23"/>
        <v>SHIFT B</v>
      </c>
    </row>
    <row r="768" spans="1:10">
      <c r="A768">
        <v>941</v>
      </c>
      <c r="B768" t="s">
        <v>3386</v>
      </c>
      <c r="C768" t="s">
        <v>3387</v>
      </c>
      <c r="D768" t="s">
        <v>28</v>
      </c>
      <c r="E768" t="s">
        <v>29</v>
      </c>
      <c r="F768" t="s">
        <v>537</v>
      </c>
      <c r="G768" t="str">
        <f t="shared" si="22"/>
        <v>MLB</v>
      </c>
      <c r="H768" t="s">
        <v>34</v>
      </c>
      <c r="I768" t="s">
        <v>146</v>
      </c>
      <c r="J768" t="str">
        <f t="shared" si="23"/>
        <v>SHIFT C</v>
      </c>
    </row>
    <row r="769" spans="1:10">
      <c r="A769">
        <v>942</v>
      </c>
      <c r="B769" t="s">
        <v>3388</v>
      </c>
      <c r="C769" t="s">
        <v>3389</v>
      </c>
      <c r="D769" t="s">
        <v>28</v>
      </c>
      <c r="E769" t="s">
        <v>29</v>
      </c>
      <c r="F769" t="s">
        <v>30</v>
      </c>
      <c r="G769" t="str">
        <f t="shared" si="22"/>
        <v>DF</v>
      </c>
      <c r="H769" t="s">
        <v>34</v>
      </c>
      <c r="I769" t="s">
        <v>53</v>
      </c>
      <c r="J769" t="str">
        <f t="shared" si="23"/>
        <v>SHIFT A</v>
      </c>
    </row>
    <row r="770" spans="1:10">
      <c r="A770">
        <v>943</v>
      </c>
      <c r="B770" t="s">
        <v>3390</v>
      </c>
      <c r="C770" t="s">
        <v>3391</v>
      </c>
      <c r="D770" t="s">
        <v>28</v>
      </c>
      <c r="E770" t="s">
        <v>29</v>
      </c>
      <c r="F770" t="s">
        <v>30</v>
      </c>
      <c r="G770" t="str">
        <f t="shared" si="22"/>
        <v>DF</v>
      </c>
      <c r="H770" t="s">
        <v>34</v>
      </c>
      <c r="I770" t="s">
        <v>89</v>
      </c>
      <c r="J770" t="str">
        <f t="shared" si="23"/>
        <v>SHIFT B</v>
      </c>
    </row>
    <row r="771" spans="1:10">
      <c r="A771">
        <v>944</v>
      </c>
      <c r="B771" t="s">
        <v>3392</v>
      </c>
      <c r="C771" t="s">
        <v>3393</v>
      </c>
      <c r="D771" t="s">
        <v>28</v>
      </c>
      <c r="E771" t="s">
        <v>491</v>
      </c>
      <c r="F771" t="s">
        <v>978</v>
      </c>
      <c r="G771" t="str">
        <f t="shared" si="22"/>
        <v>QUALITY</v>
      </c>
      <c r="H771" t="s">
        <v>34</v>
      </c>
      <c r="I771" t="s">
        <v>89</v>
      </c>
      <c r="J771" t="str">
        <f t="shared" si="23"/>
        <v>SHIFT B</v>
      </c>
    </row>
    <row r="772" spans="1:10">
      <c r="A772">
        <v>945</v>
      </c>
      <c r="B772" t="s">
        <v>3394</v>
      </c>
      <c r="C772" t="s">
        <v>3395</v>
      </c>
      <c r="D772" t="s">
        <v>28</v>
      </c>
      <c r="E772" t="s">
        <v>491</v>
      </c>
      <c r="F772" t="s">
        <v>950</v>
      </c>
      <c r="G772" t="str">
        <f t="shared" ref="G772:G835" si="24">IF(OR(ISNUMBER(SEARCH("P1",F772)),ISNUMBER(SEARCH("P2",F772)),ISNUMBER(SEARCH("P3",F772)),ISNUMBER(SEARCH("P4",F772)),ISNUMBER(SEARCH("P5",F772))),"EQUIPMENT",
IF(ISNUMBER(SEARCH("Warehouse",F772)),"WAREHOUSE",
IF(ISNUMBER(SEARCH("WWTP",F772)),"ENVIRONMENT",
IF(OR(ISNUMBER(SEARCH("QC",F772)),ISNUMBER(SEARCH("RELIABILITY",F772)),ISNUMBER(SEARCH("OQA",F772)),ISNUMBER(SEARCH("CHEMICAL",F772))),"QUALITY",
IF(OR(ISNUMBER(SEARCH("OPERATION",F772)),ISNUMBER(SEARCH("PSM",F772))),"HS",
IF(ISNUMBER(SEARCH("FVI",F772)),"FVI",
IF(OR(ISNUMBER(SEARCH("ELECTRICITY",F772)),ISNUMBER(SEARCH("FACILITIES",F772)),ISNUMBER(SEARCH("MECHANICAL",F772))),"FACILITY",F772)))))))</f>
        <v>QUALITY</v>
      </c>
      <c r="H772" t="s">
        <v>34</v>
      </c>
      <c r="I772" t="s">
        <v>53</v>
      </c>
      <c r="J772" t="str">
        <f t="shared" ref="J772:J835" si="25">IF(ISNUMBER(SEARCH("GROUP C",I772)),"SHIFT C",
IF(ISNUMBER(SEARCH("GROUP A",I772)),"SHIFT A",
IF(ISNUMBER(SEARCH("GROUP O",I772)),"SHIFT O",
IF(ISNUMBER(SEARCH("GROUP B",I772)),"SHIFT B",
IF(ISNUMBER(SEARCH("GROUP E",I772)),"SHIFT E","")))))</f>
        <v>SHIFT A</v>
      </c>
    </row>
    <row r="773" spans="1:10">
      <c r="A773">
        <v>946</v>
      </c>
      <c r="B773" t="s">
        <v>3396</v>
      </c>
      <c r="C773" t="s">
        <v>3397</v>
      </c>
      <c r="D773" t="s">
        <v>28</v>
      </c>
      <c r="E773" t="s">
        <v>491</v>
      </c>
      <c r="F773" t="s">
        <v>950</v>
      </c>
      <c r="G773" t="str">
        <f t="shared" si="24"/>
        <v>QUALITY</v>
      </c>
      <c r="H773" t="s">
        <v>34</v>
      </c>
      <c r="I773" t="s">
        <v>146</v>
      </c>
      <c r="J773" t="str">
        <f t="shared" si="25"/>
        <v>SHIFT C</v>
      </c>
    </row>
    <row r="774" spans="1:10">
      <c r="A774">
        <v>948</v>
      </c>
      <c r="B774" t="s">
        <v>3401</v>
      </c>
      <c r="C774" t="s">
        <v>3402</v>
      </c>
      <c r="D774" t="s">
        <v>762</v>
      </c>
      <c r="E774" t="s">
        <v>446</v>
      </c>
      <c r="F774" t="s">
        <v>860</v>
      </c>
      <c r="G774" t="str">
        <f t="shared" si="24"/>
        <v>EQUIPMENT</v>
      </c>
      <c r="H774" t="s">
        <v>34</v>
      </c>
      <c r="I774" t="s">
        <v>53</v>
      </c>
      <c r="J774" t="str">
        <f t="shared" si="25"/>
        <v>SHIFT A</v>
      </c>
    </row>
    <row r="775" spans="1:10">
      <c r="A775">
        <v>949</v>
      </c>
      <c r="B775" t="s">
        <v>3405</v>
      </c>
      <c r="C775" t="s">
        <v>3406</v>
      </c>
      <c r="D775" t="s">
        <v>733</v>
      </c>
      <c r="E775" t="s">
        <v>744</v>
      </c>
      <c r="F775" t="s">
        <v>38</v>
      </c>
      <c r="G775" t="str">
        <f t="shared" si="24"/>
        <v>HS</v>
      </c>
      <c r="H775" t="s">
        <v>34</v>
      </c>
      <c r="I775" t="s">
        <v>89</v>
      </c>
      <c r="J775" t="str">
        <f t="shared" si="25"/>
        <v>SHIFT B</v>
      </c>
    </row>
    <row r="776" spans="1:10">
      <c r="A776">
        <v>950</v>
      </c>
      <c r="B776" t="s">
        <v>3409</v>
      </c>
      <c r="C776" t="s">
        <v>3410</v>
      </c>
      <c r="D776" t="s">
        <v>762</v>
      </c>
      <c r="E776" t="s">
        <v>706</v>
      </c>
      <c r="F776" t="s">
        <v>707</v>
      </c>
      <c r="G776" t="str">
        <f t="shared" si="24"/>
        <v>FACILITY</v>
      </c>
      <c r="H776" t="s">
        <v>34</v>
      </c>
      <c r="I776" t="s">
        <v>146</v>
      </c>
      <c r="J776" t="str">
        <f t="shared" si="25"/>
        <v>SHIFT C</v>
      </c>
    </row>
    <row r="777" spans="1:10">
      <c r="A777">
        <v>952</v>
      </c>
      <c r="B777" t="s">
        <v>3417</v>
      </c>
      <c r="C777" t="s">
        <v>3418</v>
      </c>
      <c r="D777" t="s">
        <v>28</v>
      </c>
      <c r="E777" t="s">
        <v>29</v>
      </c>
      <c r="F777" t="s">
        <v>72</v>
      </c>
      <c r="G777" t="str">
        <f t="shared" si="24"/>
        <v>BBT</v>
      </c>
      <c r="H777" t="s">
        <v>34</v>
      </c>
      <c r="I777" t="s">
        <v>146</v>
      </c>
      <c r="J777" t="str">
        <f t="shared" si="25"/>
        <v>SHIFT C</v>
      </c>
    </row>
    <row r="778" spans="1:10">
      <c r="A778">
        <v>953</v>
      </c>
      <c r="B778" t="s">
        <v>3420</v>
      </c>
      <c r="C778" t="s">
        <v>3421</v>
      </c>
      <c r="D778" t="s">
        <v>28</v>
      </c>
      <c r="E778" t="s">
        <v>687</v>
      </c>
      <c r="F778" t="s">
        <v>687</v>
      </c>
      <c r="G778" t="str">
        <f t="shared" si="24"/>
        <v>PRODUCTION CONTROL</v>
      </c>
      <c r="H778" t="s">
        <v>34</v>
      </c>
      <c r="I778" t="s">
        <v>53</v>
      </c>
      <c r="J778" t="str">
        <f t="shared" si="25"/>
        <v>SHIFT A</v>
      </c>
    </row>
    <row r="779" spans="1:10">
      <c r="A779">
        <v>954</v>
      </c>
      <c r="B779" t="s">
        <v>3423</v>
      </c>
      <c r="C779" t="s">
        <v>3424</v>
      </c>
      <c r="D779" t="s">
        <v>28</v>
      </c>
      <c r="E779" t="s">
        <v>29</v>
      </c>
      <c r="F779" t="s">
        <v>48</v>
      </c>
      <c r="G779" t="str">
        <f t="shared" si="24"/>
        <v>ROUTER</v>
      </c>
      <c r="H779" t="s">
        <v>34</v>
      </c>
      <c r="I779" t="s">
        <v>146</v>
      </c>
      <c r="J779" t="str">
        <f t="shared" si="25"/>
        <v>SHIFT C</v>
      </c>
    </row>
    <row r="780" spans="1:10">
      <c r="A780">
        <v>955</v>
      </c>
      <c r="B780" t="s">
        <v>3427</v>
      </c>
      <c r="C780" t="s">
        <v>3428</v>
      </c>
      <c r="D780" t="s">
        <v>28</v>
      </c>
      <c r="E780" t="s">
        <v>417</v>
      </c>
      <c r="F780" t="s">
        <v>674</v>
      </c>
      <c r="G780" t="str">
        <f t="shared" si="24"/>
        <v>WAREHOUSE</v>
      </c>
      <c r="H780" t="s">
        <v>34</v>
      </c>
      <c r="I780" t="s">
        <v>89</v>
      </c>
      <c r="J780" t="str">
        <f t="shared" si="25"/>
        <v>SHIFT B</v>
      </c>
    </row>
    <row r="781" spans="1:10">
      <c r="A781">
        <v>956</v>
      </c>
      <c r="B781" t="s">
        <v>3431</v>
      </c>
      <c r="C781" t="s">
        <v>3432</v>
      </c>
      <c r="D781" t="s">
        <v>28</v>
      </c>
      <c r="E781" t="s">
        <v>491</v>
      </c>
      <c r="F781" t="s">
        <v>950</v>
      </c>
      <c r="G781" t="str">
        <f t="shared" si="24"/>
        <v>QUALITY</v>
      </c>
      <c r="H781" t="s">
        <v>34</v>
      </c>
      <c r="I781" t="s">
        <v>89</v>
      </c>
      <c r="J781" t="str">
        <f t="shared" si="25"/>
        <v>SHIFT B</v>
      </c>
    </row>
    <row r="782" spans="1:10">
      <c r="A782">
        <v>957</v>
      </c>
      <c r="B782" t="s">
        <v>3435</v>
      </c>
      <c r="C782" t="s">
        <v>3436</v>
      </c>
      <c r="D782" t="s">
        <v>28</v>
      </c>
      <c r="E782" t="s">
        <v>29</v>
      </c>
      <c r="F782" t="s">
        <v>1216</v>
      </c>
      <c r="G782" t="str">
        <f t="shared" si="24"/>
        <v>FVI</v>
      </c>
      <c r="H782" t="s">
        <v>106</v>
      </c>
      <c r="I782" t="s">
        <v>146</v>
      </c>
      <c r="J782" t="str">
        <f t="shared" si="25"/>
        <v>SHIFT C</v>
      </c>
    </row>
    <row r="783" spans="1:10">
      <c r="A783">
        <v>958</v>
      </c>
      <c r="B783" t="s">
        <v>3439</v>
      </c>
      <c r="C783" t="s">
        <v>3440</v>
      </c>
      <c r="D783" t="s">
        <v>28</v>
      </c>
      <c r="E783" t="s">
        <v>29</v>
      </c>
      <c r="F783" t="s">
        <v>72</v>
      </c>
      <c r="G783" t="str">
        <f t="shared" si="24"/>
        <v>BBT</v>
      </c>
      <c r="H783" t="s">
        <v>34</v>
      </c>
      <c r="I783" t="s">
        <v>53</v>
      </c>
      <c r="J783" t="str">
        <f t="shared" si="25"/>
        <v>SHIFT A</v>
      </c>
    </row>
    <row r="784" spans="1:10">
      <c r="A784">
        <v>959</v>
      </c>
      <c r="B784" t="s">
        <v>3443</v>
      </c>
      <c r="C784" t="s">
        <v>3444</v>
      </c>
      <c r="D784" t="s">
        <v>28</v>
      </c>
      <c r="E784" t="s">
        <v>29</v>
      </c>
      <c r="F784" t="s">
        <v>123</v>
      </c>
      <c r="G784" t="str">
        <f t="shared" si="24"/>
        <v>PACKING</v>
      </c>
      <c r="H784" t="s">
        <v>34</v>
      </c>
      <c r="I784" t="s">
        <v>53</v>
      </c>
      <c r="J784" t="str">
        <f t="shared" si="25"/>
        <v>SHIFT A</v>
      </c>
    </row>
    <row r="785" spans="1:10">
      <c r="A785">
        <v>960</v>
      </c>
      <c r="B785" t="s">
        <v>3447</v>
      </c>
      <c r="C785" t="s">
        <v>3448</v>
      </c>
      <c r="D785" t="s">
        <v>1064</v>
      </c>
      <c r="E785" t="s">
        <v>29</v>
      </c>
      <c r="F785" t="s">
        <v>30</v>
      </c>
      <c r="G785" t="str">
        <f t="shared" si="24"/>
        <v>DF</v>
      </c>
      <c r="H785" t="s">
        <v>34</v>
      </c>
      <c r="I785" t="s">
        <v>53</v>
      </c>
      <c r="J785" t="str">
        <f t="shared" si="25"/>
        <v>SHIFT A</v>
      </c>
    </row>
    <row r="786" spans="1:10">
      <c r="A786">
        <v>961</v>
      </c>
      <c r="B786" t="s">
        <v>3451</v>
      </c>
      <c r="C786" t="s">
        <v>3452</v>
      </c>
      <c r="D786" t="s">
        <v>28</v>
      </c>
      <c r="E786" t="s">
        <v>29</v>
      </c>
      <c r="F786" t="s">
        <v>1216</v>
      </c>
      <c r="G786" t="str">
        <f t="shared" si="24"/>
        <v>FVI</v>
      </c>
      <c r="H786" t="s">
        <v>106</v>
      </c>
      <c r="I786" t="s">
        <v>53</v>
      </c>
      <c r="J786" t="str">
        <f t="shared" si="25"/>
        <v>SHIFT A</v>
      </c>
    </row>
    <row r="787" spans="1:10">
      <c r="A787">
        <v>962</v>
      </c>
      <c r="B787" t="s">
        <v>3455</v>
      </c>
      <c r="C787" t="s">
        <v>3456</v>
      </c>
      <c r="D787" t="s">
        <v>28</v>
      </c>
      <c r="E787" t="s">
        <v>29</v>
      </c>
      <c r="F787" t="s">
        <v>56</v>
      </c>
      <c r="G787" t="str">
        <f t="shared" si="24"/>
        <v>AOI</v>
      </c>
      <c r="H787" t="s">
        <v>106</v>
      </c>
      <c r="I787" t="s">
        <v>53</v>
      </c>
      <c r="J787" t="str">
        <f t="shared" si="25"/>
        <v>SHIFT A</v>
      </c>
    </row>
    <row r="788" spans="1:10">
      <c r="A788">
        <v>963</v>
      </c>
      <c r="B788" t="s">
        <v>3459</v>
      </c>
      <c r="C788" t="s">
        <v>3460</v>
      </c>
      <c r="D788" t="s">
        <v>28</v>
      </c>
      <c r="E788" t="s">
        <v>29</v>
      </c>
      <c r="F788" t="s">
        <v>72</v>
      </c>
      <c r="G788" t="str">
        <f t="shared" si="24"/>
        <v>BBT</v>
      </c>
      <c r="H788" t="s">
        <v>34</v>
      </c>
      <c r="I788" t="s">
        <v>89</v>
      </c>
      <c r="J788" t="str">
        <f t="shared" si="25"/>
        <v>SHIFT B</v>
      </c>
    </row>
    <row r="789" spans="1:10">
      <c r="A789">
        <v>964</v>
      </c>
      <c r="B789" t="s">
        <v>3463</v>
      </c>
      <c r="C789" t="s">
        <v>3464</v>
      </c>
      <c r="D789" t="s">
        <v>28</v>
      </c>
      <c r="E789" t="s">
        <v>29</v>
      </c>
      <c r="F789" t="s">
        <v>1216</v>
      </c>
      <c r="G789" t="str">
        <f t="shared" si="24"/>
        <v>FVI</v>
      </c>
      <c r="H789" t="s">
        <v>106</v>
      </c>
      <c r="I789" t="s">
        <v>146</v>
      </c>
      <c r="J789" t="str">
        <f t="shared" si="25"/>
        <v>SHIFT C</v>
      </c>
    </row>
    <row r="790" spans="1:10">
      <c r="A790">
        <v>965</v>
      </c>
      <c r="B790" t="s">
        <v>3467</v>
      </c>
      <c r="C790" t="s">
        <v>3468</v>
      </c>
      <c r="D790" t="s">
        <v>28</v>
      </c>
      <c r="E790" t="s">
        <v>491</v>
      </c>
      <c r="F790" t="s">
        <v>950</v>
      </c>
      <c r="G790" t="str">
        <f t="shared" si="24"/>
        <v>QUALITY</v>
      </c>
      <c r="H790" t="s">
        <v>34</v>
      </c>
      <c r="I790" t="s">
        <v>146</v>
      </c>
      <c r="J790" t="str">
        <f t="shared" si="25"/>
        <v>SHIFT C</v>
      </c>
    </row>
    <row r="791" spans="1:10">
      <c r="A791">
        <v>966</v>
      </c>
      <c r="B791" t="s">
        <v>3471</v>
      </c>
      <c r="C791" t="s">
        <v>3472</v>
      </c>
      <c r="D791" t="s">
        <v>28</v>
      </c>
      <c r="E791" t="s">
        <v>29</v>
      </c>
      <c r="F791" t="s">
        <v>85</v>
      </c>
      <c r="G791" t="str">
        <f t="shared" si="24"/>
        <v>DRILL</v>
      </c>
      <c r="H791" t="s">
        <v>106</v>
      </c>
      <c r="I791" t="s">
        <v>53</v>
      </c>
      <c r="J791" t="str">
        <f t="shared" si="25"/>
        <v>SHIFT A</v>
      </c>
    </row>
    <row r="792" spans="1:10">
      <c r="A792">
        <v>967</v>
      </c>
      <c r="B792" t="s">
        <v>3475</v>
      </c>
      <c r="C792" t="s">
        <v>3476</v>
      </c>
      <c r="D792" t="s">
        <v>28</v>
      </c>
      <c r="E792" t="s">
        <v>29</v>
      </c>
      <c r="F792" t="s">
        <v>1216</v>
      </c>
      <c r="G792" t="str">
        <f t="shared" si="24"/>
        <v>FVI</v>
      </c>
      <c r="H792" t="s">
        <v>106</v>
      </c>
      <c r="I792" t="s">
        <v>89</v>
      </c>
      <c r="J792" t="str">
        <f t="shared" si="25"/>
        <v>SHIFT B</v>
      </c>
    </row>
    <row r="793" spans="1:10">
      <c r="A793">
        <v>968</v>
      </c>
      <c r="B793" t="s">
        <v>3479</v>
      </c>
      <c r="C793" t="s">
        <v>3480</v>
      </c>
      <c r="D793" t="s">
        <v>28</v>
      </c>
      <c r="E793" t="s">
        <v>29</v>
      </c>
      <c r="F793" t="s">
        <v>680</v>
      </c>
      <c r="G793" t="str">
        <f t="shared" si="24"/>
        <v>CHAMFER</v>
      </c>
      <c r="H793" t="s">
        <v>106</v>
      </c>
      <c r="I793" t="s">
        <v>89</v>
      </c>
      <c r="J793" t="str">
        <f t="shared" si="25"/>
        <v>SHIFT B</v>
      </c>
    </row>
    <row r="794" spans="1:10">
      <c r="A794">
        <v>969</v>
      </c>
      <c r="B794" t="s">
        <v>3483</v>
      </c>
      <c r="C794" t="s">
        <v>3484</v>
      </c>
      <c r="D794" t="s">
        <v>28</v>
      </c>
      <c r="E794" t="s">
        <v>29</v>
      </c>
      <c r="F794" t="s">
        <v>537</v>
      </c>
      <c r="G794" t="str">
        <f t="shared" si="24"/>
        <v>MLB</v>
      </c>
      <c r="H794" t="s">
        <v>106</v>
      </c>
      <c r="I794" t="s">
        <v>89</v>
      </c>
      <c r="J794" t="str">
        <f t="shared" si="25"/>
        <v>SHIFT B</v>
      </c>
    </row>
    <row r="795" spans="1:10">
      <c r="A795">
        <v>970</v>
      </c>
      <c r="B795" t="s">
        <v>3486</v>
      </c>
      <c r="C795" t="s">
        <v>3487</v>
      </c>
      <c r="D795" t="s">
        <v>28</v>
      </c>
      <c r="E795" t="s">
        <v>29</v>
      </c>
      <c r="F795" t="s">
        <v>72</v>
      </c>
      <c r="G795" t="str">
        <f t="shared" si="24"/>
        <v>BBT</v>
      </c>
      <c r="H795" t="s">
        <v>34</v>
      </c>
      <c r="I795" t="s">
        <v>146</v>
      </c>
      <c r="J795" t="str">
        <f t="shared" si="25"/>
        <v>SHIFT C</v>
      </c>
    </row>
    <row r="796" spans="1:10">
      <c r="A796">
        <v>971</v>
      </c>
      <c r="B796" t="s">
        <v>3489</v>
      </c>
      <c r="C796" t="s">
        <v>3490</v>
      </c>
      <c r="D796" t="s">
        <v>28</v>
      </c>
      <c r="E796" t="s">
        <v>29</v>
      </c>
      <c r="F796" t="s">
        <v>85</v>
      </c>
      <c r="G796" t="str">
        <f t="shared" si="24"/>
        <v>DRILL</v>
      </c>
      <c r="H796" t="s">
        <v>34</v>
      </c>
      <c r="I796" t="s">
        <v>89</v>
      </c>
      <c r="J796" t="str">
        <f t="shared" si="25"/>
        <v>SHIFT B</v>
      </c>
    </row>
    <row r="797" spans="1:10">
      <c r="A797">
        <v>972</v>
      </c>
      <c r="B797" t="s">
        <v>3492</v>
      </c>
      <c r="C797" t="s">
        <v>3493</v>
      </c>
      <c r="D797" t="s">
        <v>28</v>
      </c>
      <c r="E797" t="s">
        <v>475</v>
      </c>
      <c r="F797" t="s">
        <v>476</v>
      </c>
      <c r="G797" t="str">
        <f t="shared" si="24"/>
        <v>DESIGN</v>
      </c>
      <c r="H797" t="s">
        <v>106</v>
      </c>
      <c r="I797" t="s">
        <v>146</v>
      </c>
      <c r="J797" t="str">
        <f t="shared" si="25"/>
        <v>SHIFT C</v>
      </c>
    </row>
    <row r="798" spans="1:10">
      <c r="A798">
        <v>973</v>
      </c>
      <c r="B798" t="s">
        <v>3496</v>
      </c>
      <c r="C798" t="s">
        <v>3497</v>
      </c>
      <c r="D798" t="s">
        <v>28</v>
      </c>
      <c r="E798" t="s">
        <v>29</v>
      </c>
      <c r="F798" t="s">
        <v>680</v>
      </c>
      <c r="G798" t="str">
        <f t="shared" si="24"/>
        <v>CHAMFER</v>
      </c>
      <c r="H798" t="s">
        <v>106</v>
      </c>
      <c r="I798" t="s">
        <v>53</v>
      </c>
      <c r="J798" t="str">
        <f t="shared" si="25"/>
        <v>SHIFT A</v>
      </c>
    </row>
    <row r="799" spans="1:10">
      <c r="A799">
        <v>974</v>
      </c>
      <c r="B799" t="s">
        <v>3499</v>
      </c>
      <c r="C799" t="s">
        <v>3500</v>
      </c>
      <c r="D799" t="s">
        <v>28</v>
      </c>
      <c r="E799" t="s">
        <v>29</v>
      </c>
      <c r="F799" t="s">
        <v>1216</v>
      </c>
      <c r="G799" t="str">
        <f t="shared" si="24"/>
        <v>FVI</v>
      </c>
      <c r="H799" t="s">
        <v>106</v>
      </c>
      <c r="I799" t="s">
        <v>53</v>
      </c>
      <c r="J799" t="str">
        <f t="shared" si="25"/>
        <v>SHIFT A</v>
      </c>
    </row>
    <row r="800" spans="1:10">
      <c r="A800">
        <v>975</v>
      </c>
      <c r="B800" t="s">
        <v>3502</v>
      </c>
      <c r="C800" t="s">
        <v>3503</v>
      </c>
      <c r="D800" t="s">
        <v>1064</v>
      </c>
      <c r="E800" t="s">
        <v>29</v>
      </c>
      <c r="F800" t="s">
        <v>30</v>
      </c>
      <c r="G800" t="str">
        <f t="shared" si="24"/>
        <v>DF</v>
      </c>
      <c r="H800" t="s">
        <v>34</v>
      </c>
      <c r="I800" t="s">
        <v>53</v>
      </c>
      <c r="J800" t="str">
        <f t="shared" si="25"/>
        <v>SHIFT A</v>
      </c>
    </row>
    <row r="801" spans="1:10">
      <c r="A801">
        <v>976</v>
      </c>
      <c r="B801" t="s">
        <v>3505</v>
      </c>
      <c r="C801" t="s">
        <v>3506</v>
      </c>
      <c r="D801" t="s">
        <v>28</v>
      </c>
      <c r="E801" t="s">
        <v>29</v>
      </c>
      <c r="F801" t="s">
        <v>1216</v>
      </c>
      <c r="G801" t="str">
        <f t="shared" si="24"/>
        <v>FVI</v>
      </c>
      <c r="H801" t="s">
        <v>34</v>
      </c>
      <c r="I801" t="s">
        <v>53</v>
      </c>
      <c r="J801" t="str">
        <f t="shared" si="25"/>
        <v>SHIFT A</v>
      </c>
    </row>
    <row r="802" spans="1:10">
      <c r="A802">
        <v>977</v>
      </c>
      <c r="B802" t="s">
        <v>3509</v>
      </c>
      <c r="C802" t="s">
        <v>3510</v>
      </c>
      <c r="D802" t="s">
        <v>28</v>
      </c>
      <c r="E802" t="s">
        <v>29</v>
      </c>
      <c r="F802" t="s">
        <v>1216</v>
      </c>
      <c r="G802" t="str">
        <f t="shared" si="24"/>
        <v>FVI</v>
      </c>
      <c r="H802" t="s">
        <v>106</v>
      </c>
      <c r="I802" t="s">
        <v>53</v>
      </c>
      <c r="J802" t="str">
        <f t="shared" si="25"/>
        <v>SHIFT A</v>
      </c>
    </row>
    <row r="803" spans="1:10">
      <c r="A803">
        <v>978</v>
      </c>
      <c r="B803" t="s">
        <v>3512</v>
      </c>
      <c r="C803" t="s">
        <v>3513</v>
      </c>
      <c r="D803" t="s">
        <v>28</v>
      </c>
      <c r="E803" t="s">
        <v>491</v>
      </c>
      <c r="F803" t="s">
        <v>950</v>
      </c>
      <c r="G803" t="str">
        <f t="shared" si="24"/>
        <v>QUALITY</v>
      </c>
      <c r="H803" t="s">
        <v>34</v>
      </c>
      <c r="I803" t="s">
        <v>146</v>
      </c>
      <c r="J803" t="str">
        <f t="shared" si="25"/>
        <v>SHIFT C</v>
      </c>
    </row>
    <row r="804" spans="1:10">
      <c r="A804">
        <v>979</v>
      </c>
      <c r="B804" t="s">
        <v>3516</v>
      </c>
      <c r="C804" t="s">
        <v>3517</v>
      </c>
      <c r="D804" t="s">
        <v>28</v>
      </c>
      <c r="E804" t="s">
        <v>475</v>
      </c>
      <c r="F804" t="s">
        <v>476</v>
      </c>
      <c r="G804" t="str">
        <f t="shared" si="24"/>
        <v>DESIGN</v>
      </c>
      <c r="H804" t="s">
        <v>106</v>
      </c>
      <c r="I804" t="s">
        <v>146</v>
      </c>
      <c r="J804" t="str">
        <f t="shared" si="25"/>
        <v>SHIFT C</v>
      </c>
    </row>
    <row r="805" spans="1:10">
      <c r="A805">
        <v>980</v>
      </c>
      <c r="B805" t="s">
        <v>3520</v>
      </c>
      <c r="C805" t="s">
        <v>3521</v>
      </c>
      <c r="D805" t="s">
        <v>28</v>
      </c>
      <c r="E805" t="s">
        <v>491</v>
      </c>
      <c r="F805" t="s">
        <v>1042</v>
      </c>
      <c r="G805" t="str">
        <f t="shared" si="24"/>
        <v>QUALITY</v>
      </c>
      <c r="H805" t="s">
        <v>106</v>
      </c>
      <c r="I805" t="s">
        <v>146</v>
      </c>
      <c r="J805" t="str">
        <f t="shared" si="25"/>
        <v>SHIFT C</v>
      </c>
    </row>
    <row r="806" spans="1:10">
      <c r="A806">
        <v>981</v>
      </c>
      <c r="B806" t="s">
        <v>3523</v>
      </c>
      <c r="C806" t="s">
        <v>3524</v>
      </c>
      <c r="D806" t="s">
        <v>28</v>
      </c>
      <c r="E806" t="s">
        <v>29</v>
      </c>
      <c r="F806" t="s">
        <v>123</v>
      </c>
      <c r="G806" t="str">
        <f t="shared" si="24"/>
        <v>PACKING</v>
      </c>
      <c r="H806" t="s">
        <v>34</v>
      </c>
      <c r="I806" t="s">
        <v>146</v>
      </c>
      <c r="J806" t="str">
        <f t="shared" si="25"/>
        <v>SHIFT C</v>
      </c>
    </row>
    <row r="807" spans="1:10">
      <c r="A807">
        <v>982</v>
      </c>
      <c r="B807" t="s">
        <v>3526</v>
      </c>
      <c r="C807" t="s">
        <v>3527</v>
      </c>
      <c r="D807" t="s">
        <v>28</v>
      </c>
      <c r="E807" t="s">
        <v>417</v>
      </c>
      <c r="F807" t="s">
        <v>674</v>
      </c>
      <c r="G807" t="str">
        <f t="shared" si="24"/>
        <v>WAREHOUSE</v>
      </c>
      <c r="H807" t="s">
        <v>106</v>
      </c>
      <c r="I807" t="s">
        <v>89</v>
      </c>
      <c r="J807" t="str">
        <f t="shared" si="25"/>
        <v>SHIFT B</v>
      </c>
    </row>
    <row r="808" spans="1:10">
      <c r="A808">
        <v>983</v>
      </c>
      <c r="B808" t="s">
        <v>3529</v>
      </c>
      <c r="C808" t="s">
        <v>3530</v>
      </c>
      <c r="D808" t="s">
        <v>28</v>
      </c>
      <c r="E808" t="s">
        <v>29</v>
      </c>
      <c r="F808" t="s">
        <v>1216</v>
      </c>
      <c r="G808" t="str">
        <f t="shared" si="24"/>
        <v>FVI</v>
      </c>
      <c r="H808" t="s">
        <v>106</v>
      </c>
      <c r="I808" t="s">
        <v>146</v>
      </c>
      <c r="J808" t="str">
        <f t="shared" si="25"/>
        <v>SHIFT C</v>
      </c>
    </row>
    <row r="809" spans="1:10">
      <c r="A809">
        <v>984</v>
      </c>
      <c r="B809" t="s">
        <v>3532</v>
      </c>
      <c r="C809" t="s">
        <v>3533</v>
      </c>
      <c r="D809" t="s">
        <v>28</v>
      </c>
      <c r="E809" t="s">
        <v>29</v>
      </c>
      <c r="F809" t="s">
        <v>1216</v>
      </c>
      <c r="G809" t="str">
        <f t="shared" si="24"/>
        <v>FVI</v>
      </c>
      <c r="H809" t="s">
        <v>106</v>
      </c>
      <c r="I809" t="s">
        <v>89</v>
      </c>
      <c r="J809" t="str">
        <f t="shared" si="25"/>
        <v>SHIFT B</v>
      </c>
    </row>
    <row r="810" spans="1:10">
      <c r="A810">
        <v>985</v>
      </c>
      <c r="B810" t="s">
        <v>3535</v>
      </c>
      <c r="C810" t="s">
        <v>3536</v>
      </c>
      <c r="D810" t="s">
        <v>28</v>
      </c>
      <c r="E810" t="s">
        <v>29</v>
      </c>
      <c r="F810" t="s">
        <v>72</v>
      </c>
      <c r="G810" t="str">
        <f t="shared" si="24"/>
        <v>BBT</v>
      </c>
      <c r="H810" t="s">
        <v>34</v>
      </c>
      <c r="I810" t="s">
        <v>76</v>
      </c>
      <c r="J810" t="str">
        <f t="shared" si="25"/>
        <v>SHIFT E</v>
      </c>
    </row>
    <row r="811" spans="1:10">
      <c r="A811">
        <v>986</v>
      </c>
      <c r="B811" t="s">
        <v>3539</v>
      </c>
      <c r="C811" t="s">
        <v>3540</v>
      </c>
      <c r="D811" t="s">
        <v>765</v>
      </c>
      <c r="E811" t="s">
        <v>744</v>
      </c>
      <c r="F811" t="s">
        <v>38</v>
      </c>
      <c r="G811" t="str">
        <f t="shared" si="24"/>
        <v>HS</v>
      </c>
      <c r="H811" t="s">
        <v>106</v>
      </c>
      <c r="I811" t="s">
        <v>53</v>
      </c>
      <c r="J811" t="str">
        <f t="shared" si="25"/>
        <v>SHIFT A</v>
      </c>
    </row>
    <row r="812" spans="1:10">
      <c r="A812">
        <v>987</v>
      </c>
      <c r="B812" t="s">
        <v>3543</v>
      </c>
      <c r="C812" t="s">
        <v>3544</v>
      </c>
      <c r="D812" t="s">
        <v>765</v>
      </c>
      <c r="E812" t="s">
        <v>446</v>
      </c>
      <c r="F812" t="s">
        <v>860</v>
      </c>
      <c r="G812" t="str">
        <f t="shared" si="24"/>
        <v>EQUIPMENT</v>
      </c>
      <c r="H812" t="s">
        <v>34</v>
      </c>
      <c r="I812" t="s">
        <v>89</v>
      </c>
      <c r="J812" t="str">
        <f t="shared" si="25"/>
        <v>SHIFT B</v>
      </c>
    </row>
    <row r="813" spans="1:10">
      <c r="A813">
        <v>988</v>
      </c>
      <c r="B813" t="s">
        <v>3547</v>
      </c>
      <c r="C813" t="s">
        <v>1794</v>
      </c>
      <c r="D813" t="s">
        <v>1041</v>
      </c>
      <c r="E813" t="s">
        <v>29</v>
      </c>
      <c r="F813" t="s">
        <v>62</v>
      </c>
      <c r="G813" t="str">
        <f t="shared" si="24"/>
        <v>CU</v>
      </c>
      <c r="H813" t="s">
        <v>34</v>
      </c>
      <c r="I813" t="s">
        <v>53</v>
      </c>
      <c r="J813" t="str">
        <f t="shared" si="25"/>
        <v>SHIFT A</v>
      </c>
    </row>
    <row r="814" spans="1:10">
      <c r="A814">
        <v>995</v>
      </c>
      <c r="B814" t="s">
        <v>3576</v>
      </c>
      <c r="C814" t="s">
        <v>3577</v>
      </c>
      <c r="D814" t="s">
        <v>765</v>
      </c>
      <c r="E814" t="s">
        <v>446</v>
      </c>
      <c r="F814" t="s">
        <v>516</v>
      </c>
      <c r="G814" t="str">
        <f t="shared" si="24"/>
        <v>EQUIPMENT</v>
      </c>
      <c r="H814" t="s">
        <v>34</v>
      </c>
      <c r="I814" t="s">
        <v>53</v>
      </c>
      <c r="J814" t="str">
        <f t="shared" si="25"/>
        <v>SHIFT A</v>
      </c>
    </row>
    <row r="815" spans="1:10">
      <c r="A815">
        <v>996</v>
      </c>
      <c r="B815" t="s">
        <v>3580</v>
      </c>
      <c r="C815" t="s">
        <v>3581</v>
      </c>
      <c r="D815" t="s">
        <v>733</v>
      </c>
      <c r="E815" t="s">
        <v>744</v>
      </c>
      <c r="F815" t="s">
        <v>745</v>
      </c>
      <c r="G815" t="str">
        <f t="shared" si="24"/>
        <v>HS</v>
      </c>
      <c r="H815" t="s">
        <v>34</v>
      </c>
      <c r="I815" t="s">
        <v>89</v>
      </c>
      <c r="J815" t="str">
        <f t="shared" si="25"/>
        <v>SHIFT B</v>
      </c>
    </row>
    <row r="816" spans="1:10">
      <c r="A816">
        <v>997</v>
      </c>
      <c r="B816" t="s">
        <v>3584</v>
      </c>
      <c r="C816" t="s">
        <v>3585</v>
      </c>
      <c r="D816" t="s">
        <v>765</v>
      </c>
      <c r="E816" t="s">
        <v>744</v>
      </c>
      <c r="F816" t="s">
        <v>38</v>
      </c>
      <c r="G816" t="str">
        <f t="shared" si="24"/>
        <v>HS</v>
      </c>
      <c r="H816" t="s">
        <v>34</v>
      </c>
      <c r="I816" t="s">
        <v>53</v>
      </c>
      <c r="J816" t="str">
        <f t="shared" si="25"/>
        <v>SHIFT A</v>
      </c>
    </row>
    <row r="817" spans="1:10">
      <c r="A817">
        <v>999</v>
      </c>
      <c r="B817" t="s">
        <v>3592</v>
      </c>
      <c r="C817" t="s">
        <v>3593</v>
      </c>
      <c r="D817" t="s">
        <v>668</v>
      </c>
      <c r="E817" t="s">
        <v>744</v>
      </c>
      <c r="F817" t="s">
        <v>745</v>
      </c>
      <c r="G817" t="str">
        <f t="shared" si="24"/>
        <v>HS</v>
      </c>
      <c r="H817" t="s">
        <v>34</v>
      </c>
      <c r="I817" t="s">
        <v>146</v>
      </c>
      <c r="J817" t="str">
        <f t="shared" si="25"/>
        <v>SHIFT C</v>
      </c>
    </row>
    <row r="818" spans="1:10">
      <c r="A818">
        <v>1010</v>
      </c>
      <c r="B818" t="s">
        <v>3637</v>
      </c>
      <c r="C818" t="s">
        <v>3638</v>
      </c>
      <c r="D818" t="s">
        <v>765</v>
      </c>
      <c r="E818" t="s">
        <v>446</v>
      </c>
      <c r="F818" t="s">
        <v>836</v>
      </c>
      <c r="G818" t="str">
        <f t="shared" si="24"/>
        <v>EQUIPMENT</v>
      </c>
      <c r="H818" t="s">
        <v>34</v>
      </c>
      <c r="I818" t="s">
        <v>752</v>
      </c>
      <c r="J818" t="str">
        <f t="shared" si="25"/>
        <v>SHIFT O</v>
      </c>
    </row>
    <row r="819" spans="1:10">
      <c r="A819">
        <v>1013</v>
      </c>
      <c r="B819" t="s">
        <v>3649</v>
      </c>
      <c r="C819" t="s">
        <v>1781</v>
      </c>
      <c r="D819" t="s">
        <v>1041</v>
      </c>
      <c r="E819" t="s">
        <v>29</v>
      </c>
      <c r="F819" t="s">
        <v>30</v>
      </c>
      <c r="G819" t="str">
        <f t="shared" si="24"/>
        <v>DF</v>
      </c>
      <c r="H819" t="s">
        <v>34</v>
      </c>
      <c r="I819" t="s">
        <v>53</v>
      </c>
      <c r="J819" t="str">
        <f t="shared" si="25"/>
        <v>SHIFT A</v>
      </c>
    </row>
    <row r="820" spans="1:10">
      <c r="A820">
        <v>1014</v>
      </c>
      <c r="B820" t="s">
        <v>3652</v>
      </c>
      <c r="C820" t="s">
        <v>3653</v>
      </c>
      <c r="D820" t="s">
        <v>765</v>
      </c>
      <c r="E820" t="s">
        <v>446</v>
      </c>
      <c r="F820" t="s">
        <v>860</v>
      </c>
      <c r="G820" t="str">
        <f t="shared" si="24"/>
        <v>EQUIPMENT</v>
      </c>
      <c r="H820" t="s">
        <v>34</v>
      </c>
      <c r="I820" t="s">
        <v>146</v>
      </c>
      <c r="J820" t="str">
        <f t="shared" si="25"/>
        <v>SHIFT C</v>
      </c>
    </row>
    <row r="821" spans="1:10">
      <c r="A821">
        <v>1015</v>
      </c>
      <c r="B821" t="s">
        <v>3656</v>
      </c>
      <c r="C821" t="s">
        <v>3657</v>
      </c>
      <c r="D821" t="s">
        <v>765</v>
      </c>
      <c r="E821" t="s">
        <v>446</v>
      </c>
      <c r="F821" t="s">
        <v>615</v>
      </c>
      <c r="G821" t="str">
        <f t="shared" si="24"/>
        <v>EQUIPMENT</v>
      </c>
      <c r="H821" t="s">
        <v>34</v>
      </c>
      <c r="I821" t="s">
        <v>89</v>
      </c>
      <c r="J821" t="str">
        <f t="shared" si="25"/>
        <v>SHIFT B</v>
      </c>
    </row>
    <row r="822" spans="1:10">
      <c r="A822">
        <v>1016</v>
      </c>
      <c r="B822" t="s">
        <v>3660</v>
      </c>
      <c r="C822" t="s">
        <v>3661</v>
      </c>
      <c r="D822" t="s">
        <v>765</v>
      </c>
      <c r="E822" t="s">
        <v>446</v>
      </c>
      <c r="F822" t="s">
        <v>860</v>
      </c>
      <c r="G822" t="str">
        <f t="shared" si="24"/>
        <v>EQUIPMENT</v>
      </c>
      <c r="H822" t="s">
        <v>34</v>
      </c>
      <c r="I822" t="s">
        <v>89</v>
      </c>
      <c r="J822" t="str">
        <f t="shared" si="25"/>
        <v>SHIFT B</v>
      </c>
    </row>
    <row r="823" spans="1:10">
      <c r="A823">
        <v>1017</v>
      </c>
      <c r="B823" t="s">
        <v>3664</v>
      </c>
      <c r="C823" t="s">
        <v>3665</v>
      </c>
      <c r="D823" t="s">
        <v>765</v>
      </c>
      <c r="E823" t="s">
        <v>453</v>
      </c>
      <c r="F823" t="s">
        <v>454</v>
      </c>
      <c r="G823" t="str">
        <f t="shared" si="24"/>
        <v>ENVIRONMENT</v>
      </c>
      <c r="H823" t="s">
        <v>34</v>
      </c>
      <c r="I823" t="s">
        <v>146</v>
      </c>
      <c r="J823" t="str">
        <f t="shared" si="25"/>
        <v>SHIFT C</v>
      </c>
    </row>
    <row r="824" spans="1:10">
      <c r="A824">
        <v>1025</v>
      </c>
      <c r="B824" t="s">
        <v>3696</v>
      </c>
      <c r="C824" t="s">
        <v>230</v>
      </c>
      <c r="D824" t="s">
        <v>499</v>
      </c>
      <c r="E824" t="s">
        <v>29</v>
      </c>
      <c r="F824" t="s">
        <v>85</v>
      </c>
      <c r="G824" t="str">
        <f t="shared" si="24"/>
        <v>DRILL</v>
      </c>
      <c r="H824" t="s">
        <v>34</v>
      </c>
      <c r="I824" t="s">
        <v>146</v>
      </c>
      <c r="J824" t="str">
        <f t="shared" si="25"/>
        <v>SHIFT C</v>
      </c>
    </row>
    <row r="825" spans="1:10">
      <c r="A825">
        <v>1026</v>
      </c>
      <c r="B825" t="s">
        <v>3699</v>
      </c>
      <c r="C825" t="s">
        <v>3700</v>
      </c>
      <c r="D825" t="s">
        <v>765</v>
      </c>
      <c r="E825" t="s">
        <v>453</v>
      </c>
      <c r="F825" t="s">
        <v>454</v>
      </c>
      <c r="G825" t="str">
        <f t="shared" si="24"/>
        <v>ENVIRONMENT</v>
      </c>
      <c r="H825" t="s">
        <v>34</v>
      </c>
      <c r="I825" t="s">
        <v>53</v>
      </c>
      <c r="J825" t="str">
        <f t="shared" si="25"/>
        <v>SHIFT A</v>
      </c>
    </row>
    <row r="826" spans="1:10">
      <c r="A826">
        <v>1027</v>
      </c>
      <c r="B826" t="s">
        <v>3703</v>
      </c>
      <c r="C826" t="s">
        <v>3704</v>
      </c>
      <c r="D826" t="s">
        <v>765</v>
      </c>
      <c r="E826" t="s">
        <v>453</v>
      </c>
      <c r="F826" t="s">
        <v>454</v>
      </c>
      <c r="G826" t="str">
        <f t="shared" si="24"/>
        <v>ENVIRONMENT</v>
      </c>
      <c r="H826" t="s">
        <v>34</v>
      </c>
      <c r="I826" t="s">
        <v>89</v>
      </c>
      <c r="J826" t="str">
        <f t="shared" si="25"/>
        <v>SHIFT B</v>
      </c>
    </row>
    <row r="827" spans="1:10">
      <c r="A827">
        <v>1029</v>
      </c>
      <c r="B827" t="s">
        <v>3711</v>
      </c>
      <c r="C827" t="s">
        <v>1606</v>
      </c>
      <c r="D827" t="s">
        <v>499</v>
      </c>
      <c r="E827" t="s">
        <v>29</v>
      </c>
      <c r="F827" t="s">
        <v>30</v>
      </c>
      <c r="G827" t="str">
        <f t="shared" si="24"/>
        <v>DF</v>
      </c>
      <c r="H827" t="s">
        <v>34</v>
      </c>
      <c r="I827" t="s">
        <v>89</v>
      </c>
      <c r="J827" t="str">
        <f t="shared" si="25"/>
        <v>SHIFT B</v>
      </c>
    </row>
    <row r="828" spans="1:10">
      <c r="A828">
        <v>1030</v>
      </c>
      <c r="B828" t="s">
        <v>3714</v>
      </c>
      <c r="C828" t="s">
        <v>3715</v>
      </c>
      <c r="D828" t="s">
        <v>28</v>
      </c>
      <c r="E828" t="s">
        <v>446</v>
      </c>
      <c r="F828" t="s">
        <v>447</v>
      </c>
      <c r="G828" t="str">
        <f t="shared" si="24"/>
        <v>EQUIPMENT</v>
      </c>
      <c r="H828" t="s">
        <v>34</v>
      </c>
      <c r="I828" t="s">
        <v>752</v>
      </c>
      <c r="J828" t="str">
        <f t="shared" si="25"/>
        <v>SHIFT O</v>
      </c>
    </row>
    <row r="829" spans="1:10">
      <c r="A829">
        <v>1031</v>
      </c>
      <c r="B829" t="s">
        <v>3718</v>
      </c>
      <c r="C829" t="s">
        <v>3719</v>
      </c>
      <c r="D829" t="s">
        <v>28</v>
      </c>
      <c r="E829" t="s">
        <v>446</v>
      </c>
      <c r="F829" t="s">
        <v>447</v>
      </c>
      <c r="G829" t="str">
        <f t="shared" si="24"/>
        <v>EQUIPMENT</v>
      </c>
      <c r="H829" t="s">
        <v>34</v>
      </c>
      <c r="I829" t="s">
        <v>752</v>
      </c>
      <c r="J829" t="str">
        <f t="shared" si="25"/>
        <v>SHIFT O</v>
      </c>
    </row>
    <row r="830" spans="1:10">
      <c r="A830">
        <v>1032</v>
      </c>
      <c r="B830" t="s">
        <v>3722</v>
      </c>
      <c r="C830" t="s">
        <v>3723</v>
      </c>
      <c r="D830" t="s">
        <v>28</v>
      </c>
      <c r="E830" t="s">
        <v>446</v>
      </c>
      <c r="F830" t="s">
        <v>447</v>
      </c>
      <c r="G830" t="str">
        <f t="shared" si="24"/>
        <v>EQUIPMENT</v>
      </c>
      <c r="H830" t="s">
        <v>34</v>
      </c>
      <c r="I830" t="s">
        <v>752</v>
      </c>
      <c r="J830" t="str">
        <f t="shared" si="25"/>
        <v>SHIFT O</v>
      </c>
    </row>
    <row r="831" spans="1:10">
      <c r="A831">
        <v>1033</v>
      </c>
      <c r="B831" t="s">
        <v>3726</v>
      </c>
      <c r="C831" t="s">
        <v>3727</v>
      </c>
      <c r="D831" t="s">
        <v>28</v>
      </c>
      <c r="E831" t="s">
        <v>446</v>
      </c>
      <c r="F831" t="s">
        <v>447</v>
      </c>
      <c r="G831" t="str">
        <f t="shared" si="24"/>
        <v>EQUIPMENT</v>
      </c>
      <c r="H831" t="s">
        <v>34</v>
      </c>
      <c r="I831" t="s">
        <v>752</v>
      </c>
      <c r="J831" t="str">
        <f t="shared" si="25"/>
        <v>SHIFT O</v>
      </c>
    </row>
    <row r="832" spans="1:10">
      <c r="A832">
        <v>1037</v>
      </c>
      <c r="B832" t="s">
        <v>3741</v>
      </c>
      <c r="C832" t="s">
        <v>3742</v>
      </c>
      <c r="D832" t="s">
        <v>1064</v>
      </c>
      <c r="E832" t="s">
        <v>475</v>
      </c>
      <c r="F832" t="s">
        <v>476</v>
      </c>
      <c r="G832" t="str">
        <f t="shared" si="24"/>
        <v>DESIGN</v>
      </c>
      <c r="H832" t="s">
        <v>34</v>
      </c>
      <c r="I832" t="s">
        <v>146</v>
      </c>
      <c r="J832" t="str">
        <f t="shared" si="25"/>
        <v>SHIFT C</v>
      </c>
    </row>
    <row r="833" spans="1:10">
      <c r="A833">
        <v>1038</v>
      </c>
      <c r="B833" t="s">
        <v>3745</v>
      </c>
      <c r="C833" t="s">
        <v>3746</v>
      </c>
      <c r="D833" t="s">
        <v>28</v>
      </c>
      <c r="E833" t="s">
        <v>491</v>
      </c>
      <c r="F833" t="s">
        <v>950</v>
      </c>
      <c r="G833" t="str">
        <f t="shared" si="24"/>
        <v>QUALITY</v>
      </c>
      <c r="H833" t="s">
        <v>34</v>
      </c>
      <c r="I833" t="s">
        <v>53</v>
      </c>
      <c r="J833" t="str">
        <f t="shared" si="25"/>
        <v>SHIFT A</v>
      </c>
    </row>
    <row r="834" spans="1:10">
      <c r="A834">
        <v>1039</v>
      </c>
      <c r="B834" t="s">
        <v>3749</v>
      </c>
      <c r="C834" t="s">
        <v>3750</v>
      </c>
      <c r="D834" t="s">
        <v>28</v>
      </c>
      <c r="E834" t="s">
        <v>29</v>
      </c>
      <c r="F834" t="s">
        <v>79</v>
      </c>
      <c r="G834" t="str">
        <f t="shared" si="24"/>
        <v>SM</v>
      </c>
      <c r="H834" t="s">
        <v>34</v>
      </c>
      <c r="I834" t="s">
        <v>752</v>
      </c>
      <c r="J834" t="str">
        <f t="shared" si="25"/>
        <v>SHIFT O</v>
      </c>
    </row>
    <row r="835" spans="1:10">
      <c r="A835">
        <v>1040</v>
      </c>
      <c r="B835" t="s">
        <v>3753</v>
      </c>
      <c r="C835" t="s">
        <v>3754</v>
      </c>
      <c r="D835" t="s">
        <v>28</v>
      </c>
      <c r="E835" t="s">
        <v>29</v>
      </c>
      <c r="F835" t="s">
        <v>1216</v>
      </c>
      <c r="G835" t="str">
        <f t="shared" si="24"/>
        <v>FVI</v>
      </c>
      <c r="H835" t="s">
        <v>106</v>
      </c>
      <c r="I835" t="s">
        <v>89</v>
      </c>
      <c r="J835" t="str">
        <f t="shared" si="25"/>
        <v>SHIFT B</v>
      </c>
    </row>
    <row r="836" spans="1:10">
      <c r="A836">
        <v>1041</v>
      </c>
      <c r="B836" t="s">
        <v>3757</v>
      </c>
      <c r="C836" t="s">
        <v>3758</v>
      </c>
      <c r="D836" t="s">
        <v>1064</v>
      </c>
      <c r="E836" t="s">
        <v>29</v>
      </c>
      <c r="F836" t="s">
        <v>1216</v>
      </c>
      <c r="G836" t="str">
        <f t="shared" ref="G836:G899" si="26">IF(OR(ISNUMBER(SEARCH("P1",F836)),ISNUMBER(SEARCH("P2",F836)),ISNUMBER(SEARCH("P3",F836)),ISNUMBER(SEARCH("P4",F836)),ISNUMBER(SEARCH("P5",F836))),"EQUIPMENT",
IF(ISNUMBER(SEARCH("Warehouse",F836)),"WAREHOUSE",
IF(ISNUMBER(SEARCH("WWTP",F836)),"ENVIRONMENT",
IF(OR(ISNUMBER(SEARCH("QC",F836)),ISNUMBER(SEARCH("RELIABILITY",F836)),ISNUMBER(SEARCH("OQA",F836)),ISNUMBER(SEARCH("CHEMICAL",F836))),"QUALITY",
IF(OR(ISNUMBER(SEARCH("OPERATION",F836)),ISNUMBER(SEARCH("PSM",F836))),"HS",
IF(ISNUMBER(SEARCH("FVI",F836)),"FVI",
IF(OR(ISNUMBER(SEARCH("ELECTRICITY",F836)),ISNUMBER(SEARCH("FACILITIES",F836)),ISNUMBER(SEARCH("MECHANICAL",F836))),"FACILITY",F836)))))))</f>
        <v>FVI</v>
      </c>
      <c r="H836" t="s">
        <v>106</v>
      </c>
      <c r="I836" t="s">
        <v>89</v>
      </c>
      <c r="J836" t="str">
        <f t="shared" ref="J836:J899" si="27">IF(ISNUMBER(SEARCH("GROUP C",I836)),"SHIFT C",
IF(ISNUMBER(SEARCH("GROUP A",I836)),"SHIFT A",
IF(ISNUMBER(SEARCH("GROUP O",I836)),"SHIFT O",
IF(ISNUMBER(SEARCH("GROUP B",I836)),"SHIFT B",
IF(ISNUMBER(SEARCH("GROUP E",I836)),"SHIFT E","")))))</f>
        <v>SHIFT B</v>
      </c>
    </row>
    <row r="837" spans="1:10">
      <c r="A837">
        <v>1042</v>
      </c>
      <c r="B837" t="s">
        <v>3761</v>
      </c>
      <c r="C837" t="s">
        <v>3762</v>
      </c>
      <c r="D837" t="s">
        <v>28</v>
      </c>
      <c r="E837" t="s">
        <v>29</v>
      </c>
      <c r="F837" t="s">
        <v>1216</v>
      </c>
      <c r="G837" t="str">
        <f t="shared" si="26"/>
        <v>FVI</v>
      </c>
      <c r="H837" t="s">
        <v>106</v>
      </c>
      <c r="I837" t="s">
        <v>89</v>
      </c>
      <c r="J837" t="str">
        <f t="shared" si="27"/>
        <v>SHIFT B</v>
      </c>
    </row>
    <row r="838" spans="1:10">
      <c r="A838">
        <v>1043</v>
      </c>
      <c r="B838" t="s">
        <v>3765</v>
      </c>
      <c r="C838" t="s">
        <v>3766</v>
      </c>
      <c r="D838" t="s">
        <v>28</v>
      </c>
      <c r="E838" t="s">
        <v>29</v>
      </c>
      <c r="F838" t="s">
        <v>1216</v>
      </c>
      <c r="G838" t="str">
        <f t="shared" si="26"/>
        <v>FVI</v>
      </c>
      <c r="H838" t="s">
        <v>106</v>
      </c>
      <c r="I838" t="s">
        <v>146</v>
      </c>
      <c r="J838" t="str">
        <f t="shared" si="27"/>
        <v>SHIFT C</v>
      </c>
    </row>
    <row r="839" spans="1:10">
      <c r="A839">
        <v>1044</v>
      </c>
      <c r="B839" t="s">
        <v>3769</v>
      </c>
      <c r="C839" t="s">
        <v>3770</v>
      </c>
      <c r="D839" t="s">
        <v>28</v>
      </c>
      <c r="E839" t="s">
        <v>491</v>
      </c>
      <c r="F839" t="s">
        <v>978</v>
      </c>
      <c r="G839" t="str">
        <f t="shared" si="26"/>
        <v>QUALITY</v>
      </c>
      <c r="H839" t="s">
        <v>34</v>
      </c>
      <c r="I839" t="s">
        <v>89</v>
      </c>
      <c r="J839" t="str">
        <f t="shared" si="27"/>
        <v>SHIFT B</v>
      </c>
    </row>
    <row r="840" spans="1:10">
      <c r="A840">
        <v>1045</v>
      </c>
      <c r="B840" t="s">
        <v>3773</v>
      </c>
      <c r="C840" t="s">
        <v>3774</v>
      </c>
      <c r="D840" t="s">
        <v>28</v>
      </c>
      <c r="E840" t="s">
        <v>29</v>
      </c>
      <c r="F840" t="s">
        <v>1216</v>
      </c>
      <c r="G840" t="str">
        <f t="shared" si="26"/>
        <v>FVI</v>
      </c>
      <c r="H840" t="s">
        <v>106</v>
      </c>
      <c r="I840" t="s">
        <v>146</v>
      </c>
      <c r="J840" t="str">
        <f t="shared" si="27"/>
        <v>SHIFT C</v>
      </c>
    </row>
    <row r="841" spans="1:10">
      <c r="A841">
        <v>1046</v>
      </c>
      <c r="B841" t="s">
        <v>3777</v>
      </c>
      <c r="C841" t="s">
        <v>3778</v>
      </c>
      <c r="D841" t="s">
        <v>28</v>
      </c>
      <c r="E841" t="s">
        <v>29</v>
      </c>
      <c r="F841" t="s">
        <v>79</v>
      </c>
      <c r="G841" t="str">
        <f t="shared" si="26"/>
        <v>SM</v>
      </c>
      <c r="H841" t="s">
        <v>34</v>
      </c>
      <c r="I841" t="s">
        <v>53</v>
      </c>
      <c r="J841" t="str">
        <f t="shared" si="27"/>
        <v>SHIFT A</v>
      </c>
    </row>
    <row r="842" spans="1:10">
      <c r="A842">
        <v>1047</v>
      </c>
      <c r="B842" t="s">
        <v>3781</v>
      </c>
      <c r="C842" t="s">
        <v>3782</v>
      </c>
      <c r="D842" t="s">
        <v>28</v>
      </c>
      <c r="E842" t="s">
        <v>29</v>
      </c>
      <c r="F842" t="s">
        <v>1216</v>
      </c>
      <c r="G842" t="str">
        <f t="shared" si="26"/>
        <v>FVI</v>
      </c>
      <c r="H842" t="s">
        <v>106</v>
      </c>
      <c r="I842" t="s">
        <v>53</v>
      </c>
      <c r="J842" t="str">
        <f t="shared" si="27"/>
        <v>SHIFT A</v>
      </c>
    </row>
    <row r="843" spans="1:10">
      <c r="A843">
        <v>1048</v>
      </c>
      <c r="B843" t="s">
        <v>3785</v>
      </c>
      <c r="C843" t="s">
        <v>3786</v>
      </c>
      <c r="D843" t="s">
        <v>28</v>
      </c>
      <c r="E843" t="s">
        <v>29</v>
      </c>
      <c r="F843" t="s">
        <v>1216</v>
      </c>
      <c r="G843" t="str">
        <f t="shared" si="26"/>
        <v>FVI</v>
      </c>
      <c r="H843" t="s">
        <v>106</v>
      </c>
      <c r="I843" t="s">
        <v>146</v>
      </c>
      <c r="J843" t="str">
        <f t="shared" si="27"/>
        <v>SHIFT C</v>
      </c>
    </row>
    <row r="844" spans="1:10">
      <c r="A844">
        <v>1049</v>
      </c>
      <c r="B844" t="s">
        <v>3789</v>
      </c>
      <c r="C844" t="s">
        <v>3790</v>
      </c>
      <c r="D844" t="s">
        <v>28</v>
      </c>
      <c r="E844" t="s">
        <v>29</v>
      </c>
      <c r="F844" t="s">
        <v>56</v>
      </c>
      <c r="G844" t="str">
        <f t="shared" si="26"/>
        <v>AOI</v>
      </c>
      <c r="H844" t="s">
        <v>106</v>
      </c>
      <c r="I844" t="s">
        <v>76</v>
      </c>
      <c r="J844" t="str">
        <f t="shared" si="27"/>
        <v>SHIFT E</v>
      </c>
    </row>
    <row r="845" spans="1:10">
      <c r="A845">
        <v>1050</v>
      </c>
      <c r="B845" t="s">
        <v>3793</v>
      </c>
      <c r="C845" t="s">
        <v>3794</v>
      </c>
      <c r="D845" t="s">
        <v>28</v>
      </c>
      <c r="E845" t="s">
        <v>29</v>
      </c>
      <c r="F845" t="s">
        <v>30</v>
      </c>
      <c r="G845" t="str">
        <f t="shared" si="26"/>
        <v>DF</v>
      </c>
      <c r="H845" t="s">
        <v>34</v>
      </c>
      <c r="I845" t="s">
        <v>146</v>
      </c>
      <c r="J845" t="str">
        <f t="shared" si="27"/>
        <v>SHIFT C</v>
      </c>
    </row>
    <row r="846" spans="1:10">
      <c r="A846">
        <v>1051</v>
      </c>
      <c r="B846" t="s">
        <v>3797</v>
      </c>
      <c r="C846" t="s">
        <v>3798</v>
      </c>
      <c r="D846" t="s">
        <v>28</v>
      </c>
      <c r="E846" t="s">
        <v>491</v>
      </c>
      <c r="F846" t="s">
        <v>1472</v>
      </c>
      <c r="G846" t="str">
        <f t="shared" si="26"/>
        <v>QUALITY</v>
      </c>
      <c r="H846" t="s">
        <v>34</v>
      </c>
      <c r="I846" t="s">
        <v>752</v>
      </c>
      <c r="J846" t="str">
        <f t="shared" si="27"/>
        <v>SHIFT O</v>
      </c>
    </row>
    <row r="847" spans="1:10">
      <c r="A847">
        <v>1052</v>
      </c>
      <c r="B847" t="s">
        <v>3801</v>
      </c>
      <c r="C847" t="s">
        <v>3802</v>
      </c>
      <c r="D847" t="s">
        <v>28</v>
      </c>
      <c r="E847" t="s">
        <v>491</v>
      </c>
      <c r="F847" t="s">
        <v>978</v>
      </c>
      <c r="G847" t="str">
        <f t="shared" si="26"/>
        <v>QUALITY</v>
      </c>
      <c r="H847" t="s">
        <v>106</v>
      </c>
      <c r="I847" t="s">
        <v>53</v>
      </c>
      <c r="J847" t="str">
        <f t="shared" si="27"/>
        <v>SHIFT A</v>
      </c>
    </row>
    <row r="848" spans="1:10">
      <c r="A848">
        <v>1053</v>
      </c>
      <c r="B848" t="s">
        <v>3805</v>
      </c>
      <c r="C848" t="s">
        <v>3806</v>
      </c>
      <c r="D848" t="s">
        <v>28</v>
      </c>
      <c r="E848" t="s">
        <v>29</v>
      </c>
      <c r="F848" t="s">
        <v>30</v>
      </c>
      <c r="G848" t="str">
        <f t="shared" si="26"/>
        <v>DF</v>
      </c>
      <c r="H848" t="s">
        <v>34</v>
      </c>
      <c r="I848" t="s">
        <v>89</v>
      </c>
      <c r="J848" t="str">
        <f t="shared" si="27"/>
        <v>SHIFT B</v>
      </c>
    </row>
    <row r="849" spans="1:10">
      <c r="A849">
        <v>1054</v>
      </c>
      <c r="B849" t="s">
        <v>3809</v>
      </c>
      <c r="C849" t="s">
        <v>3810</v>
      </c>
      <c r="D849" t="s">
        <v>28</v>
      </c>
      <c r="E849" t="s">
        <v>29</v>
      </c>
      <c r="F849" t="s">
        <v>79</v>
      </c>
      <c r="G849" t="str">
        <f t="shared" si="26"/>
        <v>SM</v>
      </c>
      <c r="H849" t="s">
        <v>34</v>
      </c>
      <c r="I849" t="s">
        <v>89</v>
      </c>
      <c r="J849" t="str">
        <f t="shared" si="27"/>
        <v>SHIFT B</v>
      </c>
    </row>
    <row r="850" spans="1:10">
      <c r="A850">
        <v>1055</v>
      </c>
      <c r="B850" t="s">
        <v>3813</v>
      </c>
      <c r="C850" t="s">
        <v>3814</v>
      </c>
      <c r="D850" t="s">
        <v>28</v>
      </c>
      <c r="E850" t="s">
        <v>491</v>
      </c>
      <c r="F850" t="s">
        <v>978</v>
      </c>
      <c r="G850" t="str">
        <f t="shared" si="26"/>
        <v>QUALITY</v>
      </c>
      <c r="H850" t="s">
        <v>34</v>
      </c>
      <c r="I850" t="s">
        <v>89</v>
      </c>
      <c r="J850" t="str">
        <f t="shared" si="27"/>
        <v>SHIFT B</v>
      </c>
    </row>
    <row r="851" spans="1:10">
      <c r="A851">
        <v>1056</v>
      </c>
      <c r="B851" t="s">
        <v>3817</v>
      </c>
      <c r="C851" t="s">
        <v>3818</v>
      </c>
      <c r="D851" t="s">
        <v>28</v>
      </c>
      <c r="E851" t="s">
        <v>491</v>
      </c>
      <c r="F851" t="s">
        <v>950</v>
      </c>
      <c r="G851" t="str">
        <f t="shared" si="26"/>
        <v>QUALITY</v>
      </c>
      <c r="H851" t="s">
        <v>34</v>
      </c>
      <c r="I851" t="s">
        <v>89</v>
      </c>
      <c r="J851" t="str">
        <f t="shared" si="27"/>
        <v>SHIFT B</v>
      </c>
    </row>
    <row r="852" spans="1:10">
      <c r="A852">
        <v>1057</v>
      </c>
      <c r="B852" t="s">
        <v>3821</v>
      </c>
      <c r="C852" t="s">
        <v>3822</v>
      </c>
      <c r="D852" t="s">
        <v>28</v>
      </c>
      <c r="E852" t="s">
        <v>491</v>
      </c>
      <c r="F852" t="s">
        <v>950</v>
      </c>
      <c r="G852" t="str">
        <f t="shared" si="26"/>
        <v>QUALITY</v>
      </c>
      <c r="H852" t="s">
        <v>34</v>
      </c>
      <c r="I852" t="s">
        <v>53</v>
      </c>
      <c r="J852" t="str">
        <f t="shared" si="27"/>
        <v>SHIFT A</v>
      </c>
    </row>
    <row r="853" spans="1:10">
      <c r="A853">
        <v>1058</v>
      </c>
      <c r="B853" t="s">
        <v>3825</v>
      </c>
      <c r="C853" t="s">
        <v>3826</v>
      </c>
      <c r="D853" t="s">
        <v>28</v>
      </c>
      <c r="E853" t="s">
        <v>29</v>
      </c>
      <c r="F853" t="s">
        <v>56</v>
      </c>
      <c r="G853" t="str">
        <f t="shared" si="26"/>
        <v>AOI</v>
      </c>
      <c r="H853" t="s">
        <v>34</v>
      </c>
      <c r="I853" t="s">
        <v>89</v>
      </c>
      <c r="J853" t="str">
        <f t="shared" si="27"/>
        <v>SHIFT B</v>
      </c>
    </row>
    <row r="854" spans="1:10">
      <c r="A854">
        <v>1059</v>
      </c>
      <c r="B854" t="s">
        <v>3828</v>
      </c>
      <c r="C854" t="s">
        <v>3829</v>
      </c>
      <c r="D854" t="s">
        <v>28</v>
      </c>
      <c r="E854" t="s">
        <v>29</v>
      </c>
      <c r="F854" t="s">
        <v>48</v>
      </c>
      <c r="G854" t="str">
        <f t="shared" si="26"/>
        <v>ROUTER</v>
      </c>
      <c r="H854" t="s">
        <v>34</v>
      </c>
      <c r="I854" t="s">
        <v>89</v>
      </c>
      <c r="J854" t="str">
        <f t="shared" si="27"/>
        <v>SHIFT B</v>
      </c>
    </row>
    <row r="855" spans="1:10">
      <c r="A855">
        <v>1060</v>
      </c>
      <c r="B855" t="s">
        <v>3832</v>
      </c>
      <c r="C855" t="s">
        <v>3833</v>
      </c>
      <c r="D855" t="s">
        <v>28</v>
      </c>
      <c r="E855" t="s">
        <v>29</v>
      </c>
      <c r="F855" t="s">
        <v>85</v>
      </c>
      <c r="G855" t="str">
        <f t="shared" si="26"/>
        <v>DRILL</v>
      </c>
      <c r="H855" t="s">
        <v>34</v>
      </c>
      <c r="I855" t="s">
        <v>89</v>
      </c>
      <c r="J855" t="str">
        <f t="shared" si="27"/>
        <v>SHIFT B</v>
      </c>
    </row>
    <row r="856" spans="1:10">
      <c r="A856">
        <v>1061</v>
      </c>
      <c r="B856" t="s">
        <v>3836</v>
      </c>
      <c r="C856" t="s">
        <v>3837</v>
      </c>
      <c r="D856" t="s">
        <v>28</v>
      </c>
      <c r="E856" t="s">
        <v>491</v>
      </c>
      <c r="F856" t="s">
        <v>950</v>
      </c>
      <c r="G856" t="str">
        <f t="shared" si="26"/>
        <v>QUALITY</v>
      </c>
      <c r="H856" t="s">
        <v>34</v>
      </c>
      <c r="I856" t="s">
        <v>146</v>
      </c>
      <c r="J856" t="str">
        <f t="shared" si="27"/>
        <v>SHIFT C</v>
      </c>
    </row>
    <row r="857" spans="1:10">
      <c r="A857">
        <v>1062</v>
      </c>
      <c r="B857" t="s">
        <v>3840</v>
      </c>
      <c r="C857" t="s">
        <v>3841</v>
      </c>
      <c r="D857" t="s">
        <v>28</v>
      </c>
      <c r="E857" t="s">
        <v>491</v>
      </c>
      <c r="F857" t="s">
        <v>1472</v>
      </c>
      <c r="G857" t="str">
        <f t="shared" si="26"/>
        <v>QUALITY</v>
      </c>
      <c r="H857" t="s">
        <v>34</v>
      </c>
      <c r="I857" t="s">
        <v>752</v>
      </c>
      <c r="J857" t="str">
        <f t="shared" si="27"/>
        <v>SHIFT O</v>
      </c>
    </row>
    <row r="858" spans="1:10">
      <c r="A858">
        <v>1063</v>
      </c>
      <c r="B858" t="s">
        <v>3844</v>
      </c>
      <c r="C858" t="s">
        <v>3845</v>
      </c>
      <c r="D858" t="s">
        <v>1064</v>
      </c>
      <c r="E858" t="s">
        <v>475</v>
      </c>
      <c r="F858" t="s">
        <v>476</v>
      </c>
      <c r="G858" t="str">
        <f t="shared" si="26"/>
        <v>DESIGN</v>
      </c>
      <c r="H858" t="s">
        <v>106</v>
      </c>
      <c r="I858" t="s">
        <v>89</v>
      </c>
      <c r="J858" t="str">
        <f t="shared" si="27"/>
        <v>SHIFT B</v>
      </c>
    </row>
    <row r="859" spans="1:10">
      <c r="A859">
        <v>1064</v>
      </c>
      <c r="B859" t="s">
        <v>3848</v>
      </c>
      <c r="C859" t="s">
        <v>3849</v>
      </c>
      <c r="D859" t="s">
        <v>1064</v>
      </c>
      <c r="E859" t="s">
        <v>29</v>
      </c>
      <c r="F859" t="s">
        <v>72</v>
      </c>
      <c r="G859" t="str">
        <f t="shared" si="26"/>
        <v>BBT</v>
      </c>
      <c r="H859" t="s">
        <v>106</v>
      </c>
      <c r="I859" t="s">
        <v>89</v>
      </c>
      <c r="J859" t="str">
        <f t="shared" si="27"/>
        <v>SHIFT B</v>
      </c>
    </row>
    <row r="860" spans="1:10">
      <c r="A860">
        <v>1065</v>
      </c>
      <c r="B860" t="s">
        <v>3852</v>
      </c>
      <c r="C860" t="s">
        <v>3853</v>
      </c>
      <c r="D860" t="s">
        <v>28</v>
      </c>
      <c r="E860" t="s">
        <v>29</v>
      </c>
      <c r="F860" t="s">
        <v>43</v>
      </c>
      <c r="G860" t="str">
        <f t="shared" si="26"/>
        <v>AU</v>
      </c>
      <c r="H860" t="s">
        <v>34</v>
      </c>
      <c r="I860" t="s">
        <v>146</v>
      </c>
      <c r="J860" t="str">
        <f t="shared" si="27"/>
        <v>SHIFT C</v>
      </c>
    </row>
    <row r="861" spans="1:10">
      <c r="A861">
        <v>1066</v>
      </c>
      <c r="B861" t="s">
        <v>3856</v>
      </c>
      <c r="C861" t="s">
        <v>3857</v>
      </c>
      <c r="D861" t="s">
        <v>1064</v>
      </c>
      <c r="E861" t="s">
        <v>29</v>
      </c>
      <c r="F861" t="s">
        <v>62</v>
      </c>
      <c r="G861" t="str">
        <f t="shared" si="26"/>
        <v>CU</v>
      </c>
      <c r="H861" t="s">
        <v>34</v>
      </c>
      <c r="I861" t="s">
        <v>53</v>
      </c>
      <c r="J861" t="str">
        <f t="shared" si="27"/>
        <v>SHIFT A</v>
      </c>
    </row>
    <row r="862" spans="1:10">
      <c r="A862">
        <v>1067</v>
      </c>
      <c r="B862" t="s">
        <v>3859</v>
      </c>
      <c r="C862" t="s">
        <v>3860</v>
      </c>
      <c r="D862" t="s">
        <v>28</v>
      </c>
      <c r="E862" t="s">
        <v>29</v>
      </c>
      <c r="F862" t="s">
        <v>537</v>
      </c>
      <c r="G862" t="str">
        <f t="shared" si="26"/>
        <v>MLB</v>
      </c>
      <c r="H862" t="s">
        <v>34</v>
      </c>
      <c r="I862" t="s">
        <v>146</v>
      </c>
      <c r="J862" t="str">
        <f t="shared" si="27"/>
        <v>SHIFT C</v>
      </c>
    </row>
    <row r="863" spans="1:10">
      <c r="A863">
        <v>1068</v>
      </c>
      <c r="B863" t="s">
        <v>3863</v>
      </c>
      <c r="C863" t="s">
        <v>3864</v>
      </c>
      <c r="D863" t="s">
        <v>28</v>
      </c>
      <c r="E863" t="s">
        <v>29</v>
      </c>
      <c r="F863" t="s">
        <v>85</v>
      </c>
      <c r="G863" t="str">
        <f t="shared" si="26"/>
        <v>DRILL</v>
      </c>
      <c r="H863" t="s">
        <v>34</v>
      </c>
      <c r="I863" t="s">
        <v>53</v>
      </c>
      <c r="J863" t="str">
        <f t="shared" si="27"/>
        <v>SHIFT A</v>
      </c>
    </row>
    <row r="864" spans="1:10">
      <c r="A864">
        <v>1069</v>
      </c>
      <c r="B864" t="s">
        <v>3867</v>
      </c>
      <c r="C864" t="s">
        <v>3868</v>
      </c>
      <c r="D864" t="s">
        <v>28</v>
      </c>
      <c r="E864" t="s">
        <v>29</v>
      </c>
      <c r="F864" t="s">
        <v>62</v>
      </c>
      <c r="G864" t="str">
        <f t="shared" si="26"/>
        <v>CU</v>
      </c>
      <c r="H864" t="s">
        <v>34</v>
      </c>
      <c r="I864" t="s">
        <v>146</v>
      </c>
      <c r="J864" t="str">
        <f t="shared" si="27"/>
        <v>SHIFT C</v>
      </c>
    </row>
    <row r="865" spans="1:10">
      <c r="A865">
        <v>1070</v>
      </c>
      <c r="B865" t="s">
        <v>3871</v>
      </c>
      <c r="C865" t="s">
        <v>3872</v>
      </c>
      <c r="D865" t="s">
        <v>1064</v>
      </c>
      <c r="E865" t="s">
        <v>29</v>
      </c>
      <c r="F865" t="s">
        <v>85</v>
      </c>
      <c r="G865" t="str">
        <f t="shared" si="26"/>
        <v>DRILL</v>
      </c>
      <c r="H865" t="s">
        <v>34</v>
      </c>
      <c r="I865" t="s">
        <v>89</v>
      </c>
      <c r="J865" t="str">
        <f t="shared" si="27"/>
        <v>SHIFT B</v>
      </c>
    </row>
    <row r="866" spans="1:10">
      <c r="A866">
        <v>1071</v>
      </c>
      <c r="B866" t="s">
        <v>3875</v>
      </c>
      <c r="C866" t="s">
        <v>3876</v>
      </c>
      <c r="D866" t="s">
        <v>1064</v>
      </c>
      <c r="E866" t="s">
        <v>475</v>
      </c>
      <c r="F866" t="s">
        <v>476</v>
      </c>
      <c r="G866" t="str">
        <f t="shared" si="26"/>
        <v>DESIGN</v>
      </c>
      <c r="H866" t="s">
        <v>106</v>
      </c>
      <c r="I866" t="s">
        <v>89</v>
      </c>
      <c r="J866" t="str">
        <f t="shared" si="27"/>
        <v>SHIFT B</v>
      </c>
    </row>
    <row r="867" spans="1:10">
      <c r="A867">
        <v>1072</v>
      </c>
      <c r="B867" t="s">
        <v>3879</v>
      </c>
      <c r="C867" t="s">
        <v>3880</v>
      </c>
      <c r="D867" t="s">
        <v>28</v>
      </c>
      <c r="E867" t="s">
        <v>29</v>
      </c>
      <c r="F867" t="s">
        <v>85</v>
      </c>
      <c r="G867" t="str">
        <f t="shared" si="26"/>
        <v>DRILL</v>
      </c>
      <c r="H867" t="s">
        <v>106</v>
      </c>
      <c r="I867" t="s">
        <v>53</v>
      </c>
      <c r="J867" t="str">
        <f t="shared" si="27"/>
        <v>SHIFT A</v>
      </c>
    </row>
    <row r="868" spans="1:10">
      <c r="A868">
        <v>1073</v>
      </c>
      <c r="B868" t="s">
        <v>3883</v>
      </c>
      <c r="C868" t="s">
        <v>3884</v>
      </c>
      <c r="D868" t="s">
        <v>28</v>
      </c>
      <c r="E868" t="s">
        <v>608</v>
      </c>
      <c r="F868" t="s">
        <v>609</v>
      </c>
      <c r="G868" t="str">
        <f t="shared" si="26"/>
        <v>NPI</v>
      </c>
      <c r="H868" t="s">
        <v>34</v>
      </c>
      <c r="I868" t="s">
        <v>53</v>
      </c>
      <c r="J868" t="str">
        <f t="shared" si="27"/>
        <v>SHIFT A</v>
      </c>
    </row>
    <row r="869" spans="1:10">
      <c r="A869">
        <v>1074</v>
      </c>
      <c r="B869" t="s">
        <v>3887</v>
      </c>
      <c r="C869" t="s">
        <v>3888</v>
      </c>
      <c r="D869" t="s">
        <v>28</v>
      </c>
      <c r="E869" t="s">
        <v>491</v>
      </c>
      <c r="F869" t="s">
        <v>1042</v>
      </c>
      <c r="G869" t="str">
        <f t="shared" si="26"/>
        <v>QUALITY</v>
      </c>
      <c r="H869" t="s">
        <v>106</v>
      </c>
      <c r="I869" t="s">
        <v>89</v>
      </c>
      <c r="J869" t="str">
        <f t="shared" si="27"/>
        <v>SHIFT B</v>
      </c>
    </row>
    <row r="870" spans="1:10">
      <c r="A870">
        <v>1075</v>
      </c>
      <c r="B870" t="s">
        <v>3891</v>
      </c>
      <c r="C870" t="s">
        <v>3892</v>
      </c>
      <c r="D870" t="s">
        <v>1064</v>
      </c>
      <c r="E870" t="s">
        <v>29</v>
      </c>
      <c r="F870" t="s">
        <v>56</v>
      </c>
      <c r="G870" t="str">
        <f t="shared" si="26"/>
        <v>AOI</v>
      </c>
      <c r="H870" t="s">
        <v>106</v>
      </c>
      <c r="I870" t="s">
        <v>89</v>
      </c>
      <c r="J870" t="str">
        <f t="shared" si="27"/>
        <v>SHIFT B</v>
      </c>
    </row>
    <row r="871" spans="1:10">
      <c r="A871">
        <v>1076</v>
      </c>
      <c r="B871" t="s">
        <v>3895</v>
      </c>
      <c r="C871" t="s">
        <v>3896</v>
      </c>
      <c r="D871" t="s">
        <v>28</v>
      </c>
      <c r="E871" t="s">
        <v>29</v>
      </c>
      <c r="F871" t="s">
        <v>537</v>
      </c>
      <c r="G871" t="str">
        <f t="shared" si="26"/>
        <v>MLB</v>
      </c>
      <c r="H871" t="s">
        <v>34</v>
      </c>
      <c r="I871" t="s">
        <v>146</v>
      </c>
      <c r="J871" t="str">
        <f t="shared" si="27"/>
        <v>SHIFT C</v>
      </c>
    </row>
    <row r="872" spans="1:10">
      <c r="A872">
        <v>1077</v>
      </c>
      <c r="B872" t="s">
        <v>3899</v>
      </c>
      <c r="C872" t="s">
        <v>3900</v>
      </c>
      <c r="D872" t="s">
        <v>28</v>
      </c>
      <c r="E872" t="s">
        <v>29</v>
      </c>
      <c r="F872" t="s">
        <v>48</v>
      </c>
      <c r="G872" t="str">
        <f t="shared" si="26"/>
        <v>ROUTER</v>
      </c>
      <c r="H872" t="s">
        <v>34</v>
      </c>
      <c r="I872" t="s">
        <v>89</v>
      </c>
      <c r="J872" t="str">
        <f t="shared" si="27"/>
        <v>SHIFT B</v>
      </c>
    </row>
    <row r="873" spans="1:10">
      <c r="A873">
        <v>1078</v>
      </c>
      <c r="B873" t="s">
        <v>3903</v>
      </c>
      <c r="C873" t="s">
        <v>3904</v>
      </c>
      <c r="D873" t="s">
        <v>28</v>
      </c>
      <c r="E873" t="s">
        <v>29</v>
      </c>
      <c r="F873" t="s">
        <v>30</v>
      </c>
      <c r="G873" t="str">
        <f t="shared" si="26"/>
        <v>DF</v>
      </c>
      <c r="H873" t="s">
        <v>34</v>
      </c>
      <c r="I873" t="s">
        <v>53</v>
      </c>
      <c r="J873" t="str">
        <f t="shared" si="27"/>
        <v>SHIFT A</v>
      </c>
    </row>
    <row r="874" spans="1:10">
      <c r="A874">
        <v>1079</v>
      </c>
      <c r="B874" t="s">
        <v>3907</v>
      </c>
      <c r="C874" t="s">
        <v>3908</v>
      </c>
      <c r="D874" t="s">
        <v>28</v>
      </c>
      <c r="E874" t="s">
        <v>491</v>
      </c>
      <c r="F874" t="s">
        <v>1042</v>
      </c>
      <c r="G874" t="str">
        <f t="shared" si="26"/>
        <v>QUALITY</v>
      </c>
      <c r="H874" t="s">
        <v>106</v>
      </c>
      <c r="I874" t="s">
        <v>146</v>
      </c>
      <c r="J874" t="str">
        <f t="shared" si="27"/>
        <v>SHIFT C</v>
      </c>
    </row>
    <row r="875" spans="1:10">
      <c r="A875">
        <v>1080</v>
      </c>
      <c r="B875" t="s">
        <v>3911</v>
      </c>
      <c r="C875" t="s">
        <v>3912</v>
      </c>
      <c r="D875" t="s">
        <v>28</v>
      </c>
      <c r="E875" t="s">
        <v>491</v>
      </c>
      <c r="F875" t="s">
        <v>830</v>
      </c>
      <c r="G875" t="str">
        <f t="shared" si="26"/>
        <v>QUALITY</v>
      </c>
      <c r="H875" t="s">
        <v>106</v>
      </c>
      <c r="I875" t="s">
        <v>53</v>
      </c>
      <c r="J875" t="str">
        <f t="shared" si="27"/>
        <v>SHIFT A</v>
      </c>
    </row>
    <row r="876" spans="1:10">
      <c r="A876">
        <v>1081</v>
      </c>
      <c r="B876" t="s">
        <v>3915</v>
      </c>
      <c r="C876" t="s">
        <v>3916</v>
      </c>
      <c r="D876" t="s">
        <v>1064</v>
      </c>
      <c r="E876" t="s">
        <v>29</v>
      </c>
      <c r="F876" t="s">
        <v>680</v>
      </c>
      <c r="G876" t="str">
        <f t="shared" si="26"/>
        <v>CHAMFER</v>
      </c>
      <c r="H876" t="s">
        <v>106</v>
      </c>
      <c r="I876" t="s">
        <v>146</v>
      </c>
      <c r="J876" t="str">
        <f t="shared" si="27"/>
        <v>SHIFT C</v>
      </c>
    </row>
    <row r="877" spans="1:10">
      <c r="A877">
        <v>1082</v>
      </c>
      <c r="B877" t="s">
        <v>3919</v>
      </c>
      <c r="C877" t="s">
        <v>3920</v>
      </c>
      <c r="D877" t="s">
        <v>1064</v>
      </c>
      <c r="E877" t="s">
        <v>29</v>
      </c>
      <c r="F877" t="s">
        <v>1216</v>
      </c>
      <c r="G877" t="str">
        <f t="shared" si="26"/>
        <v>FVI</v>
      </c>
      <c r="H877" t="s">
        <v>106</v>
      </c>
      <c r="I877" t="s">
        <v>146</v>
      </c>
      <c r="J877" t="str">
        <f t="shared" si="27"/>
        <v>SHIFT C</v>
      </c>
    </row>
    <row r="878" spans="1:10">
      <c r="A878">
        <v>1083</v>
      </c>
      <c r="B878" t="s">
        <v>3923</v>
      </c>
      <c r="C878" t="s">
        <v>3924</v>
      </c>
      <c r="D878" t="s">
        <v>1064</v>
      </c>
      <c r="E878" t="s">
        <v>29</v>
      </c>
      <c r="F878" t="s">
        <v>680</v>
      </c>
      <c r="G878" t="str">
        <f t="shared" si="26"/>
        <v>CHAMFER</v>
      </c>
      <c r="H878" t="s">
        <v>34</v>
      </c>
      <c r="I878" t="s">
        <v>146</v>
      </c>
      <c r="J878" t="str">
        <f t="shared" si="27"/>
        <v>SHIFT C</v>
      </c>
    </row>
    <row r="879" spans="1:10">
      <c r="A879">
        <v>1084</v>
      </c>
      <c r="B879" t="s">
        <v>3927</v>
      </c>
      <c r="C879" t="s">
        <v>3928</v>
      </c>
      <c r="D879" t="s">
        <v>28</v>
      </c>
      <c r="E879" t="s">
        <v>29</v>
      </c>
      <c r="F879" t="s">
        <v>30</v>
      </c>
      <c r="G879" t="str">
        <f t="shared" si="26"/>
        <v>DF</v>
      </c>
      <c r="H879" t="s">
        <v>34</v>
      </c>
      <c r="I879" t="s">
        <v>53</v>
      </c>
      <c r="J879" t="str">
        <f t="shared" si="27"/>
        <v>SHIFT A</v>
      </c>
    </row>
    <row r="880" spans="1:10">
      <c r="A880">
        <v>1085</v>
      </c>
      <c r="B880" t="s">
        <v>3931</v>
      </c>
      <c r="C880" t="s">
        <v>3932</v>
      </c>
      <c r="D880" t="s">
        <v>28</v>
      </c>
      <c r="E880" t="s">
        <v>491</v>
      </c>
      <c r="F880" t="s">
        <v>978</v>
      </c>
      <c r="G880" t="str">
        <f t="shared" si="26"/>
        <v>QUALITY</v>
      </c>
      <c r="H880" t="s">
        <v>34</v>
      </c>
      <c r="I880" t="s">
        <v>146</v>
      </c>
      <c r="J880" t="str">
        <f t="shared" si="27"/>
        <v>SHIFT C</v>
      </c>
    </row>
    <row r="881" spans="1:10">
      <c r="A881">
        <v>1086</v>
      </c>
      <c r="B881" t="s">
        <v>3935</v>
      </c>
      <c r="C881" t="s">
        <v>3936</v>
      </c>
      <c r="D881" t="s">
        <v>28</v>
      </c>
      <c r="E881" t="s">
        <v>29</v>
      </c>
      <c r="F881" t="s">
        <v>48</v>
      </c>
      <c r="G881" t="str">
        <f t="shared" si="26"/>
        <v>ROUTER</v>
      </c>
      <c r="H881" t="s">
        <v>34</v>
      </c>
      <c r="I881" t="s">
        <v>146</v>
      </c>
      <c r="J881" t="str">
        <f t="shared" si="27"/>
        <v>SHIFT C</v>
      </c>
    </row>
    <row r="882" spans="1:10">
      <c r="A882">
        <v>1087</v>
      </c>
      <c r="B882" t="s">
        <v>3939</v>
      </c>
      <c r="C882" t="s">
        <v>3940</v>
      </c>
      <c r="D882" t="s">
        <v>1064</v>
      </c>
      <c r="E882" t="s">
        <v>417</v>
      </c>
      <c r="F882" t="s">
        <v>674</v>
      </c>
      <c r="G882" t="str">
        <f t="shared" si="26"/>
        <v>WAREHOUSE</v>
      </c>
      <c r="H882" t="s">
        <v>34</v>
      </c>
      <c r="I882" t="s">
        <v>89</v>
      </c>
      <c r="J882" t="str">
        <f t="shared" si="27"/>
        <v>SHIFT B</v>
      </c>
    </row>
    <row r="883" spans="1:10">
      <c r="A883">
        <v>1088</v>
      </c>
      <c r="B883" t="s">
        <v>3943</v>
      </c>
      <c r="C883" t="s">
        <v>3944</v>
      </c>
      <c r="D883" t="s">
        <v>28</v>
      </c>
      <c r="E883" t="s">
        <v>491</v>
      </c>
      <c r="F883" t="s">
        <v>830</v>
      </c>
      <c r="G883" t="str">
        <f t="shared" si="26"/>
        <v>QUALITY</v>
      </c>
      <c r="H883" t="s">
        <v>34</v>
      </c>
      <c r="I883" t="s">
        <v>146</v>
      </c>
      <c r="J883" t="str">
        <f t="shared" si="27"/>
        <v>SHIFT C</v>
      </c>
    </row>
    <row r="884" spans="1:10">
      <c r="A884">
        <v>1090</v>
      </c>
      <c r="B884" t="s">
        <v>3951</v>
      </c>
      <c r="C884" t="s">
        <v>3952</v>
      </c>
      <c r="D884" t="s">
        <v>28</v>
      </c>
      <c r="E884" t="s">
        <v>491</v>
      </c>
      <c r="F884" t="s">
        <v>1042</v>
      </c>
      <c r="G884" t="str">
        <f t="shared" si="26"/>
        <v>QUALITY</v>
      </c>
      <c r="H884" t="s">
        <v>106</v>
      </c>
      <c r="I884" t="s">
        <v>53</v>
      </c>
      <c r="J884" t="str">
        <f t="shared" si="27"/>
        <v>SHIFT A</v>
      </c>
    </row>
    <row r="885" spans="1:10">
      <c r="A885">
        <v>1091</v>
      </c>
      <c r="B885" t="s">
        <v>3955</v>
      </c>
      <c r="C885" t="s">
        <v>3956</v>
      </c>
      <c r="D885" t="s">
        <v>1064</v>
      </c>
      <c r="E885" t="s">
        <v>29</v>
      </c>
      <c r="F885" t="s">
        <v>43</v>
      </c>
      <c r="G885" t="str">
        <f t="shared" si="26"/>
        <v>AU</v>
      </c>
      <c r="H885" t="s">
        <v>34</v>
      </c>
      <c r="I885" t="s">
        <v>146</v>
      </c>
      <c r="J885" t="str">
        <f t="shared" si="27"/>
        <v>SHIFT C</v>
      </c>
    </row>
    <row r="886" spans="1:10">
      <c r="A886">
        <v>1092</v>
      </c>
      <c r="B886" t="s">
        <v>3959</v>
      </c>
      <c r="C886" t="s">
        <v>3960</v>
      </c>
      <c r="D886" t="s">
        <v>28</v>
      </c>
      <c r="E886" t="s">
        <v>29</v>
      </c>
      <c r="F886" t="s">
        <v>1216</v>
      </c>
      <c r="G886" t="str">
        <f t="shared" si="26"/>
        <v>FVI</v>
      </c>
      <c r="H886" t="s">
        <v>34</v>
      </c>
      <c r="I886" t="s">
        <v>53</v>
      </c>
      <c r="J886" t="str">
        <f t="shared" si="27"/>
        <v>SHIFT A</v>
      </c>
    </row>
    <row r="887" spans="1:10">
      <c r="A887">
        <v>1093</v>
      </c>
      <c r="B887" t="s">
        <v>3963</v>
      </c>
      <c r="C887" t="s">
        <v>3964</v>
      </c>
      <c r="D887" t="s">
        <v>1064</v>
      </c>
      <c r="E887" t="s">
        <v>29</v>
      </c>
      <c r="F887" t="s">
        <v>85</v>
      </c>
      <c r="G887" t="str">
        <f t="shared" si="26"/>
        <v>DRILL</v>
      </c>
      <c r="H887" t="s">
        <v>34</v>
      </c>
      <c r="I887" t="s">
        <v>89</v>
      </c>
      <c r="J887" t="str">
        <f t="shared" si="27"/>
        <v>SHIFT B</v>
      </c>
    </row>
    <row r="888" spans="1:10">
      <c r="A888">
        <v>1094</v>
      </c>
      <c r="B888" t="s">
        <v>3967</v>
      </c>
      <c r="C888" t="s">
        <v>3968</v>
      </c>
      <c r="D888" t="s">
        <v>28</v>
      </c>
      <c r="E888" t="s">
        <v>29</v>
      </c>
      <c r="F888" t="s">
        <v>680</v>
      </c>
      <c r="G888" t="str">
        <f t="shared" si="26"/>
        <v>CHAMFER</v>
      </c>
      <c r="H888" t="s">
        <v>34</v>
      </c>
      <c r="I888" t="s">
        <v>89</v>
      </c>
      <c r="J888" t="str">
        <f t="shared" si="27"/>
        <v>SHIFT B</v>
      </c>
    </row>
    <row r="889" spans="1:10">
      <c r="A889">
        <v>1095</v>
      </c>
      <c r="B889" t="s">
        <v>3971</v>
      </c>
      <c r="C889" t="s">
        <v>3972</v>
      </c>
      <c r="D889" t="s">
        <v>28</v>
      </c>
      <c r="E889" t="s">
        <v>29</v>
      </c>
      <c r="F889" t="s">
        <v>79</v>
      </c>
      <c r="G889" t="str">
        <f t="shared" si="26"/>
        <v>SM</v>
      </c>
      <c r="H889" t="s">
        <v>34</v>
      </c>
      <c r="I889" t="s">
        <v>146</v>
      </c>
      <c r="J889" t="str">
        <f t="shared" si="27"/>
        <v>SHIFT C</v>
      </c>
    </row>
    <row r="890" spans="1:10">
      <c r="A890">
        <v>1096</v>
      </c>
      <c r="B890" t="s">
        <v>3975</v>
      </c>
      <c r="C890" t="s">
        <v>3976</v>
      </c>
      <c r="D890" t="s">
        <v>1064</v>
      </c>
      <c r="E890" t="s">
        <v>29</v>
      </c>
      <c r="F890" t="s">
        <v>1216</v>
      </c>
      <c r="G890" t="str">
        <f t="shared" si="26"/>
        <v>FVI</v>
      </c>
      <c r="H890" t="s">
        <v>106</v>
      </c>
      <c r="I890" t="s">
        <v>146</v>
      </c>
      <c r="J890" t="str">
        <f t="shared" si="27"/>
        <v>SHIFT C</v>
      </c>
    </row>
    <row r="891" spans="1:10">
      <c r="A891">
        <v>1097</v>
      </c>
      <c r="B891" t="s">
        <v>3979</v>
      </c>
      <c r="C891" t="s">
        <v>3980</v>
      </c>
      <c r="D891" t="s">
        <v>28</v>
      </c>
      <c r="E891" t="s">
        <v>491</v>
      </c>
      <c r="F891" t="s">
        <v>978</v>
      </c>
      <c r="G891" t="str">
        <f t="shared" si="26"/>
        <v>QUALITY</v>
      </c>
      <c r="H891" t="s">
        <v>106</v>
      </c>
      <c r="I891" t="s">
        <v>89</v>
      </c>
      <c r="J891" t="str">
        <f t="shared" si="27"/>
        <v>SHIFT B</v>
      </c>
    </row>
    <row r="892" spans="1:10">
      <c r="A892">
        <v>1098</v>
      </c>
      <c r="B892" t="s">
        <v>3983</v>
      </c>
      <c r="C892" t="s">
        <v>3984</v>
      </c>
      <c r="D892" t="s">
        <v>28</v>
      </c>
      <c r="E892" t="s">
        <v>491</v>
      </c>
      <c r="F892" t="s">
        <v>978</v>
      </c>
      <c r="G892" t="str">
        <f t="shared" si="26"/>
        <v>QUALITY</v>
      </c>
      <c r="H892" t="s">
        <v>34</v>
      </c>
      <c r="I892" t="s">
        <v>146</v>
      </c>
      <c r="J892" t="str">
        <f t="shared" si="27"/>
        <v>SHIFT C</v>
      </c>
    </row>
    <row r="893" spans="1:10">
      <c r="A893">
        <v>1099</v>
      </c>
      <c r="B893" t="s">
        <v>3987</v>
      </c>
      <c r="C893" t="s">
        <v>3988</v>
      </c>
      <c r="D893" t="s">
        <v>28</v>
      </c>
      <c r="E893" t="s">
        <v>491</v>
      </c>
      <c r="F893" t="s">
        <v>830</v>
      </c>
      <c r="G893" t="str">
        <f t="shared" si="26"/>
        <v>QUALITY</v>
      </c>
      <c r="H893" t="s">
        <v>106</v>
      </c>
      <c r="I893" t="s">
        <v>89</v>
      </c>
      <c r="J893" t="str">
        <f t="shared" si="27"/>
        <v>SHIFT B</v>
      </c>
    </row>
    <row r="894" spans="1:10">
      <c r="A894">
        <v>1100</v>
      </c>
      <c r="B894" t="s">
        <v>3991</v>
      </c>
      <c r="C894" t="s">
        <v>3992</v>
      </c>
      <c r="D894" t="s">
        <v>28</v>
      </c>
      <c r="E894" t="s">
        <v>475</v>
      </c>
      <c r="F894" t="s">
        <v>476</v>
      </c>
      <c r="G894" t="str">
        <f t="shared" si="26"/>
        <v>DESIGN</v>
      </c>
      <c r="H894" t="s">
        <v>34</v>
      </c>
      <c r="I894" t="s">
        <v>53</v>
      </c>
      <c r="J894" t="str">
        <f t="shared" si="27"/>
        <v>SHIFT A</v>
      </c>
    </row>
    <row r="895" spans="1:10">
      <c r="A895">
        <v>1101</v>
      </c>
      <c r="B895" t="s">
        <v>3995</v>
      </c>
      <c r="C895" t="s">
        <v>3996</v>
      </c>
      <c r="D895" t="s">
        <v>28</v>
      </c>
      <c r="E895" t="s">
        <v>491</v>
      </c>
      <c r="F895" t="s">
        <v>830</v>
      </c>
      <c r="G895" t="str">
        <f t="shared" si="26"/>
        <v>QUALITY</v>
      </c>
      <c r="H895" t="s">
        <v>34</v>
      </c>
      <c r="I895" t="s">
        <v>53</v>
      </c>
      <c r="J895" t="str">
        <f t="shared" si="27"/>
        <v>SHIFT A</v>
      </c>
    </row>
    <row r="896" spans="1:10">
      <c r="A896">
        <v>1102</v>
      </c>
      <c r="B896" t="s">
        <v>3999</v>
      </c>
      <c r="C896" t="s">
        <v>4000</v>
      </c>
      <c r="D896" t="s">
        <v>28</v>
      </c>
      <c r="E896" t="s">
        <v>29</v>
      </c>
      <c r="F896" t="s">
        <v>30</v>
      </c>
      <c r="G896" t="str">
        <f t="shared" si="26"/>
        <v>DF</v>
      </c>
      <c r="H896" t="s">
        <v>34</v>
      </c>
      <c r="I896" t="s">
        <v>89</v>
      </c>
      <c r="J896" t="str">
        <f t="shared" si="27"/>
        <v>SHIFT B</v>
      </c>
    </row>
    <row r="897" spans="1:10">
      <c r="A897">
        <v>1103</v>
      </c>
      <c r="B897" t="s">
        <v>4003</v>
      </c>
      <c r="C897" t="s">
        <v>4004</v>
      </c>
      <c r="D897" t="s">
        <v>28</v>
      </c>
      <c r="E897" t="s">
        <v>491</v>
      </c>
      <c r="F897" t="s">
        <v>830</v>
      </c>
      <c r="G897" t="str">
        <f t="shared" si="26"/>
        <v>QUALITY</v>
      </c>
      <c r="H897" t="s">
        <v>106</v>
      </c>
      <c r="I897" t="s">
        <v>53</v>
      </c>
      <c r="J897" t="str">
        <f t="shared" si="27"/>
        <v>SHIFT A</v>
      </c>
    </row>
    <row r="898" spans="1:10">
      <c r="A898">
        <v>1104</v>
      </c>
      <c r="B898" t="s">
        <v>4007</v>
      </c>
      <c r="C898" t="s">
        <v>4008</v>
      </c>
      <c r="D898" t="s">
        <v>28</v>
      </c>
      <c r="E898" t="s">
        <v>29</v>
      </c>
      <c r="F898" t="s">
        <v>72</v>
      </c>
      <c r="G898" t="str">
        <f t="shared" si="26"/>
        <v>BBT</v>
      </c>
      <c r="H898" t="s">
        <v>106</v>
      </c>
      <c r="I898" t="s">
        <v>53</v>
      </c>
      <c r="J898" t="str">
        <f t="shared" si="27"/>
        <v>SHIFT A</v>
      </c>
    </row>
    <row r="899" spans="1:10">
      <c r="A899">
        <v>1105</v>
      </c>
      <c r="B899" t="s">
        <v>4011</v>
      </c>
      <c r="C899" t="s">
        <v>4012</v>
      </c>
      <c r="D899" t="s">
        <v>28</v>
      </c>
      <c r="E899" t="s">
        <v>491</v>
      </c>
      <c r="F899" t="s">
        <v>950</v>
      </c>
      <c r="G899" t="str">
        <f t="shared" si="26"/>
        <v>QUALITY</v>
      </c>
      <c r="H899" t="s">
        <v>34</v>
      </c>
      <c r="I899" t="s">
        <v>53</v>
      </c>
      <c r="J899" t="str">
        <f t="shared" si="27"/>
        <v>SHIFT A</v>
      </c>
    </row>
    <row r="900" spans="1:10">
      <c r="A900">
        <v>1106</v>
      </c>
      <c r="B900" t="s">
        <v>4015</v>
      </c>
      <c r="C900" t="s">
        <v>4016</v>
      </c>
      <c r="D900" t="s">
        <v>28</v>
      </c>
      <c r="E900" t="s">
        <v>29</v>
      </c>
      <c r="F900" t="s">
        <v>680</v>
      </c>
      <c r="G900" t="str">
        <f t="shared" ref="G900:G963" si="28">IF(OR(ISNUMBER(SEARCH("P1",F900)),ISNUMBER(SEARCH("P2",F900)),ISNUMBER(SEARCH("P3",F900)),ISNUMBER(SEARCH("P4",F900)),ISNUMBER(SEARCH("P5",F900))),"EQUIPMENT",
IF(ISNUMBER(SEARCH("Warehouse",F900)),"WAREHOUSE",
IF(ISNUMBER(SEARCH("WWTP",F900)),"ENVIRONMENT",
IF(OR(ISNUMBER(SEARCH("QC",F900)),ISNUMBER(SEARCH("RELIABILITY",F900)),ISNUMBER(SEARCH("OQA",F900)),ISNUMBER(SEARCH("CHEMICAL",F900))),"QUALITY",
IF(OR(ISNUMBER(SEARCH("OPERATION",F900)),ISNUMBER(SEARCH("PSM",F900))),"HS",
IF(ISNUMBER(SEARCH("FVI",F900)),"FVI",
IF(OR(ISNUMBER(SEARCH("ELECTRICITY",F900)),ISNUMBER(SEARCH("FACILITIES",F900)),ISNUMBER(SEARCH("MECHANICAL",F900))),"FACILITY",F900)))))))</f>
        <v>CHAMFER</v>
      </c>
      <c r="H900" t="s">
        <v>34</v>
      </c>
      <c r="I900" t="s">
        <v>89</v>
      </c>
      <c r="J900" t="str">
        <f t="shared" ref="J900:J963" si="29">IF(ISNUMBER(SEARCH("GROUP C",I900)),"SHIFT C",
IF(ISNUMBER(SEARCH("GROUP A",I900)),"SHIFT A",
IF(ISNUMBER(SEARCH("GROUP O",I900)),"SHIFT O",
IF(ISNUMBER(SEARCH("GROUP B",I900)),"SHIFT B",
IF(ISNUMBER(SEARCH("GROUP E",I900)),"SHIFT E","")))))</f>
        <v>SHIFT B</v>
      </c>
    </row>
    <row r="901" spans="1:10">
      <c r="A901">
        <v>1107</v>
      </c>
      <c r="B901" t="s">
        <v>4019</v>
      </c>
      <c r="C901" t="s">
        <v>4020</v>
      </c>
      <c r="D901" t="s">
        <v>28</v>
      </c>
      <c r="E901" t="s">
        <v>687</v>
      </c>
      <c r="F901" t="s">
        <v>687</v>
      </c>
      <c r="G901" t="str">
        <f t="shared" si="28"/>
        <v>PRODUCTION CONTROL</v>
      </c>
      <c r="H901" t="s">
        <v>34</v>
      </c>
      <c r="I901" t="s">
        <v>89</v>
      </c>
      <c r="J901" t="str">
        <f t="shared" si="29"/>
        <v>SHIFT B</v>
      </c>
    </row>
    <row r="902" spans="1:10">
      <c r="A902">
        <v>1108</v>
      </c>
      <c r="B902" t="s">
        <v>4023</v>
      </c>
      <c r="C902" t="s">
        <v>4024</v>
      </c>
      <c r="D902" t="s">
        <v>28</v>
      </c>
      <c r="E902" t="s">
        <v>29</v>
      </c>
      <c r="F902" t="s">
        <v>1216</v>
      </c>
      <c r="G902" t="str">
        <f t="shared" si="28"/>
        <v>FVI</v>
      </c>
      <c r="H902" t="s">
        <v>34</v>
      </c>
      <c r="I902" t="s">
        <v>53</v>
      </c>
      <c r="J902" t="str">
        <f t="shared" si="29"/>
        <v>SHIFT A</v>
      </c>
    </row>
    <row r="903" spans="1:10">
      <c r="A903">
        <v>1109</v>
      </c>
      <c r="B903" t="s">
        <v>4027</v>
      </c>
      <c r="C903" t="s">
        <v>4028</v>
      </c>
      <c r="D903" t="s">
        <v>28</v>
      </c>
      <c r="E903" t="s">
        <v>29</v>
      </c>
      <c r="F903" t="s">
        <v>537</v>
      </c>
      <c r="G903" t="str">
        <f t="shared" si="28"/>
        <v>MLB</v>
      </c>
      <c r="H903" t="s">
        <v>34</v>
      </c>
      <c r="I903" t="s">
        <v>89</v>
      </c>
      <c r="J903" t="str">
        <f t="shared" si="29"/>
        <v>SHIFT B</v>
      </c>
    </row>
    <row r="904" spans="1:10">
      <c r="A904">
        <v>1110</v>
      </c>
      <c r="B904" t="s">
        <v>4031</v>
      </c>
      <c r="C904" t="s">
        <v>4032</v>
      </c>
      <c r="D904" t="s">
        <v>28</v>
      </c>
      <c r="E904" t="s">
        <v>491</v>
      </c>
      <c r="F904" t="s">
        <v>1042</v>
      </c>
      <c r="G904" t="str">
        <f t="shared" si="28"/>
        <v>QUALITY</v>
      </c>
      <c r="H904" t="s">
        <v>106</v>
      </c>
      <c r="I904" t="s">
        <v>53</v>
      </c>
      <c r="J904" t="str">
        <f t="shared" si="29"/>
        <v>SHIFT A</v>
      </c>
    </row>
    <row r="905" spans="1:10">
      <c r="A905">
        <v>1111</v>
      </c>
      <c r="B905" t="s">
        <v>4035</v>
      </c>
      <c r="C905" t="s">
        <v>4036</v>
      </c>
      <c r="D905" t="s">
        <v>28</v>
      </c>
      <c r="E905" t="s">
        <v>491</v>
      </c>
      <c r="F905" t="s">
        <v>1042</v>
      </c>
      <c r="G905" t="str">
        <f t="shared" si="28"/>
        <v>QUALITY</v>
      </c>
      <c r="H905" t="s">
        <v>106</v>
      </c>
      <c r="I905" t="s">
        <v>146</v>
      </c>
      <c r="J905" t="str">
        <f t="shared" si="29"/>
        <v>SHIFT C</v>
      </c>
    </row>
    <row r="906" spans="1:10">
      <c r="A906">
        <v>1112</v>
      </c>
      <c r="B906" t="s">
        <v>4039</v>
      </c>
      <c r="C906" t="s">
        <v>4040</v>
      </c>
      <c r="D906" t="s">
        <v>28</v>
      </c>
      <c r="E906" t="s">
        <v>491</v>
      </c>
      <c r="F906" t="s">
        <v>978</v>
      </c>
      <c r="G906" t="str">
        <f t="shared" si="28"/>
        <v>QUALITY</v>
      </c>
      <c r="H906" t="s">
        <v>34</v>
      </c>
      <c r="I906" t="s">
        <v>146</v>
      </c>
      <c r="J906" t="str">
        <f t="shared" si="29"/>
        <v>SHIFT C</v>
      </c>
    </row>
    <row r="907" spans="1:10">
      <c r="A907">
        <v>1113</v>
      </c>
      <c r="B907" t="s">
        <v>4043</v>
      </c>
      <c r="C907" t="s">
        <v>4044</v>
      </c>
      <c r="D907" t="s">
        <v>1064</v>
      </c>
      <c r="E907" t="s">
        <v>29</v>
      </c>
      <c r="F907" t="s">
        <v>56</v>
      </c>
      <c r="G907" t="str">
        <f t="shared" si="28"/>
        <v>AOI</v>
      </c>
      <c r="H907" t="s">
        <v>34</v>
      </c>
      <c r="I907" t="s">
        <v>53</v>
      </c>
      <c r="J907" t="str">
        <f t="shared" si="29"/>
        <v>SHIFT A</v>
      </c>
    </row>
    <row r="908" spans="1:10">
      <c r="A908">
        <v>1114</v>
      </c>
      <c r="B908" t="s">
        <v>4047</v>
      </c>
      <c r="C908" t="s">
        <v>4048</v>
      </c>
      <c r="D908" t="s">
        <v>28</v>
      </c>
      <c r="E908" t="s">
        <v>29</v>
      </c>
      <c r="F908" t="s">
        <v>1216</v>
      </c>
      <c r="G908" t="str">
        <f t="shared" si="28"/>
        <v>FVI</v>
      </c>
      <c r="H908" t="s">
        <v>34</v>
      </c>
      <c r="I908" t="s">
        <v>89</v>
      </c>
      <c r="J908" t="str">
        <f t="shared" si="29"/>
        <v>SHIFT B</v>
      </c>
    </row>
    <row r="909" spans="1:10">
      <c r="A909">
        <v>1115</v>
      </c>
      <c r="B909" t="s">
        <v>4051</v>
      </c>
      <c r="C909" t="s">
        <v>4052</v>
      </c>
      <c r="D909" t="s">
        <v>28</v>
      </c>
      <c r="E909" t="s">
        <v>29</v>
      </c>
      <c r="F909" t="s">
        <v>72</v>
      </c>
      <c r="G909" t="str">
        <f t="shared" si="28"/>
        <v>BBT</v>
      </c>
      <c r="H909" t="s">
        <v>34</v>
      </c>
      <c r="I909" t="s">
        <v>89</v>
      </c>
      <c r="J909" t="str">
        <f t="shared" si="29"/>
        <v>SHIFT B</v>
      </c>
    </row>
    <row r="910" spans="1:10">
      <c r="A910">
        <v>1116</v>
      </c>
      <c r="B910" t="s">
        <v>4055</v>
      </c>
      <c r="C910" t="s">
        <v>4056</v>
      </c>
      <c r="D910" t="s">
        <v>28</v>
      </c>
      <c r="E910" t="s">
        <v>29</v>
      </c>
      <c r="F910" t="s">
        <v>123</v>
      </c>
      <c r="G910" t="str">
        <f t="shared" si="28"/>
        <v>PACKING</v>
      </c>
      <c r="H910" t="s">
        <v>34</v>
      </c>
      <c r="I910" t="s">
        <v>146</v>
      </c>
      <c r="J910" t="str">
        <f t="shared" si="29"/>
        <v>SHIFT C</v>
      </c>
    </row>
    <row r="911" spans="1:10">
      <c r="A911">
        <v>1117</v>
      </c>
      <c r="B911" t="s">
        <v>4059</v>
      </c>
      <c r="C911" t="s">
        <v>4060</v>
      </c>
      <c r="D911" t="s">
        <v>28</v>
      </c>
      <c r="E911" t="s">
        <v>491</v>
      </c>
      <c r="F911" t="s">
        <v>978</v>
      </c>
      <c r="G911" t="str">
        <f t="shared" si="28"/>
        <v>QUALITY</v>
      </c>
      <c r="H911" t="s">
        <v>106</v>
      </c>
      <c r="I911" t="s">
        <v>53</v>
      </c>
      <c r="J911" t="str">
        <f t="shared" si="29"/>
        <v>SHIFT A</v>
      </c>
    </row>
    <row r="912" spans="1:10">
      <c r="A912">
        <v>1118</v>
      </c>
      <c r="B912" t="s">
        <v>4063</v>
      </c>
      <c r="C912" t="s">
        <v>4064</v>
      </c>
      <c r="D912" t="s">
        <v>28</v>
      </c>
      <c r="E912" t="s">
        <v>29</v>
      </c>
      <c r="F912" t="s">
        <v>72</v>
      </c>
      <c r="G912" t="str">
        <f t="shared" si="28"/>
        <v>BBT</v>
      </c>
      <c r="H912" t="s">
        <v>106</v>
      </c>
      <c r="I912" t="s">
        <v>146</v>
      </c>
      <c r="J912" t="str">
        <f t="shared" si="29"/>
        <v>SHIFT C</v>
      </c>
    </row>
    <row r="913" spans="1:10">
      <c r="A913">
        <v>1119</v>
      </c>
      <c r="B913" t="s">
        <v>4067</v>
      </c>
      <c r="C913" t="s">
        <v>4068</v>
      </c>
      <c r="D913" t="s">
        <v>28</v>
      </c>
      <c r="E913" t="s">
        <v>29</v>
      </c>
      <c r="F913" t="s">
        <v>72</v>
      </c>
      <c r="G913" t="str">
        <f t="shared" si="28"/>
        <v>BBT</v>
      </c>
      <c r="H913" t="s">
        <v>106</v>
      </c>
      <c r="I913" t="s">
        <v>89</v>
      </c>
      <c r="J913" t="str">
        <f t="shared" si="29"/>
        <v>SHIFT B</v>
      </c>
    </row>
    <row r="914" spans="1:10">
      <c r="A914">
        <v>1120</v>
      </c>
      <c r="B914" t="s">
        <v>4071</v>
      </c>
      <c r="C914" t="s">
        <v>4072</v>
      </c>
      <c r="D914" t="s">
        <v>28</v>
      </c>
      <c r="E914" t="s">
        <v>29</v>
      </c>
      <c r="F914" t="s">
        <v>56</v>
      </c>
      <c r="G914" t="str">
        <f t="shared" si="28"/>
        <v>AOI</v>
      </c>
      <c r="H914" t="s">
        <v>34</v>
      </c>
      <c r="I914" t="s">
        <v>40</v>
      </c>
      <c r="J914" t="str">
        <f t="shared" si="29"/>
        <v>SHIFT E</v>
      </c>
    </row>
    <row r="915" spans="1:10">
      <c r="A915">
        <v>1121</v>
      </c>
      <c r="B915" t="s">
        <v>4075</v>
      </c>
      <c r="C915" t="s">
        <v>4076</v>
      </c>
      <c r="D915" t="s">
        <v>28</v>
      </c>
      <c r="E915" t="s">
        <v>491</v>
      </c>
      <c r="F915" t="s">
        <v>1042</v>
      </c>
      <c r="G915" t="str">
        <f t="shared" si="28"/>
        <v>QUALITY</v>
      </c>
      <c r="H915" t="s">
        <v>34</v>
      </c>
      <c r="I915" t="s">
        <v>89</v>
      </c>
      <c r="J915" t="str">
        <f t="shared" si="29"/>
        <v>SHIFT B</v>
      </c>
    </row>
    <row r="916" spans="1:10">
      <c r="A916">
        <v>1122</v>
      </c>
      <c r="B916" t="s">
        <v>4079</v>
      </c>
      <c r="C916" t="s">
        <v>4080</v>
      </c>
      <c r="D916" t="s">
        <v>28</v>
      </c>
      <c r="E916" t="s">
        <v>491</v>
      </c>
      <c r="F916" t="s">
        <v>830</v>
      </c>
      <c r="G916" t="str">
        <f t="shared" si="28"/>
        <v>QUALITY</v>
      </c>
      <c r="H916" t="s">
        <v>34</v>
      </c>
      <c r="I916" t="s">
        <v>89</v>
      </c>
      <c r="J916" t="str">
        <f t="shared" si="29"/>
        <v>SHIFT B</v>
      </c>
    </row>
    <row r="917" spans="1:10">
      <c r="A917">
        <v>1123</v>
      </c>
      <c r="B917" t="s">
        <v>4083</v>
      </c>
      <c r="C917" t="s">
        <v>4084</v>
      </c>
      <c r="D917" t="s">
        <v>28</v>
      </c>
      <c r="E917" t="s">
        <v>29</v>
      </c>
      <c r="F917" t="s">
        <v>72</v>
      </c>
      <c r="G917" t="str">
        <f t="shared" si="28"/>
        <v>BBT</v>
      </c>
      <c r="H917" t="s">
        <v>34</v>
      </c>
      <c r="I917" t="s">
        <v>89</v>
      </c>
      <c r="J917" t="str">
        <f t="shared" si="29"/>
        <v>SHIFT B</v>
      </c>
    </row>
    <row r="918" spans="1:10">
      <c r="A918">
        <v>1124</v>
      </c>
      <c r="B918" t="s">
        <v>4087</v>
      </c>
      <c r="C918" t="s">
        <v>4088</v>
      </c>
      <c r="D918" t="s">
        <v>1064</v>
      </c>
      <c r="E918" t="s">
        <v>29</v>
      </c>
      <c r="F918" t="s">
        <v>30</v>
      </c>
      <c r="G918" t="str">
        <f t="shared" si="28"/>
        <v>DF</v>
      </c>
      <c r="H918" t="s">
        <v>34</v>
      </c>
      <c r="I918" t="s">
        <v>53</v>
      </c>
      <c r="J918" t="str">
        <f t="shared" si="29"/>
        <v>SHIFT A</v>
      </c>
    </row>
    <row r="919" spans="1:10">
      <c r="A919">
        <v>1125</v>
      </c>
      <c r="B919" t="s">
        <v>4091</v>
      </c>
      <c r="C919" t="s">
        <v>4092</v>
      </c>
      <c r="D919" t="s">
        <v>28</v>
      </c>
      <c r="E919" t="s">
        <v>491</v>
      </c>
      <c r="F919" t="s">
        <v>830</v>
      </c>
      <c r="G919" t="str">
        <f t="shared" si="28"/>
        <v>QUALITY</v>
      </c>
      <c r="H919" t="s">
        <v>34</v>
      </c>
      <c r="I919" t="s">
        <v>146</v>
      </c>
      <c r="J919" t="str">
        <f t="shared" si="29"/>
        <v>SHIFT C</v>
      </c>
    </row>
    <row r="920" spans="1:10">
      <c r="A920">
        <v>1126</v>
      </c>
      <c r="B920" t="s">
        <v>4095</v>
      </c>
      <c r="C920" t="s">
        <v>4096</v>
      </c>
      <c r="D920" t="s">
        <v>28</v>
      </c>
      <c r="E920" t="s">
        <v>29</v>
      </c>
      <c r="F920" t="s">
        <v>48</v>
      </c>
      <c r="G920" t="str">
        <f t="shared" si="28"/>
        <v>ROUTER</v>
      </c>
      <c r="H920" t="s">
        <v>34</v>
      </c>
      <c r="I920" t="s">
        <v>53</v>
      </c>
      <c r="J920" t="str">
        <f t="shared" si="29"/>
        <v>SHIFT A</v>
      </c>
    </row>
    <row r="921" spans="1:10">
      <c r="A921">
        <v>1127</v>
      </c>
      <c r="B921" t="s">
        <v>4099</v>
      </c>
      <c r="C921" t="s">
        <v>4100</v>
      </c>
      <c r="D921" t="s">
        <v>28</v>
      </c>
      <c r="E921" t="s">
        <v>491</v>
      </c>
      <c r="F921" t="s">
        <v>978</v>
      </c>
      <c r="G921" t="str">
        <f t="shared" si="28"/>
        <v>QUALITY</v>
      </c>
      <c r="H921" t="s">
        <v>34</v>
      </c>
      <c r="I921" t="s">
        <v>146</v>
      </c>
      <c r="J921" t="str">
        <f t="shared" si="29"/>
        <v>SHIFT C</v>
      </c>
    </row>
    <row r="922" spans="1:10">
      <c r="A922">
        <v>1128</v>
      </c>
      <c r="B922" t="s">
        <v>4103</v>
      </c>
      <c r="C922" t="s">
        <v>4104</v>
      </c>
      <c r="D922" t="s">
        <v>1064</v>
      </c>
      <c r="E922" t="s">
        <v>29</v>
      </c>
      <c r="F922" t="s">
        <v>680</v>
      </c>
      <c r="G922" t="str">
        <f t="shared" si="28"/>
        <v>CHAMFER</v>
      </c>
      <c r="H922" t="s">
        <v>106</v>
      </c>
      <c r="I922" t="s">
        <v>53</v>
      </c>
      <c r="J922" t="str">
        <f t="shared" si="29"/>
        <v>SHIFT A</v>
      </c>
    </row>
    <row r="923" spans="1:10">
      <c r="A923">
        <v>1129</v>
      </c>
      <c r="B923" t="s">
        <v>4107</v>
      </c>
      <c r="C923" t="s">
        <v>4108</v>
      </c>
      <c r="D923" t="s">
        <v>1064</v>
      </c>
      <c r="E923" t="s">
        <v>475</v>
      </c>
      <c r="F923" t="s">
        <v>476</v>
      </c>
      <c r="G923" t="str">
        <f t="shared" si="28"/>
        <v>DESIGN</v>
      </c>
      <c r="H923" t="s">
        <v>106</v>
      </c>
      <c r="I923" t="s">
        <v>53</v>
      </c>
      <c r="J923" t="str">
        <f t="shared" si="29"/>
        <v>SHIFT A</v>
      </c>
    </row>
    <row r="924" spans="1:10">
      <c r="A924">
        <v>1130</v>
      </c>
      <c r="B924" t="s">
        <v>4111</v>
      </c>
      <c r="C924" t="s">
        <v>4112</v>
      </c>
      <c r="D924" t="s">
        <v>1064</v>
      </c>
      <c r="E924" t="s">
        <v>475</v>
      </c>
      <c r="F924" t="s">
        <v>476</v>
      </c>
      <c r="G924" t="str">
        <f t="shared" si="28"/>
        <v>DESIGN</v>
      </c>
      <c r="H924" t="s">
        <v>106</v>
      </c>
      <c r="I924" t="s">
        <v>89</v>
      </c>
      <c r="J924" t="str">
        <f t="shared" si="29"/>
        <v>SHIFT B</v>
      </c>
    </row>
    <row r="925" spans="1:10">
      <c r="A925">
        <v>1131</v>
      </c>
      <c r="B925" t="s">
        <v>4115</v>
      </c>
      <c r="C925" t="s">
        <v>4116</v>
      </c>
      <c r="D925" t="s">
        <v>28</v>
      </c>
      <c r="E925" t="s">
        <v>491</v>
      </c>
      <c r="F925" t="s">
        <v>950</v>
      </c>
      <c r="G925" t="str">
        <f t="shared" si="28"/>
        <v>QUALITY</v>
      </c>
      <c r="H925" t="s">
        <v>34</v>
      </c>
      <c r="I925" t="s">
        <v>53</v>
      </c>
      <c r="J925" t="str">
        <f t="shared" si="29"/>
        <v>SHIFT A</v>
      </c>
    </row>
    <row r="926" spans="1:10">
      <c r="A926">
        <v>1132</v>
      </c>
      <c r="B926" t="s">
        <v>4119</v>
      </c>
      <c r="C926" t="s">
        <v>4120</v>
      </c>
      <c r="D926" t="s">
        <v>28</v>
      </c>
      <c r="E926" t="s">
        <v>29</v>
      </c>
      <c r="F926" t="s">
        <v>43</v>
      </c>
      <c r="G926" t="str">
        <f t="shared" si="28"/>
        <v>AU</v>
      </c>
      <c r="H926" t="s">
        <v>34</v>
      </c>
      <c r="I926" t="s">
        <v>76</v>
      </c>
      <c r="J926" t="str">
        <f t="shared" si="29"/>
        <v>SHIFT E</v>
      </c>
    </row>
    <row r="927" spans="1:10">
      <c r="A927">
        <v>1133</v>
      </c>
      <c r="B927" t="s">
        <v>4123</v>
      </c>
      <c r="C927" t="s">
        <v>4124</v>
      </c>
      <c r="D927" t="s">
        <v>28</v>
      </c>
      <c r="E927" t="s">
        <v>491</v>
      </c>
      <c r="F927" t="s">
        <v>1042</v>
      </c>
      <c r="G927" t="str">
        <f t="shared" si="28"/>
        <v>QUALITY</v>
      </c>
      <c r="H927" t="s">
        <v>106</v>
      </c>
      <c r="I927" t="s">
        <v>53</v>
      </c>
      <c r="J927" t="str">
        <f t="shared" si="29"/>
        <v>SHIFT A</v>
      </c>
    </row>
    <row r="928" spans="1:10">
      <c r="A928">
        <v>1134</v>
      </c>
      <c r="B928" t="s">
        <v>4127</v>
      </c>
      <c r="C928" t="s">
        <v>4128</v>
      </c>
      <c r="D928" t="s">
        <v>28</v>
      </c>
      <c r="E928" t="s">
        <v>29</v>
      </c>
      <c r="F928" t="s">
        <v>1216</v>
      </c>
      <c r="G928" t="str">
        <f t="shared" si="28"/>
        <v>FVI</v>
      </c>
      <c r="H928" t="s">
        <v>106</v>
      </c>
      <c r="I928" t="s">
        <v>89</v>
      </c>
      <c r="J928" t="str">
        <f t="shared" si="29"/>
        <v>SHIFT B</v>
      </c>
    </row>
    <row r="929" spans="1:10">
      <c r="A929">
        <v>1135</v>
      </c>
      <c r="B929" t="s">
        <v>4131</v>
      </c>
      <c r="C929" t="s">
        <v>4132</v>
      </c>
      <c r="D929" t="s">
        <v>28</v>
      </c>
      <c r="E929" t="s">
        <v>475</v>
      </c>
      <c r="F929" t="s">
        <v>476</v>
      </c>
      <c r="G929" t="str">
        <f t="shared" si="28"/>
        <v>DESIGN</v>
      </c>
      <c r="H929" t="s">
        <v>34</v>
      </c>
      <c r="I929" t="s">
        <v>89</v>
      </c>
      <c r="J929" t="str">
        <f t="shared" si="29"/>
        <v>SHIFT B</v>
      </c>
    </row>
    <row r="930" spans="1:10">
      <c r="A930">
        <v>1136</v>
      </c>
      <c r="B930" t="s">
        <v>4135</v>
      </c>
      <c r="C930" t="s">
        <v>4136</v>
      </c>
      <c r="D930" t="s">
        <v>28</v>
      </c>
      <c r="E930" t="s">
        <v>29</v>
      </c>
      <c r="F930" t="s">
        <v>1216</v>
      </c>
      <c r="G930" t="str">
        <f t="shared" si="28"/>
        <v>FVI</v>
      </c>
      <c r="H930" t="s">
        <v>106</v>
      </c>
      <c r="I930" t="s">
        <v>53</v>
      </c>
      <c r="J930" t="str">
        <f t="shared" si="29"/>
        <v>SHIFT A</v>
      </c>
    </row>
    <row r="931" spans="1:10">
      <c r="A931">
        <v>1137</v>
      </c>
      <c r="B931" t="s">
        <v>4139</v>
      </c>
      <c r="C931" t="s">
        <v>4140</v>
      </c>
      <c r="D931" t="s">
        <v>28</v>
      </c>
      <c r="E931" t="s">
        <v>29</v>
      </c>
      <c r="F931" t="s">
        <v>1216</v>
      </c>
      <c r="G931" t="str">
        <f t="shared" si="28"/>
        <v>FVI</v>
      </c>
      <c r="H931" t="s">
        <v>106</v>
      </c>
      <c r="I931" t="s">
        <v>89</v>
      </c>
      <c r="J931" t="str">
        <f t="shared" si="29"/>
        <v>SHIFT B</v>
      </c>
    </row>
    <row r="932" spans="1:10">
      <c r="A932">
        <v>1138</v>
      </c>
      <c r="B932" t="s">
        <v>4143</v>
      </c>
      <c r="C932" t="s">
        <v>4144</v>
      </c>
      <c r="D932" t="s">
        <v>28</v>
      </c>
      <c r="E932" t="s">
        <v>29</v>
      </c>
      <c r="F932" t="s">
        <v>1216</v>
      </c>
      <c r="G932" t="str">
        <f t="shared" si="28"/>
        <v>FVI</v>
      </c>
      <c r="H932" t="s">
        <v>106</v>
      </c>
      <c r="I932" t="s">
        <v>146</v>
      </c>
      <c r="J932" t="str">
        <f t="shared" si="29"/>
        <v>SHIFT C</v>
      </c>
    </row>
    <row r="933" spans="1:10">
      <c r="A933">
        <v>1139</v>
      </c>
      <c r="B933" t="s">
        <v>4147</v>
      </c>
      <c r="C933" t="s">
        <v>4148</v>
      </c>
      <c r="D933" t="s">
        <v>28</v>
      </c>
      <c r="E933" t="s">
        <v>29</v>
      </c>
      <c r="F933" t="s">
        <v>537</v>
      </c>
      <c r="G933" t="str">
        <f t="shared" si="28"/>
        <v>MLB</v>
      </c>
      <c r="H933" t="s">
        <v>106</v>
      </c>
      <c r="I933" t="s">
        <v>53</v>
      </c>
      <c r="J933" t="str">
        <f t="shared" si="29"/>
        <v>SHIFT A</v>
      </c>
    </row>
    <row r="934" spans="1:10">
      <c r="A934">
        <v>1140</v>
      </c>
      <c r="B934" t="s">
        <v>4151</v>
      </c>
      <c r="C934" t="s">
        <v>4152</v>
      </c>
      <c r="D934" t="s">
        <v>28</v>
      </c>
      <c r="E934" t="s">
        <v>491</v>
      </c>
      <c r="F934" t="s">
        <v>978</v>
      </c>
      <c r="G934" t="str">
        <f t="shared" si="28"/>
        <v>QUALITY</v>
      </c>
      <c r="H934" t="s">
        <v>106</v>
      </c>
      <c r="I934" t="s">
        <v>146</v>
      </c>
      <c r="J934" t="str">
        <f t="shared" si="29"/>
        <v>SHIFT C</v>
      </c>
    </row>
    <row r="935" spans="1:10">
      <c r="A935">
        <v>1141</v>
      </c>
      <c r="B935" t="s">
        <v>4155</v>
      </c>
      <c r="C935" t="s">
        <v>4156</v>
      </c>
      <c r="D935" t="s">
        <v>28</v>
      </c>
      <c r="E935" t="s">
        <v>491</v>
      </c>
      <c r="F935" t="s">
        <v>978</v>
      </c>
      <c r="G935" t="str">
        <f t="shared" si="28"/>
        <v>QUALITY</v>
      </c>
      <c r="H935" t="s">
        <v>106</v>
      </c>
      <c r="I935" t="s">
        <v>146</v>
      </c>
      <c r="J935" t="str">
        <f t="shared" si="29"/>
        <v>SHIFT C</v>
      </c>
    </row>
    <row r="936" spans="1:10">
      <c r="A936">
        <v>1143</v>
      </c>
      <c r="B936" t="s">
        <v>4163</v>
      </c>
      <c r="C936" t="s">
        <v>4164</v>
      </c>
      <c r="D936" t="s">
        <v>28</v>
      </c>
      <c r="E936" t="s">
        <v>29</v>
      </c>
      <c r="F936" t="s">
        <v>48</v>
      </c>
      <c r="G936" t="str">
        <f t="shared" si="28"/>
        <v>ROUTER</v>
      </c>
      <c r="H936" t="s">
        <v>34</v>
      </c>
      <c r="I936" t="s">
        <v>53</v>
      </c>
      <c r="J936" t="str">
        <f t="shared" si="29"/>
        <v>SHIFT A</v>
      </c>
    </row>
    <row r="937" spans="1:10">
      <c r="A937">
        <v>1144</v>
      </c>
      <c r="B937" t="s">
        <v>4167</v>
      </c>
      <c r="C937" t="s">
        <v>4168</v>
      </c>
      <c r="D937" t="s">
        <v>28</v>
      </c>
      <c r="E937" t="s">
        <v>29</v>
      </c>
      <c r="F937" t="s">
        <v>79</v>
      </c>
      <c r="G937" t="str">
        <f t="shared" si="28"/>
        <v>SM</v>
      </c>
      <c r="H937" t="s">
        <v>34</v>
      </c>
      <c r="I937" t="s">
        <v>89</v>
      </c>
      <c r="J937" t="str">
        <f t="shared" si="29"/>
        <v>SHIFT B</v>
      </c>
    </row>
    <row r="938" spans="1:10">
      <c r="A938">
        <v>1145</v>
      </c>
      <c r="B938" t="s">
        <v>4171</v>
      </c>
      <c r="C938" t="s">
        <v>4172</v>
      </c>
      <c r="D938" t="s">
        <v>28</v>
      </c>
      <c r="E938" t="s">
        <v>29</v>
      </c>
      <c r="F938" t="s">
        <v>79</v>
      </c>
      <c r="G938" t="str">
        <f t="shared" si="28"/>
        <v>SM</v>
      </c>
      <c r="H938" t="s">
        <v>34</v>
      </c>
      <c r="I938" t="s">
        <v>146</v>
      </c>
      <c r="J938" t="str">
        <f t="shared" si="29"/>
        <v>SHIFT C</v>
      </c>
    </row>
    <row r="939" spans="1:10">
      <c r="A939">
        <v>1146</v>
      </c>
      <c r="B939" t="s">
        <v>4175</v>
      </c>
      <c r="C939" t="s">
        <v>4176</v>
      </c>
      <c r="D939" t="s">
        <v>28</v>
      </c>
      <c r="E939" t="s">
        <v>29</v>
      </c>
      <c r="F939" t="s">
        <v>62</v>
      </c>
      <c r="G939" t="str">
        <f t="shared" si="28"/>
        <v>CU</v>
      </c>
      <c r="H939" t="s">
        <v>34</v>
      </c>
      <c r="I939" t="s">
        <v>89</v>
      </c>
      <c r="J939" t="str">
        <f t="shared" si="29"/>
        <v>SHIFT B</v>
      </c>
    </row>
    <row r="940" spans="1:10">
      <c r="A940">
        <v>1147</v>
      </c>
      <c r="B940" t="s">
        <v>4179</v>
      </c>
      <c r="C940" t="s">
        <v>4180</v>
      </c>
      <c r="D940" t="s">
        <v>28</v>
      </c>
      <c r="E940" t="s">
        <v>417</v>
      </c>
      <c r="F940" t="s">
        <v>674</v>
      </c>
      <c r="G940" t="str">
        <f t="shared" si="28"/>
        <v>WAREHOUSE</v>
      </c>
      <c r="H940" t="s">
        <v>34</v>
      </c>
      <c r="I940" t="s">
        <v>53</v>
      </c>
      <c r="J940" t="str">
        <f t="shared" si="29"/>
        <v>SHIFT A</v>
      </c>
    </row>
    <row r="941" spans="1:10">
      <c r="A941">
        <v>1148</v>
      </c>
      <c r="B941" t="s">
        <v>4183</v>
      </c>
      <c r="C941" t="s">
        <v>4184</v>
      </c>
      <c r="D941" t="s">
        <v>28</v>
      </c>
      <c r="E941" t="s">
        <v>29</v>
      </c>
      <c r="F941" t="s">
        <v>85</v>
      </c>
      <c r="G941" t="str">
        <f t="shared" si="28"/>
        <v>DRILL</v>
      </c>
      <c r="H941" t="s">
        <v>34</v>
      </c>
      <c r="I941" t="s">
        <v>53</v>
      </c>
      <c r="J941" t="str">
        <f t="shared" si="29"/>
        <v>SHIFT A</v>
      </c>
    </row>
    <row r="942" spans="1:10">
      <c r="A942">
        <v>1150</v>
      </c>
      <c r="B942" t="s">
        <v>4191</v>
      </c>
      <c r="C942" t="s">
        <v>4192</v>
      </c>
      <c r="D942" t="s">
        <v>28</v>
      </c>
      <c r="E942" t="s">
        <v>29</v>
      </c>
      <c r="F942" t="s">
        <v>79</v>
      </c>
      <c r="G942" t="str">
        <f t="shared" si="28"/>
        <v>SM</v>
      </c>
      <c r="H942" t="s">
        <v>34</v>
      </c>
      <c r="I942" t="s">
        <v>53</v>
      </c>
      <c r="J942" t="str">
        <f t="shared" si="29"/>
        <v>SHIFT A</v>
      </c>
    </row>
    <row r="943" spans="1:10">
      <c r="A943">
        <v>1151</v>
      </c>
      <c r="B943" t="s">
        <v>4195</v>
      </c>
      <c r="C943" t="s">
        <v>4196</v>
      </c>
      <c r="D943" t="s">
        <v>28</v>
      </c>
      <c r="E943" t="s">
        <v>29</v>
      </c>
      <c r="F943" t="s">
        <v>680</v>
      </c>
      <c r="G943" t="str">
        <f t="shared" si="28"/>
        <v>CHAMFER</v>
      </c>
      <c r="H943" t="s">
        <v>34</v>
      </c>
      <c r="I943" t="s">
        <v>53</v>
      </c>
      <c r="J943" t="str">
        <f t="shared" si="29"/>
        <v>SHIFT A</v>
      </c>
    </row>
    <row r="944" spans="1:10">
      <c r="A944">
        <v>1152</v>
      </c>
      <c r="B944" t="s">
        <v>4199</v>
      </c>
      <c r="C944" t="s">
        <v>4200</v>
      </c>
      <c r="D944" t="s">
        <v>28</v>
      </c>
      <c r="E944" t="s">
        <v>417</v>
      </c>
      <c r="F944" t="s">
        <v>756</v>
      </c>
      <c r="G944" t="str">
        <f t="shared" si="28"/>
        <v>WAREHOUSE</v>
      </c>
      <c r="H944" t="s">
        <v>34</v>
      </c>
      <c r="I944" t="s">
        <v>146</v>
      </c>
      <c r="J944" t="str">
        <f t="shared" si="29"/>
        <v>SHIFT C</v>
      </c>
    </row>
    <row r="945" spans="1:10">
      <c r="A945">
        <v>1153</v>
      </c>
      <c r="B945" t="s">
        <v>4203</v>
      </c>
      <c r="C945" t="s">
        <v>4204</v>
      </c>
      <c r="D945" t="s">
        <v>28</v>
      </c>
      <c r="E945" t="s">
        <v>29</v>
      </c>
      <c r="F945" t="s">
        <v>56</v>
      </c>
      <c r="G945" t="str">
        <f t="shared" si="28"/>
        <v>AOI</v>
      </c>
      <c r="H945" t="s">
        <v>34</v>
      </c>
      <c r="I945" t="s">
        <v>53</v>
      </c>
      <c r="J945" t="str">
        <f t="shared" si="29"/>
        <v>SHIFT A</v>
      </c>
    </row>
    <row r="946" spans="1:10">
      <c r="A946">
        <v>1154</v>
      </c>
      <c r="B946" t="s">
        <v>4207</v>
      </c>
      <c r="C946" t="s">
        <v>4208</v>
      </c>
      <c r="D946" t="s">
        <v>28</v>
      </c>
      <c r="E946" t="s">
        <v>29</v>
      </c>
      <c r="F946" t="s">
        <v>1216</v>
      </c>
      <c r="G946" t="str">
        <f t="shared" si="28"/>
        <v>FVI</v>
      </c>
      <c r="H946" t="s">
        <v>106</v>
      </c>
      <c r="I946" t="s">
        <v>89</v>
      </c>
      <c r="J946" t="str">
        <f t="shared" si="29"/>
        <v>SHIFT B</v>
      </c>
    </row>
    <row r="947" spans="1:10">
      <c r="A947">
        <v>1155</v>
      </c>
      <c r="B947" t="s">
        <v>4211</v>
      </c>
      <c r="C947" t="s">
        <v>4212</v>
      </c>
      <c r="D947" t="s">
        <v>28</v>
      </c>
      <c r="E947" t="s">
        <v>29</v>
      </c>
      <c r="F947" t="s">
        <v>1216</v>
      </c>
      <c r="G947" t="str">
        <f t="shared" si="28"/>
        <v>FVI</v>
      </c>
      <c r="H947" t="s">
        <v>106</v>
      </c>
      <c r="I947" t="s">
        <v>89</v>
      </c>
      <c r="J947" t="str">
        <f t="shared" si="29"/>
        <v>SHIFT B</v>
      </c>
    </row>
    <row r="948" spans="1:10">
      <c r="A948">
        <v>1156</v>
      </c>
      <c r="B948" t="s">
        <v>4215</v>
      </c>
      <c r="C948" t="s">
        <v>4216</v>
      </c>
      <c r="D948" t="s">
        <v>28</v>
      </c>
      <c r="E948" t="s">
        <v>29</v>
      </c>
      <c r="F948" t="s">
        <v>72</v>
      </c>
      <c r="G948" t="str">
        <f t="shared" si="28"/>
        <v>BBT</v>
      </c>
      <c r="H948" t="s">
        <v>34</v>
      </c>
      <c r="I948" t="s">
        <v>40</v>
      </c>
      <c r="J948" t="str">
        <f t="shared" si="29"/>
        <v>SHIFT E</v>
      </c>
    </row>
    <row r="949" spans="1:10">
      <c r="A949">
        <v>1157</v>
      </c>
      <c r="B949" t="s">
        <v>4219</v>
      </c>
      <c r="C949" t="s">
        <v>4220</v>
      </c>
      <c r="D949" t="s">
        <v>28</v>
      </c>
      <c r="E949" t="s">
        <v>29</v>
      </c>
      <c r="F949" t="s">
        <v>680</v>
      </c>
      <c r="G949" t="str">
        <f t="shared" si="28"/>
        <v>CHAMFER</v>
      </c>
      <c r="H949" t="s">
        <v>34</v>
      </c>
      <c r="I949" t="s">
        <v>89</v>
      </c>
      <c r="J949" t="str">
        <f t="shared" si="29"/>
        <v>SHIFT B</v>
      </c>
    </row>
    <row r="950" spans="1:10">
      <c r="A950">
        <v>1158</v>
      </c>
      <c r="B950" t="s">
        <v>4223</v>
      </c>
      <c r="C950" t="s">
        <v>4224</v>
      </c>
      <c r="D950" t="s">
        <v>28</v>
      </c>
      <c r="E950" t="s">
        <v>29</v>
      </c>
      <c r="F950" t="s">
        <v>123</v>
      </c>
      <c r="G950" t="str">
        <f t="shared" si="28"/>
        <v>PACKING</v>
      </c>
      <c r="H950" t="s">
        <v>34</v>
      </c>
      <c r="I950" t="s">
        <v>89</v>
      </c>
      <c r="J950" t="str">
        <f t="shared" si="29"/>
        <v>SHIFT B</v>
      </c>
    </row>
    <row r="951" spans="1:10">
      <c r="A951">
        <v>1159</v>
      </c>
      <c r="B951" t="s">
        <v>4227</v>
      </c>
      <c r="C951" t="s">
        <v>4228</v>
      </c>
      <c r="D951" t="s">
        <v>28</v>
      </c>
      <c r="E951" t="s">
        <v>491</v>
      </c>
      <c r="F951" t="s">
        <v>1042</v>
      </c>
      <c r="G951" t="str">
        <f t="shared" si="28"/>
        <v>QUALITY</v>
      </c>
      <c r="H951" t="s">
        <v>34</v>
      </c>
      <c r="I951" t="s">
        <v>89</v>
      </c>
      <c r="J951" t="str">
        <f t="shared" si="29"/>
        <v>SHIFT B</v>
      </c>
    </row>
    <row r="952" spans="1:10">
      <c r="A952">
        <v>1160</v>
      </c>
      <c r="B952" t="s">
        <v>4231</v>
      </c>
      <c r="C952" t="s">
        <v>4232</v>
      </c>
      <c r="D952" t="s">
        <v>28</v>
      </c>
      <c r="E952" t="s">
        <v>29</v>
      </c>
      <c r="F952" t="s">
        <v>72</v>
      </c>
      <c r="G952" t="str">
        <f t="shared" si="28"/>
        <v>BBT</v>
      </c>
      <c r="H952" t="s">
        <v>34</v>
      </c>
      <c r="I952" t="s">
        <v>146</v>
      </c>
      <c r="J952" t="str">
        <f t="shared" si="29"/>
        <v>SHIFT C</v>
      </c>
    </row>
    <row r="953" spans="1:10">
      <c r="A953">
        <v>1161</v>
      </c>
      <c r="B953" t="s">
        <v>4235</v>
      </c>
      <c r="C953" t="s">
        <v>4236</v>
      </c>
      <c r="D953" t="s">
        <v>28</v>
      </c>
      <c r="E953" t="s">
        <v>417</v>
      </c>
      <c r="F953" t="s">
        <v>674</v>
      </c>
      <c r="G953" t="str">
        <f t="shared" si="28"/>
        <v>WAREHOUSE</v>
      </c>
      <c r="H953" t="s">
        <v>106</v>
      </c>
      <c r="I953" t="s">
        <v>53</v>
      </c>
      <c r="J953" t="str">
        <f t="shared" si="29"/>
        <v>SHIFT A</v>
      </c>
    </row>
    <row r="954" spans="1:10">
      <c r="A954">
        <v>1162</v>
      </c>
      <c r="B954" t="s">
        <v>4239</v>
      </c>
      <c r="C954" t="s">
        <v>4240</v>
      </c>
      <c r="D954" t="s">
        <v>28</v>
      </c>
      <c r="E954" t="s">
        <v>491</v>
      </c>
      <c r="F954" t="s">
        <v>978</v>
      </c>
      <c r="G954" t="str">
        <f t="shared" si="28"/>
        <v>QUALITY</v>
      </c>
      <c r="H954" t="s">
        <v>34</v>
      </c>
      <c r="I954" t="s">
        <v>89</v>
      </c>
      <c r="J954" t="str">
        <f t="shared" si="29"/>
        <v>SHIFT B</v>
      </c>
    </row>
    <row r="955" spans="1:10">
      <c r="A955">
        <v>1164</v>
      </c>
      <c r="B955" t="s">
        <v>4247</v>
      </c>
      <c r="C955" t="s">
        <v>4248</v>
      </c>
      <c r="D955" t="s">
        <v>765</v>
      </c>
      <c r="E955" t="s">
        <v>706</v>
      </c>
      <c r="F955" t="s">
        <v>707</v>
      </c>
      <c r="G955" t="str">
        <f t="shared" si="28"/>
        <v>FACILITY</v>
      </c>
      <c r="H955" t="s">
        <v>34</v>
      </c>
      <c r="I955" t="s">
        <v>53</v>
      </c>
      <c r="J955" t="str">
        <f t="shared" si="29"/>
        <v>SHIFT A</v>
      </c>
    </row>
    <row r="956" spans="1:10">
      <c r="A956">
        <v>1166</v>
      </c>
      <c r="B956" t="s">
        <v>4255</v>
      </c>
      <c r="C956" t="s">
        <v>4256</v>
      </c>
      <c r="D956" t="s">
        <v>28</v>
      </c>
      <c r="E956" t="s">
        <v>491</v>
      </c>
      <c r="F956" t="s">
        <v>1042</v>
      </c>
      <c r="G956" t="str">
        <f t="shared" si="28"/>
        <v>QUALITY</v>
      </c>
      <c r="H956" t="s">
        <v>106</v>
      </c>
      <c r="I956" t="s">
        <v>53</v>
      </c>
      <c r="J956" t="str">
        <f t="shared" si="29"/>
        <v>SHIFT A</v>
      </c>
    </row>
    <row r="957" spans="1:10">
      <c r="A957">
        <v>1167</v>
      </c>
      <c r="B957" t="s">
        <v>4259</v>
      </c>
      <c r="C957" t="s">
        <v>4260</v>
      </c>
      <c r="D957" t="s">
        <v>28</v>
      </c>
      <c r="E957" t="s">
        <v>29</v>
      </c>
      <c r="F957" t="s">
        <v>79</v>
      </c>
      <c r="G957" t="str">
        <f t="shared" si="28"/>
        <v>SM</v>
      </c>
      <c r="H957" t="s">
        <v>34</v>
      </c>
      <c r="I957" t="s">
        <v>146</v>
      </c>
      <c r="J957" t="str">
        <f t="shared" si="29"/>
        <v>SHIFT C</v>
      </c>
    </row>
    <row r="958" spans="1:10">
      <c r="A958">
        <v>1168</v>
      </c>
      <c r="B958" t="s">
        <v>4263</v>
      </c>
      <c r="C958" t="s">
        <v>4264</v>
      </c>
      <c r="D958" t="s">
        <v>28</v>
      </c>
      <c r="E958" t="s">
        <v>29</v>
      </c>
      <c r="F958" t="s">
        <v>537</v>
      </c>
      <c r="G958" t="str">
        <f t="shared" si="28"/>
        <v>MLB</v>
      </c>
      <c r="H958" t="s">
        <v>34</v>
      </c>
      <c r="I958" t="s">
        <v>146</v>
      </c>
      <c r="J958" t="str">
        <f t="shared" si="29"/>
        <v>SHIFT C</v>
      </c>
    </row>
    <row r="959" spans="1:10">
      <c r="A959">
        <v>1169</v>
      </c>
      <c r="B959" t="s">
        <v>4267</v>
      </c>
      <c r="C959" t="s">
        <v>4268</v>
      </c>
      <c r="D959" t="s">
        <v>28</v>
      </c>
      <c r="E959" t="s">
        <v>29</v>
      </c>
      <c r="F959" t="s">
        <v>537</v>
      </c>
      <c r="G959" t="str">
        <f t="shared" si="28"/>
        <v>MLB</v>
      </c>
      <c r="H959" t="s">
        <v>34</v>
      </c>
      <c r="I959" t="s">
        <v>53</v>
      </c>
      <c r="J959" t="str">
        <f t="shared" si="29"/>
        <v>SHIFT A</v>
      </c>
    </row>
    <row r="960" spans="1:10">
      <c r="A960">
        <v>1170</v>
      </c>
      <c r="B960" t="s">
        <v>4271</v>
      </c>
      <c r="C960" t="s">
        <v>4272</v>
      </c>
      <c r="D960" t="s">
        <v>28</v>
      </c>
      <c r="E960" t="s">
        <v>29</v>
      </c>
      <c r="F960" t="s">
        <v>537</v>
      </c>
      <c r="G960" t="str">
        <f t="shared" si="28"/>
        <v>MLB</v>
      </c>
      <c r="H960" t="s">
        <v>34</v>
      </c>
      <c r="I960" t="s">
        <v>89</v>
      </c>
      <c r="J960" t="str">
        <f t="shared" si="29"/>
        <v>SHIFT B</v>
      </c>
    </row>
    <row r="961" spans="1:10">
      <c r="A961">
        <v>1171</v>
      </c>
      <c r="B961" t="s">
        <v>4275</v>
      </c>
      <c r="C961" t="s">
        <v>4276</v>
      </c>
      <c r="D961" t="s">
        <v>28</v>
      </c>
      <c r="E961" t="s">
        <v>29</v>
      </c>
      <c r="F961" t="s">
        <v>48</v>
      </c>
      <c r="G961" t="str">
        <f t="shared" si="28"/>
        <v>ROUTER</v>
      </c>
      <c r="H961" t="s">
        <v>34</v>
      </c>
      <c r="I961" t="s">
        <v>89</v>
      </c>
      <c r="J961" t="str">
        <f t="shared" si="29"/>
        <v>SHIFT B</v>
      </c>
    </row>
    <row r="962" spans="1:10">
      <c r="A962">
        <v>1172</v>
      </c>
      <c r="B962" t="s">
        <v>4279</v>
      </c>
      <c r="C962" t="s">
        <v>4280</v>
      </c>
      <c r="D962" t="s">
        <v>28</v>
      </c>
      <c r="E962" t="s">
        <v>29</v>
      </c>
      <c r="F962" t="s">
        <v>56</v>
      </c>
      <c r="G962" t="str">
        <f t="shared" si="28"/>
        <v>AOI</v>
      </c>
      <c r="H962" t="s">
        <v>106</v>
      </c>
      <c r="I962" t="s">
        <v>89</v>
      </c>
      <c r="J962" t="str">
        <f t="shared" si="29"/>
        <v>SHIFT B</v>
      </c>
    </row>
    <row r="963" spans="1:10">
      <c r="A963">
        <v>1173</v>
      </c>
      <c r="B963" t="s">
        <v>4283</v>
      </c>
      <c r="C963" t="s">
        <v>4284</v>
      </c>
      <c r="D963" t="s">
        <v>28</v>
      </c>
      <c r="E963" t="s">
        <v>29</v>
      </c>
      <c r="F963" t="s">
        <v>56</v>
      </c>
      <c r="G963" t="str">
        <f t="shared" si="28"/>
        <v>AOI</v>
      </c>
      <c r="H963" t="s">
        <v>106</v>
      </c>
      <c r="I963" t="s">
        <v>146</v>
      </c>
      <c r="J963" t="str">
        <f t="shared" si="29"/>
        <v>SHIFT C</v>
      </c>
    </row>
    <row r="964" spans="1:10">
      <c r="A964">
        <v>1174</v>
      </c>
      <c r="B964" t="s">
        <v>4287</v>
      </c>
      <c r="C964" t="s">
        <v>4288</v>
      </c>
      <c r="D964" t="s">
        <v>28</v>
      </c>
      <c r="E964" t="s">
        <v>29</v>
      </c>
      <c r="F964" t="s">
        <v>72</v>
      </c>
      <c r="G964" t="str">
        <f t="shared" ref="G964:G1027" si="30">IF(OR(ISNUMBER(SEARCH("P1",F964)),ISNUMBER(SEARCH("P2",F964)),ISNUMBER(SEARCH("P3",F964)),ISNUMBER(SEARCH("P4",F964)),ISNUMBER(SEARCH("P5",F964))),"EQUIPMENT",
IF(ISNUMBER(SEARCH("Warehouse",F964)),"WAREHOUSE",
IF(ISNUMBER(SEARCH("WWTP",F964)),"ENVIRONMENT",
IF(OR(ISNUMBER(SEARCH("QC",F964)),ISNUMBER(SEARCH("RELIABILITY",F964)),ISNUMBER(SEARCH("OQA",F964)),ISNUMBER(SEARCH("CHEMICAL",F964))),"QUALITY",
IF(OR(ISNUMBER(SEARCH("OPERATION",F964)),ISNUMBER(SEARCH("PSM",F964))),"HS",
IF(ISNUMBER(SEARCH("FVI",F964)),"FVI",
IF(OR(ISNUMBER(SEARCH("ELECTRICITY",F964)),ISNUMBER(SEARCH("FACILITIES",F964)),ISNUMBER(SEARCH("MECHANICAL",F964))),"FACILITY",F964)))))))</f>
        <v>BBT</v>
      </c>
      <c r="H964" t="s">
        <v>106</v>
      </c>
      <c r="I964" t="s">
        <v>53</v>
      </c>
      <c r="J964" t="str">
        <f t="shared" ref="J964:J1027" si="31">IF(ISNUMBER(SEARCH("GROUP C",I964)),"SHIFT C",
IF(ISNUMBER(SEARCH("GROUP A",I964)),"SHIFT A",
IF(ISNUMBER(SEARCH("GROUP O",I964)),"SHIFT O",
IF(ISNUMBER(SEARCH("GROUP B",I964)),"SHIFT B",
IF(ISNUMBER(SEARCH("GROUP E",I964)),"SHIFT E","")))))</f>
        <v>SHIFT A</v>
      </c>
    </row>
    <row r="965" spans="1:10">
      <c r="A965">
        <v>1175</v>
      </c>
      <c r="B965" t="s">
        <v>4291</v>
      </c>
      <c r="C965" t="s">
        <v>4292</v>
      </c>
      <c r="D965" t="s">
        <v>28</v>
      </c>
      <c r="E965" t="s">
        <v>29</v>
      </c>
      <c r="F965" t="s">
        <v>56</v>
      </c>
      <c r="G965" t="str">
        <f t="shared" si="30"/>
        <v>AOI</v>
      </c>
      <c r="H965" t="s">
        <v>106</v>
      </c>
      <c r="I965" t="s">
        <v>53</v>
      </c>
      <c r="J965" t="str">
        <f t="shared" si="31"/>
        <v>SHIFT A</v>
      </c>
    </row>
    <row r="966" spans="1:10">
      <c r="A966">
        <v>1176</v>
      </c>
      <c r="B966" t="s">
        <v>4295</v>
      </c>
      <c r="C966" t="s">
        <v>4296</v>
      </c>
      <c r="D966" t="s">
        <v>28</v>
      </c>
      <c r="E966" t="s">
        <v>29</v>
      </c>
      <c r="F966" t="s">
        <v>537</v>
      </c>
      <c r="G966" t="str">
        <f t="shared" si="30"/>
        <v>MLB</v>
      </c>
      <c r="H966" t="s">
        <v>34</v>
      </c>
      <c r="I966" t="s">
        <v>53</v>
      </c>
      <c r="J966" t="str">
        <f t="shared" si="31"/>
        <v>SHIFT A</v>
      </c>
    </row>
    <row r="967" spans="1:10">
      <c r="A967">
        <v>1177</v>
      </c>
      <c r="B967" t="s">
        <v>4299</v>
      </c>
      <c r="C967" t="s">
        <v>4300</v>
      </c>
      <c r="D967" t="s">
        <v>28</v>
      </c>
      <c r="E967" t="s">
        <v>29</v>
      </c>
      <c r="F967" t="s">
        <v>72</v>
      </c>
      <c r="G967" t="str">
        <f t="shared" si="30"/>
        <v>BBT</v>
      </c>
      <c r="H967" t="s">
        <v>106</v>
      </c>
      <c r="I967" t="s">
        <v>146</v>
      </c>
      <c r="J967" t="str">
        <f t="shared" si="31"/>
        <v>SHIFT C</v>
      </c>
    </row>
    <row r="968" spans="1:10">
      <c r="A968">
        <v>1178</v>
      </c>
      <c r="B968" t="s">
        <v>4303</v>
      </c>
      <c r="C968" t="s">
        <v>4304</v>
      </c>
      <c r="D968" t="s">
        <v>28</v>
      </c>
      <c r="E968" t="s">
        <v>29</v>
      </c>
      <c r="F968" t="s">
        <v>123</v>
      </c>
      <c r="G968" t="str">
        <f t="shared" si="30"/>
        <v>PACKING</v>
      </c>
      <c r="H968" t="s">
        <v>34</v>
      </c>
      <c r="I968" t="s">
        <v>53</v>
      </c>
      <c r="J968" t="str">
        <f t="shared" si="31"/>
        <v>SHIFT A</v>
      </c>
    </row>
    <row r="969" spans="1:10">
      <c r="A969">
        <v>1179</v>
      </c>
      <c r="B969" t="s">
        <v>4307</v>
      </c>
      <c r="C969" t="s">
        <v>4308</v>
      </c>
      <c r="D969" t="s">
        <v>28</v>
      </c>
      <c r="E969" t="s">
        <v>29</v>
      </c>
      <c r="F969" t="s">
        <v>72</v>
      </c>
      <c r="G969" t="str">
        <f t="shared" si="30"/>
        <v>BBT</v>
      </c>
      <c r="H969" t="s">
        <v>34</v>
      </c>
      <c r="I969" t="s">
        <v>53</v>
      </c>
      <c r="J969" t="str">
        <f t="shared" si="31"/>
        <v>SHIFT A</v>
      </c>
    </row>
    <row r="970" spans="1:10">
      <c r="A970">
        <v>1180</v>
      </c>
      <c r="B970" t="s">
        <v>4311</v>
      </c>
      <c r="C970" t="s">
        <v>4312</v>
      </c>
      <c r="D970" t="s">
        <v>28</v>
      </c>
      <c r="E970" t="s">
        <v>29</v>
      </c>
      <c r="F970" t="s">
        <v>56</v>
      </c>
      <c r="G970" t="str">
        <f t="shared" si="30"/>
        <v>AOI</v>
      </c>
      <c r="H970" t="s">
        <v>34</v>
      </c>
      <c r="I970" t="s">
        <v>53</v>
      </c>
      <c r="J970" t="str">
        <f t="shared" si="31"/>
        <v>SHIFT A</v>
      </c>
    </row>
    <row r="971" spans="1:10">
      <c r="A971">
        <v>1181</v>
      </c>
      <c r="B971" t="s">
        <v>4315</v>
      </c>
      <c r="C971" t="s">
        <v>4316</v>
      </c>
      <c r="D971" t="s">
        <v>28</v>
      </c>
      <c r="E971" t="s">
        <v>29</v>
      </c>
      <c r="F971" t="s">
        <v>56</v>
      </c>
      <c r="G971" t="str">
        <f t="shared" si="30"/>
        <v>AOI</v>
      </c>
      <c r="H971" t="s">
        <v>34</v>
      </c>
      <c r="I971" t="s">
        <v>89</v>
      </c>
      <c r="J971" t="str">
        <f t="shared" si="31"/>
        <v>SHIFT B</v>
      </c>
    </row>
    <row r="972" spans="1:10">
      <c r="A972">
        <v>1182</v>
      </c>
      <c r="B972" t="s">
        <v>4319</v>
      </c>
      <c r="C972" t="s">
        <v>4320</v>
      </c>
      <c r="D972" t="s">
        <v>28</v>
      </c>
      <c r="E972" t="s">
        <v>29</v>
      </c>
      <c r="F972" t="s">
        <v>56</v>
      </c>
      <c r="G972" t="str">
        <f t="shared" si="30"/>
        <v>AOI</v>
      </c>
      <c r="H972" t="s">
        <v>34</v>
      </c>
      <c r="I972" t="s">
        <v>146</v>
      </c>
      <c r="J972" t="str">
        <f t="shared" si="31"/>
        <v>SHIFT C</v>
      </c>
    </row>
    <row r="973" spans="1:10">
      <c r="A973">
        <v>1183</v>
      </c>
      <c r="B973" t="s">
        <v>4323</v>
      </c>
      <c r="C973" t="s">
        <v>4324</v>
      </c>
      <c r="D973" t="s">
        <v>28</v>
      </c>
      <c r="E973" t="s">
        <v>29</v>
      </c>
      <c r="F973" t="s">
        <v>30</v>
      </c>
      <c r="G973" t="str">
        <f t="shared" si="30"/>
        <v>DF</v>
      </c>
      <c r="H973" t="s">
        <v>34</v>
      </c>
      <c r="I973" t="s">
        <v>76</v>
      </c>
      <c r="J973" t="str">
        <f t="shared" si="31"/>
        <v>SHIFT E</v>
      </c>
    </row>
    <row r="974" spans="1:10">
      <c r="A974">
        <v>1184</v>
      </c>
      <c r="B974" t="s">
        <v>4327</v>
      </c>
      <c r="C974" t="s">
        <v>4328</v>
      </c>
      <c r="D974" t="s">
        <v>28</v>
      </c>
      <c r="E974" t="s">
        <v>29</v>
      </c>
      <c r="F974" t="s">
        <v>30</v>
      </c>
      <c r="G974" t="str">
        <f t="shared" si="30"/>
        <v>DF</v>
      </c>
      <c r="H974" t="s">
        <v>34</v>
      </c>
      <c r="I974" t="s">
        <v>40</v>
      </c>
      <c r="J974" t="str">
        <f t="shared" si="31"/>
        <v>SHIFT E</v>
      </c>
    </row>
    <row r="975" spans="1:10">
      <c r="A975">
        <v>1185</v>
      </c>
      <c r="B975" t="s">
        <v>4331</v>
      </c>
      <c r="C975" t="s">
        <v>4332</v>
      </c>
      <c r="D975" t="s">
        <v>28</v>
      </c>
      <c r="E975" t="s">
        <v>29</v>
      </c>
      <c r="F975" t="s">
        <v>30</v>
      </c>
      <c r="G975" t="str">
        <f t="shared" si="30"/>
        <v>DF</v>
      </c>
      <c r="H975" t="s">
        <v>34</v>
      </c>
      <c r="I975" t="s">
        <v>76</v>
      </c>
      <c r="J975" t="str">
        <f t="shared" si="31"/>
        <v>SHIFT E</v>
      </c>
    </row>
    <row r="976" spans="1:10">
      <c r="A976">
        <v>1186</v>
      </c>
      <c r="B976" t="s">
        <v>4335</v>
      </c>
      <c r="C976" t="s">
        <v>4336</v>
      </c>
      <c r="D976" t="s">
        <v>28</v>
      </c>
      <c r="E976" t="s">
        <v>29</v>
      </c>
      <c r="F976" t="s">
        <v>72</v>
      </c>
      <c r="G976" t="str">
        <f t="shared" si="30"/>
        <v>BBT</v>
      </c>
      <c r="H976" t="s">
        <v>106</v>
      </c>
      <c r="I976" t="s">
        <v>40</v>
      </c>
      <c r="J976" t="str">
        <f t="shared" si="31"/>
        <v>SHIFT E</v>
      </c>
    </row>
    <row r="977" spans="1:10">
      <c r="A977">
        <v>1187</v>
      </c>
      <c r="B977" t="s">
        <v>4339</v>
      </c>
      <c r="C977" t="s">
        <v>4340</v>
      </c>
      <c r="D977" t="s">
        <v>28</v>
      </c>
      <c r="E977" t="s">
        <v>29</v>
      </c>
      <c r="F977" t="s">
        <v>56</v>
      </c>
      <c r="G977" t="str">
        <f t="shared" si="30"/>
        <v>AOI</v>
      </c>
      <c r="H977" t="s">
        <v>106</v>
      </c>
      <c r="I977" t="s">
        <v>146</v>
      </c>
      <c r="J977" t="str">
        <f t="shared" si="31"/>
        <v>SHIFT C</v>
      </c>
    </row>
    <row r="978" spans="1:10">
      <c r="A978">
        <v>1188</v>
      </c>
      <c r="B978" t="s">
        <v>4343</v>
      </c>
      <c r="C978" t="s">
        <v>4344</v>
      </c>
      <c r="D978" t="s">
        <v>28</v>
      </c>
      <c r="E978" t="s">
        <v>29</v>
      </c>
      <c r="F978" t="s">
        <v>56</v>
      </c>
      <c r="G978" t="str">
        <f t="shared" si="30"/>
        <v>AOI</v>
      </c>
      <c r="H978" t="s">
        <v>106</v>
      </c>
      <c r="I978" t="s">
        <v>40</v>
      </c>
      <c r="J978" t="str">
        <f t="shared" si="31"/>
        <v>SHIFT E</v>
      </c>
    </row>
    <row r="979" spans="1:10">
      <c r="A979">
        <v>1189</v>
      </c>
      <c r="B979" t="s">
        <v>4347</v>
      </c>
      <c r="C979" t="s">
        <v>4348</v>
      </c>
      <c r="D979" t="s">
        <v>28</v>
      </c>
      <c r="E979" t="s">
        <v>29</v>
      </c>
      <c r="F979" t="s">
        <v>56</v>
      </c>
      <c r="G979" t="str">
        <f t="shared" si="30"/>
        <v>AOI</v>
      </c>
      <c r="H979" t="s">
        <v>106</v>
      </c>
      <c r="I979" t="s">
        <v>146</v>
      </c>
      <c r="J979" t="str">
        <f t="shared" si="31"/>
        <v>SHIFT C</v>
      </c>
    </row>
    <row r="980" spans="1:10">
      <c r="A980">
        <v>1190</v>
      </c>
      <c r="B980" t="s">
        <v>4351</v>
      </c>
      <c r="C980" t="s">
        <v>4352</v>
      </c>
      <c r="D980" t="s">
        <v>765</v>
      </c>
      <c r="E980" t="s">
        <v>744</v>
      </c>
      <c r="F980" t="s">
        <v>38</v>
      </c>
      <c r="G980" t="str">
        <f t="shared" si="30"/>
        <v>HS</v>
      </c>
      <c r="H980" t="s">
        <v>34</v>
      </c>
      <c r="I980" t="s">
        <v>146</v>
      </c>
      <c r="J980" t="str">
        <f t="shared" si="31"/>
        <v>SHIFT C</v>
      </c>
    </row>
    <row r="981" spans="1:10">
      <c r="A981">
        <v>1193</v>
      </c>
      <c r="B981" t="s">
        <v>4363</v>
      </c>
      <c r="C981" t="s">
        <v>4364</v>
      </c>
      <c r="D981" t="s">
        <v>765</v>
      </c>
      <c r="E981" t="s">
        <v>744</v>
      </c>
      <c r="F981" t="s">
        <v>38</v>
      </c>
      <c r="G981" t="str">
        <f t="shared" si="30"/>
        <v>HS</v>
      </c>
      <c r="H981" t="s">
        <v>34</v>
      </c>
      <c r="I981" t="s">
        <v>53</v>
      </c>
      <c r="J981" t="str">
        <f t="shared" si="31"/>
        <v>SHIFT A</v>
      </c>
    </row>
    <row r="982" spans="1:10">
      <c r="A982">
        <v>1196</v>
      </c>
      <c r="B982" t="s">
        <v>4375</v>
      </c>
      <c r="C982" t="s">
        <v>4376</v>
      </c>
      <c r="D982" t="s">
        <v>668</v>
      </c>
      <c r="E982" t="s">
        <v>706</v>
      </c>
      <c r="F982" t="s">
        <v>707</v>
      </c>
      <c r="G982" t="str">
        <f t="shared" si="30"/>
        <v>FACILITY</v>
      </c>
      <c r="H982" t="s">
        <v>34</v>
      </c>
      <c r="I982" t="s">
        <v>146</v>
      </c>
      <c r="J982" t="str">
        <f t="shared" si="31"/>
        <v>SHIFT C</v>
      </c>
    </row>
    <row r="983" spans="1:10">
      <c r="A983">
        <v>1201</v>
      </c>
      <c r="B983" t="s">
        <v>4393</v>
      </c>
      <c r="C983" t="s">
        <v>4394</v>
      </c>
      <c r="D983" t="s">
        <v>733</v>
      </c>
      <c r="E983" t="s">
        <v>706</v>
      </c>
      <c r="F983" t="s">
        <v>707</v>
      </c>
      <c r="G983" t="str">
        <f t="shared" si="30"/>
        <v>FACILITY</v>
      </c>
      <c r="H983" t="s">
        <v>34</v>
      </c>
      <c r="I983" t="s">
        <v>53</v>
      </c>
      <c r="J983" t="str">
        <f t="shared" si="31"/>
        <v>SHIFT A</v>
      </c>
    </row>
    <row r="984" spans="1:10">
      <c r="A984">
        <v>1206</v>
      </c>
      <c r="B984" t="s">
        <v>4413</v>
      </c>
      <c r="C984" t="s">
        <v>4414</v>
      </c>
      <c r="D984" t="s">
        <v>733</v>
      </c>
      <c r="E984" t="s">
        <v>744</v>
      </c>
      <c r="F984" t="s">
        <v>745</v>
      </c>
      <c r="G984" t="str">
        <f t="shared" si="30"/>
        <v>HS</v>
      </c>
      <c r="H984" t="s">
        <v>34</v>
      </c>
      <c r="I984" t="s">
        <v>53</v>
      </c>
      <c r="J984" t="str">
        <f t="shared" si="31"/>
        <v>SHIFT A</v>
      </c>
    </row>
    <row r="985" spans="1:10">
      <c r="A985">
        <v>1207</v>
      </c>
      <c r="B985" t="s">
        <v>4417</v>
      </c>
      <c r="C985" t="s">
        <v>4418</v>
      </c>
      <c r="D985" t="s">
        <v>28</v>
      </c>
      <c r="E985" t="s">
        <v>417</v>
      </c>
      <c r="F985" t="s">
        <v>674</v>
      </c>
      <c r="G985" t="str">
        <f t="shared" si="30"/>
        <v>WAREHOUSE</v>
      </c>
      <c r="H985" t="s">
        <v>106</v>
      </c>
      <c r="I985" t="s">
        <v>146</v>
      </c>
      <c r="J985" t="str">
        <f t="shared" si="31"/>
        <v>SHIFT C</v>
      </c>
    </row>
    <row r="986" spans="1:10">
      <c r="A986">
        <v>1223</v>
      </c>
      <c r="B986" t="s">
        <v>4484</v>
      </c>
      <c r="C986" t="s">
        <v>4485</v>
      </c>
      <c r="D986" t="s">
        <v>28</v>
      </c>
      <c r="E986" t="s">
        <v>29</v>
      </c>
      <c r="F986" t="s">
        <v>1216</v>
      </c>
      <c r="G986" t="str">
        <f t="shared" si="30"/>
        <v>FVI</v>
      </c>
      <c r="H986" t="s">
        <v>106</v>
      </c>
      <c r="I986" t="s">
        <v>89</v>
      </c>
      <c r="J986" t="str">
        <f t="shared" si="31"/>
        <v>SHIFT B</v>
      </c>
    </row>
    <row r="987" spans="1:10">
      <c r="A987">
        <v>1224</v>
      </c>
      <c r="B987" t="s">
        <v>4488</v>
      </c>
      <c r="C987" t="s">
        <v>4489</v>
      </c>
      <c r="D987" t="s">
        <v>28</v>
      </c>
      <c r="E987" t="s">
        <v>29</v>
      </c>
      <c r="F987" t="s">
        <v>85</v>
      </c>
      <c r="G987" t="str">
        <f t="shared" si="30"/>
        <v>DRILL</v>
      </c>
      <c r="H987" t="s">
        <v>106</v>
      </c>
      <c r="I987" t="s">
        <v>146</v>
      </c>
      <c r="J987" t="str">
        <f t="shared" si="31"/>
        <v>SHIFT C</v>
      </c>
    </row>
    <row r="988" spans="1:10">
      <c r="A988">
        <v>1225</v>
      </c>
      <c r="B988" t="s">
        <v>4492</v>
      </c>
      <c r="C988" t="s">
        <v>4493</v>
      </c>
      <c r="D988" t="s">
        <v>28</v>
      </c>
      <c r="E988" t="s">
        <v>29</v>
      </c>
      <c r="F988" t="s">
        <v>85</v>
      </c>
      <c r="G988" t="str">
        <f t="shared" si="30"/>
        <v>DRILL</v>
      </c>
      <c r="H988" t="s">
        <v>106</v>
      </c>
      <c r="I988" t="s">
        <v>146</v>
      </c>
      <c r="J988" t="str">
        <f t="shared" si="31"/>
        <v>SHIFT C</v>
      </c>
    </row>
    <row r="989" spans="1:10">
      <c r="A989">
        <v>1226</v>
      </c>
      <c r="B989" t="s">
        <v>4496</v>
      </c>
      <c r="C989" t="s">
        <v>4497</v>
      </c>
      <c r="D989" t="s">
        <v>28</v>
      </c>
      <c r="E989" t="s">
        <v>29</v>
      </c>
      <c r="F989" t="s">
        <v>85</v>
      </c>
      <c r="G989" t="str">
        <f t="shared" si="30"/>
        <v>DRILL</v>
      </c>
      <c r="H989" t="s">
        <v>106</v>
      </c>
      <c r="I989" t="s">
        <v>53</v>
      </c>
      <c r="J989" t="str">
        <f t="shared" si="31"/>
        <v>SHIFT A</v>
      </c>
    </row>
    <row r="990" spans="1:10">
      <c r="A990">
        <v>1227</v>
      </c>
      <c r="B990" t="s">
        <v>4500</v>
      </c>
      <c r="C990" t="s">
        <v>4501</v>
      </c>
      <c r="D990" t="s">
        <v>28</v>
      </c>
      <c r="E990" t="s">
        <v>29</v>
      </c>
      <c r="F990" t="s">
        <v>123</v>
      </c>
      <c r="G990" t="str">
        <f t="shared" si="30"/>
        <v>PACKING</v>
      </c>
      <c r="H990" t="s">
        <v>106</v>
      </c>
      <c r="I990" t="s">
        <v>89</v>
      </c>
      <c r="J990" t="str">
        <f t="shared" si="31"/>
        <v>SHIFT B</v>
      </c>
    </row>
    <row r="991" spans="1:10">
      <c r="A991">
        <v>1228</v>
      </c>
      <c r="B991" t="s">
        <v>4504</v>
      </c>
      <c r="C991" t="s">
        <v>4505</v>
      </c>
      <c r="D991" t="s">
        <v>28</v>
      </c>
      <c r="E991" t="s">
        <v>29</v>
      </c>
      <c r="F991" t="s">
        <v>85</v>
      </c>
      <c r="G991" t="str">
        <f t="shared" si="30"/>
        <v>DRILL</v>
      </c>
      <c r="H991" t="s">
        <v>106</v>
      </c>
      <c r="I991" t="s">
        <v>89</v>
      </c>
      <c r="J991" t="str">
        <f t="shared" si="31"/>
        <v>SHIFT B</v>
      </c>
    </row>
    <row r="992" spans="1:10">
      <c r="A992">
        <v>1229</v>
      </c>
      <c r="B992" t="s">
        <v>4508</v>
      </c>
      <c r="C992" t="s">
        <v>4509</v>
      </c>
      <c r="D992" t="s">
        <v>28</v>
      </c>
      <c r="E992" t="s">
        <v>29</v>
      </c>
      <c r="F992" t="s">
        <v>56</v>
      </c>
      <c r="G992" t="str">
        <f t="shared" si="30"/>
        <v>AOI</v>
      </c>
      <c r="H992" t="s">
        <v>106</v>
      </c>
      <c r="I992" t="s">
        <v>40</v>
      </c>
      <c r="J992" t="str">
        <f t="shared" si="31"/>
        <v>SHIFT E</v>
      </c>
    </row>
    <row r="993" spans="1:10">
      <c r="A993">
        <v>1230</v>
      </c>
      <c r="B993" t="s">
        <v>4512</v>
      </c>
      <c r="C993" t="s">
        <v>4513</v>
      </c>
      <c r="D993" t="s">
        <v>28</v>
      </c>
      <c r="E993" t="s">
        <v>29</v>
      </c>
      <c r="F993" t="s">
        <v>123</v>
      </c>
      <c r="G993" t="str">
        <f t="shared" si="30"/>
        <v>PACKING</v>
      </c>
      <c r="H993" t="s">
        <v>106</v>
      </c>
      <c r="I993" t="s">
        <v>53</v>
      </c>
      <c r="J993" t="str">
        <f t="shared" si="31"/>
        <v>SHIFT A</v>
      </c>
    </row>
    <row r="994" spans="1:10">
      <c r="A994">
        <v>1231</v>
      </c>
      <c r="B994" t="s">
        <v>4516</v>
      </c>
      <c r="C994" t="s">
        <v>4517</v>
      </c>
      <c r="D994" t="s">
        <v>28</v>
      </c>
      <c r="E994" t="s">
        <v>29</v>
      </c>
      <c r="F994" t="s">
        <v>123</v>
      </c>
      <c r="G994" t="str">
        <f t="shared" si="30"/>
        <v>PACKING</v>
      </c>
      <c r="H994" t="s">
        <v>106</v>
      </c>
      <c r="I994" t="s">
        <v>53</v>
      </c>
      <c r="J994" t="str">
        <f t="shared" si="31"/>
        <v>SHIFT A</v>
      </c>
    </row>
    <row r="995" spans="1:10">
      <c r="A995">
        <v>1232</v>
      </c>
      <c r="B995" t="s">
        <v>4520</v>
      </c>
      <c r="C995" t="s">
        <v>4521</v>
      </c>
      <c r="D995" t="s">
        <v>28</v>
      </c>
      <c r="E995" t="s">
        <v>29</v>
      </c>
      <c r="F995" t="s">
        <v>1216</v>
      </c>
      <c r="G995" t="str">
        <f t="shared" si="30"/>
        <v>FVI</v>
      </c>
      <c r="H995" t="s">
        <v>106</v>
      </c>
      <c r="I995" t="s">
        <v>146</v>
      </c>
      <c r="J995" t="str">
        <f t="shared" si="31"/>
        <v>SHIFT C</v>
      </c>
    </row>
    <row r="996" spans="1:10">
      <c r="A996">
        <v>1233</v>
      </c>
      <c r="B996" t="s">
        <v>4524</v>
      </c>
      <c r="C996" t="s">
        <v>4525</v>
      </c>
      <c r="D996" t="s">
        <v>28</v>
      </c>
      <c r="E996" t="s">
        <v>29</v>
      </c>
      <c r="F996" t="s">
        <v>56</v>
      </c>
      <c r="G996" t="str">
        <f t="shared" si="30"/>
        <v>AOI</v>
      </c>
      <c r="H996" t="s">
        <v>106</v>
      </c>
      <c r="I996" t="s">
        <v>76</v>
      </c>
      <c r="J996" t="str">
        <f t="shared" si="31"/>
        <v>SHIFT E</v>
      </c>
    </row>
    <row r="997" spans="1:10">
      <c r="A997">
        <v>1234</v>
      </c>
      <c r="B997" t="s">
        <v>4528</v>
      </c>
      <c r="C997" t="s">
        <v>4529</v>
      </c>
      <c r="D997" t="s">
        <v>28</v>
      </c>
      <c r="E997" t="s">
        <v>29</v>
      </c>
      <c r="F997" t="s">
        <v>56</v>
      </c>
      <c r="G997" t="str">
        <f t="shared" si="30"/>
        <v>AOI</v>
      </c>
      <c r="H997" t="s">
        <v>106</v>
      </c>
      <c r="I997" t="s">
        <v>40</v>
      </c>
      <c r="J997" t="str">
        <f t="shared" si="31"/>
        <v>SHIFT E</v>
      </c>
    </row>
    <row r="998" spans="1:10">
      <c r="A998">
        <v>1235</v>
      </c>
      <c r="B998" t="s">
        <v>4531</v>
      </c>
      <c r="C998" t="s">
        <v>4532</v>
      </c>
      <c r="D998" t="s">
        <v>28</v>
      </c>
      <c r="E998" t="s">
        <v>29</v>
      </c>
      <c r="F998" t="s">
        <v>30</v>
      </c>
      <c r="G998" t="str">
        <f t="shared" si="30"/>
        <v>DF</v>
      </c>
      <c r="H998" t="s">
        <v>34</v>
      </c>
      <c r="I998" t="s">
        <v>76</v>
      </c>
      <c r="J998" t="str">
        <f t="shared" si="31"/>
        <v>SHIFT E</v>
      </c>
    </row>
    <row r="999" spans="1:10">
      <c r="A999">
        <v>1236</v>
      </c>
      <c r="B999" t="s">
        <v>4535</v>
      </c>
      <c r="C999" t="s">
        <v>4536</v>
      </c>
      <c r="D999" t="s">
        <v>28</v>
      </c>
      <c r="E999" t="s">
        <v>29</v>
      </c>
      <c r="F999" t="s">
        <v>48</v>
      </c>
      <c r="G999" t="str">
        <f t="shared" si="30"/>
        <v>ROUTER</v>
      </c>
      <c r="H999" t="s">
        <v>34</v>
      </c>
      <c r="I999" t="s">
        <v>146</v>
      </c>
      <c r="J999" t="str">
        <f t="shared" si="31"/>
        <v>SHIFT C</v>
      </c>
    </row>
    <row r="1000" spans="1:10">
      <c r="A1000">
        <v>1237</v>
      </c>
      <c r="B1000" t="s">
        <v>4539</v>
      </c>
      <c r="C1000" t="s">
        <v>4540</v>
      </c>
      <c r="D1000" t="s">
        <v>28</v>
      </c>
      <c r="E1000" t="s">
        <v>29</v>
      </c>
      <c r="F1000" t="s">
        <v>85</v>
      </c>
      <c r="G1000" t="str">
        <f t="shared" si="30"/>
        <v>DRILL</v>
      </c>
      <c r="H1000" t="s">
        <v>34</v>
      </c>
      <c r="I1000" t="s">
        <v>89</v>
      </c>
      <c r="J1000" t="str">
        <f t="shared" si="31"/>
        <v>SHIFT B</v>
      </c>
    </row>
    <row r="1001" spans="1:10">
      <c r="A1001">
        <v>1238</v>
      </c>
      <c r="B1001" t="s">
        <v>4543</v>
      </c>
      <c r="C1001" t="s">
        <v>4544</v>
      </c>
      <c r="D1001" t="s">
        <v>28</v>
      </c>
      <c r="E1001" t="s">
        <v>29</v>
      </c>
      <c r="F1001" t="s">
        <v>43</v>
      </c>
      <c r="G1001" t="str">
        <f t="shared" si="30"/>
        <v>AU</v>
      </c>
      <c r="H1001" t="s">
        <v>34</v>
      </c>
      <c r="I1001" t="s">
        <v>76</v>
      </c>
      <c r="J1001" t="str">
        <f t="shared" si="31"/>
        <v>SHIFT E</v>
      </c>
    </row>
    <row r="1002" spans="1:10">
      <c r="A1002">
        <v>1239</v>
      </c>
      <c r="B1002" t="s">
        <v>4547</v>
      </c>
      <c r="C1002" t="s">
        <v>4548</v>
      </c>
      <c r="D1002" t="s">
        <v>28</v>
      </c>
      <c r="E1002" t="s">
        <v>29</v>
      </c>
      <c r="F1002" t="s">
        <v>30</v>
      </c>
      <c r="G1002" t="str">
        <f t="shared" si="30"/>
        <v>DF</v>
      </c>
      <c r="H1002" t="s">
        <v>34</v>
      </c>
      <c r="I1002" t="s">
        <v>40</v>
      </c>
      <c r="J1002" t="str">
        <f t="shared" si="31"/>
        <v>SHIFT E</v>
      </c>
    </row>
    <row r="1003" spans="1:10">
      <c r="A1003">
        <v>1240</v>
      </c>
      <c r="B1003" t="s">
        <v>4550</v>
      </c>
      <c r="C1003" t="s">
        <v>4551</v>
      </c>
      <c r="D1003" t="s">
        <v>28</v>
      </c>
      <c r="E1003" t="s">
        <v>29</v>
      </c>
      <c r="F1003" t="s">
        <v>43</v>
      </c>
      <c r="G1003" t="str">
        <f t="shared" si="30"/>
        <v>AU</v>
      </c>
      <c r="H1003" t="s">
        <v>34</v>
      </c>
      <c r="I1003" t="s">
        <v>40</v>
      </c>
      <c r="J1003" t="str">
        <f t="shared" si="31"/>
        <v>SHIFT E</v>
      </c>
    </row>
    <row r="1004" spans="1:10">
      <c r="A1004">
        <v>1241</v>
      </c>
      <c r="B1004" t="s">
        <v>4554</v>
      </c>
      <c r="C1004" t="s">
        <v>4555</v>
      </c>
      <c r="D1004" t="s">
        <v>28</v>
      </c>
      <c r="E1004" t="s">
        <v>29</v>
      </c>
      <c r="F1004" t="s">
        <v>79</v>
      </c>
      <c r="G1004" t="str">
        <f t="shared" si="30"/>
        <v>SM</v>
      </c>
      <c r="H1004" t="s">
        <v>34</v>
      </c>
      <c r="I1004" t="s">
        <v>40</v>
      </c>
      <c r="J1004" t="str">
        <f t="shared" si="31"/>
        <v>SHIFT E</v>
      </c>
    </row>
    <row r="1005" spans="1:10">
      <c r="A1005">
        <v>1242</v>
      </c>
      <c r="B1005" t="s">
        <v>4558</v>
      </c>
      <c r="C1005" t="s">
        <v>4559</v>
      </c>
      <c r="D1005" t="s">
        <v>28</v>
      </c>
      <c r="E1005" t="s">
        <v>29</v>
      </c>
      <c r="F1005" t="s">
        <v>79</v>
      </c>
      <c r="G1005" t="str">
        <f t="shared" si="30"/>
        <v>SM</v>
      </c>
      <c r="H1005" t="s">
        <v>34</v>
      </c>
      <c r="I1005" t="s">
        <v>40</v>
      </c>
      <c r="J1005" t="str">
        <f t="shared" si="31"/>
        <v>SHIFT E</v>
      </c>
    </row>
    <row r="1006" spans="1:10">
      <c r="A1006">
        <v>1243</v>
      </c>
      <c r="B1006" t="s">
        <v>4562</v>
      </c>
      <c r="C1006" t="s">
        <v>4563</v>
      </c>
      <c r="D1006" t="s">
        <v>28</v>
      </c>
      <c r="E1006" t="s">
        <v>29</v>
      </c>
      <c r="F1006" t="s">
        <v>48</v>
      </c>
      <c r="G1006" t="str">
        <f t="shared" si="30"/>
        <v>ROUTER</v>
      </c>
      <c r="H1006" t="s">
        <v>34</v>
      </c>
      <c r="I1006" t="s">
        <v>89</v>
      </c>
      <c r="J1006" t="str">
        <f t="shared" si="31"/>
        <v>SHIFT B</v>
      </c>
    </row>
    <row r="1007" spans="1:10">
      <c r="A1007">
        <v>1244</v>
      </c>
      <c r="B1007" t="s">
        <v>4566</v>
      </c>
      <c r="C1007" t="s">
        <v>4567</v>
      </c>
      <c r="D1007" t="s">
        <v>28</v>
      </c>
      <c r="E1007" t="s">
        <v>29</v>
      </c>
      <c r="F1007" t="s">
        <v>79</v>
      </c>
      <c r="G1007" t="str">
        <f t="shared" si="30"/>
        <v>SM</v>
      </c>
      <c r="H1007" t="s">
        <v>34</v>
      </c>
      <c r="I1007" t="s">
        <v>76</v>
      </c>
      <c r="J1007" t="str">
        <f t="shared" si="31"/>
        <v>SHIFT E</v>
      </c>
    </row>
    <row r="1008" spans="1:10">
      <c r="A1008">
        <v>1245</v>
      </c>
      <c r="B1008" t="s">
        <v>4569</v>
      </c>
      <c r="C1008" t="s">
        <v>4570</v>
      </c>
      <c r="D1008" t="s">
        <v>28</v>
      </c>
      <c r="E1008" t="s">
        <v>29</v>
      </c>
      <c r="F1008" t="s">
        <v>72</v>
      </c>
      <c r="G1008" t="str">
        <f t="shared" si="30"/>
        <v>BBT</v>
      </c>
      <c r="H1008" t="s">
        <v>34</v>
      </c>
      <c r="I1008" t="s">
        <v>40</v>
      </c>
      <c r="J1008" t="str">
        <f t="shared" si="31"/>
        <v>SHIFT E</v>
      </c>
    </row>
    <row r="1009" spans="1:10">
      <c r="A1009">
        <v>1246</v>
      </c>
      <c r="B1009" t="s">
        <v>4573</v>
      </c>
      <c r="C1009" t="s">
        <v>4574</v>
      </c>
      <c r="D1009" t="s">
        <v>28</v>
      </c>
      <c r="E1009" t="s">
        <v>29</v>
      </c>
      <c r="F1009" t="s">
        <v>72</v>
      </c>
      <c r="G1009" t="str">
        <f t="shared" si="30"/>
        <v>BBT</v>
      </c>
      <c r="H1009" t="s">
        <v>34</v>
      </c>
      <c r="I1009" t="s">
        <v>76</v>
      </c>
      <c r="J1009" t="str">
        <f t="shared" si="31"/>
        <v>SHIFT E</v>
      </c>
    </row>
    <row r="1010" spans="1:10">
      <c r="A1010">
        <v>1247</v>
      </c>
      <c r="B1010" t="s">
        <v>4577</v>
      </c>
      <c r="C1010" t="s">
        <v>4578</v>
      </c>
      <c r="D1010" t="s">
        <v>28</v>
      </c>
      <c r="E1010" t="s">
        <v>29</v>
      </c>
      <c r="F1010" t="s">
        <v>72</v>
      </c>
      <c r="G1010" t="str">
        <f t="shared" si="30"/>
        <v>BBT</v>
      </c>
      <c r="H1010" t="s">
        <v>34</v>
      </c>
      <c r="I1010" t="s">
        <v>76</v>
      </c>
      <c r="J1010" t="str">
        <f t="shared" si="31"/>
        <v>SHIFT E</v>
      </c>
    </row>
    <row r="1011" spans="1:10">
      <c r="A1011">
        <v>1248</v>
      </c>
      <c r="B1011" t="s">
        <v>4581</v>
      </c>
      <c r="C1011" t="s">
        <v>4582</v>
      </c>
      <c r="D1011" t="s">
        <v>28</v>
      </c>
      <c r="E1011" t="s">
        <v>29</v>
      </c>
      <c r="F1011" t="s">
        <v>48</v>
      </c>
      <c r="G1011" t="str">
        <f t="shared" si="30"/>
        <v>ROUTER</v>
      </c>
      <c r="H1011" t="s">
        <v>34</v>
      </c>
      <c r="I1011" t="s">
        <v>89</v>
      </c>
      <c r="J1011" t="str">
        <f t="shared" si="31"/>
        <v>SHIFT B</v>
      </c>
    </row>
    <row r="1012" spans="1:10">
      <c r="A1012">
        <v>1249</v>
      </c>
      <c r="B1012" t="s">
        <v>4585</v>
      </c>
      <c r="C1012" t="s">
        <v>4586</v>
      </c>
      <c r="D1012" t="s">
        <v>28</v>
      </c>
      <c r="E1012" t="s">
        <v>29</v>
      </c>
      <c r="F1012" t="s">
        <v>79</v>
      </c>
      <c r="G1012" t="str">
        <f t="shared" si="30"/>
        <v>SM</v>
      </c>
      <c r="H1012" t="s">
        <v>34</v>
      </c>
      <c r="I1012" t="s">
        <v>76</v>
      </c>
      <c r="J1012" t="str">
        <f t="shared" si="31"/>
        <v>SHIFT E</v>
      </c>
    </row>
    <row r="1013" spans="1:10">
      <c r="A1013">
        <v>1250</v>
      </c>
      <c r="B1013" t="s">
        <v>4588</v>
      </c>
      <c r="C1013" t="s">
        <v>4589</v>
      </c>
      <c r="D1013" t="s">
        <v>28</v>
      </c>
      <c r="E1013" t="s">
        <v>29</v>
      </c>
      <c r="F1013" t="s">
        <v>48</v>
      </c>
      <c r="G1013" t="str">
        <f t="shared" si="30"/>
        <v>ROUTER</v>
      </c>
      <c r="H1013" t="s">
        <v>34</v>
      </c>
      <c r="I1013" t="s">
        <v>53</v>
      </c>
      <c r="J1013" t="str">
        <f t="shared" si="31"/>
        <v>SHIFT A</v>
      </c>
    </row>
    <row r="1014" spans="1:10">
      <c r="A1014">
        <v>1251</v>
      </c>
      <c r="B1014" t="s">
        <v>4592</v>
      </c>
      <c r="C1014" t="s">
        <v>4593</v>
      </c>
      <c r="D1014" t="s">
        <v>28</v>
      </c>
      <c r="E1014" t="s">
        <v>29</v>
      </c>
      <c r="F1014" t="s">
        <v>85</v>
      </c>
      <c r="G1014" t="str">
        <f t="shared" si="30"/>
        <v>DRILL</v>
      </c>
      <c r="H1014" t="s">
        <v>34</v>
      </c>
      <c r="I1014" t="s">
        <v>89</v>
      </c>
      <c r="J1014" t="str">
        <f t="shared" si="31"/>
        <v>SHIFT B</v>
      </c>
    </row>
    <row r="1015" spans="1:10">
      <c r="A1015">
        <v>1252</v>
      </c>
      <c r="B1015" t="s">
        <v>4595</v>
      </c>
      <c r="C1015" t="s">
        <v>4596</v>
      </c>
      <c r="D1015" t="s">
        <v>28</v>
      </c>
      <c r="E1015" t="s">
        <v>29</v>
      </c>
      <c r="F1015" t="s">
        <v>43</v>
      </c>
      <c r="G1015" t="str">
        <f t="shared" si="30"/>
        <v>AU</v>
      </c>
      <c r="H1015" t="s">
        <v>34</v>
      </c>
      <c r="I1015" t="s">
        <v>40</v>
      </c>
      <c r="J1015" t="str">
        <f t="shared" si="31"/>
        <v>SHIFT E</v>
      </c>
    </row>
    <row r="1016" spans="1:10">
      <c r="A1016">
        <v>1253</v>
      </c>
      <c r="B1016" t="s">
        <v>4598</v>
      </c>
      <c r="C1016" t="s">
        <v>4599</v>
      </c>
      <c r="D1016" t="s">
        <v>28</v>
      </c>
      <c r="E1016" t="s">
        <v>29</v>
      </c>
      <c r="F1016" t="s">
        <v>79</v>
      </c>
      <c r="G1016" t="str">
        <f t="shared" si="30"/>
        <v>SM</v>
      </c>
      <c r="H1016" t="s">
        <v>34</v>
      </c>
      <c r="I1016" t="s">
        <v>76</v>
      </c>
      <c r="J1016" t="str">
        <f t="shared" si="31"/>
        <v>SHIFT E</v>
      </c>
    </row>
    <row r="1017" spans="1:10">
      <c r="A1017">
        <v>1254</v>
      </c>
      <c r="B1017" t="s">
        <v>4602</v>
      </c>
      <c r="C1017" t="s">
        <v>4603</v>
      </c>
      <c r="D1017" t="s">
        <v>28</v>
      </c>
      <c r="E1017" t="s">
        <v>29</v>
      </c>
      <c r="F1017" t="s">
        <v>85</v>
      </c>
      <c r="G1017" t="str">
        <f t="shared" si="30"/>
        <v>DRILL</v>
      </c>
      <c r="H1017" t="s">
        <v>34</v>
      </c>
      <c r="I1017" t="s">
        <v>53</v>
      </c>
      <c r="J1017" t="str">
        <f t="shared" si="31"/>
        <v>SHIFT A</v>
      </c>
    </row>
    <row r="1018" spans="1:10">
      <c r="A1018">
        <v>1255</v>
      </c>
      <c r="B1018" t="s">
        <v>4606</v>
      </c>
      <c r="C1018" t="s">
        <v>4607</v>
      </c>
      <c r="D1018" t="s">
        <v>28</v>
      </c>
      <c r="E1018" t="s">
        <v>29</v>
      </c>
      <c r="F1018" t="s">
        <v>30</v>
      </c>
      <c r="G1018" t="str">
        <f t="shared" si="30"/>
        <v>DF</v>
      </c>
      <c r="H1018" t="s">
        <v>34</v>
      </c>
      <c r="I1018" t="s">
        <v>40</v>
      </c>
      <c r="J1018" t="str">
        <f t="shared" si="31"/>
        <v>SHIFT E</v>
      </c>
    </row>
    <row r="1019" spans="1:10">
      <c r="A1019">
        <v>1256</v>
      </c>
      <c r="B1019" t="s">
        <v>4610</v>
      </c>
      <c r="C1019" t="s">
        <v>4611</v>
      </c>
      <c r="D1019" t="s">
        <v>28</v>
      </c>
      <c r="E1019" t="s">
        <v>29</v>
      </c>
      <c r="F1019" t="s">
        <v>62</v>
      </c>
      <c r="G1019" t="str">
        <f t="shared" si="30"/>
        <v>CU</v>
      </c>
      <c r="H1019" t="s">
        <v>34</v>
      </c>
      <c r="I1019" t="s">
        <v>76</v>
      </c>
      <c r="J1019" t="str">
        <f t="shared" si="31"/>
        <v>SHIFT E</v>
      </c>
    </row>
    <row r="1020" spans="1:10">
      <c r="A1020">
        <v>1257</v>
      </c>
      <c r="B1020" t="s">
        <v>4614</v>
      </c>
      <c r="C1020" t="s">
        <v>4615</v>
      </c>
      <c r="D1020" t="s">
        <v>28</v>
      </c>
      <c r="E1020" t="s">
        <v>29</v>
      </c>
      <c r="F1020" t="s">
        <v>85</v>
      </c>
      <c r="G1020" t="str">
        <f t="shared" si="30"/>
        <v>DRILL</v>
      </c>
      <c r="H1020" t="s">
        <v>34</v>
      </c>
      <c r="I1020" t="s">
        <v>146</v>
      </c>
      <c r="J1020" t="str">
        <f t="shared" si="31"/>
        <v>SHIFT C</v>
      </c>
    </row>
    <row r="1021" spans="1:10">
      <c r="A1021">
        <v>1258</v>
      </c>
      <c r="B1021" t="s">
        <v>4618</v>
      </c>
      <c r="C1021" t="s">
        <v>4619</v>
      </c>
      <c r="D1021" t="s">
        <v>28</v>
      </c>
      <c r="E1021" t="s">
        <v>29</v>
      </c>
      <c r="F1021" t="s">
        <v>123</v>
      </c>
      <c r="G1021" t="str">
        <f t="shared" si="30"/>
        <v>PACKING</v>
      </c>
      <c r="H1021" t="s">
        <v>106</v>
      </c>
      <c r="I1021" t="s">
        <v>89</v>
      </c>
      <c r="J1021" t="str">
        <f t="shared" si="31"/>
        <v>SHIFT B</v>
      </c>
    </row>
    <row r="1022" spans="1:10">
      <c r="A1022">
        <v>1259</v>
      </c>
      <c r="B1022" t="s">
        <v>4622</v>
      </c>
      <c r="C1022" t="s">
        <v>4623</v>
      </c>
      <c r="D1022" t="s">
        <v>28</v>
      </c>
      <c r="E1022" t="s">
        <v>29</v>
      </c>
      <c r="F1022" t="s">
        <v>123</v>
      </c>
      <c r="G1022" t="str">
        <f t="shared" si="30"/>
        <v>PACKING</v>
      </c>
      <c r="H1022" t="s">
        <v>106</v>
      </c>
      <c r="I1022" t="s">
        <v>146</v>
      </c>
      <c r="J1022" t="str">
        <f t="shared" si="31"/>
        <v>SHIFT C</v>
      </c>
    </row>
    <row r="1023" spans="1:10">
      <c r="A1023">
        <v>1260</v>
      </c>
      <c r="B1023" t="s">
        <v>4626</v>
      </c>
      <c r="C1023" t="s">
        <v>4627</v>
      </c>
      <c r="D1023" t="s">
        <v>28</v>
      </c>
      <c r="E1023" t="s">
        <v>29</v>
      </c>
      <c r="F1023" t="s">
        <v>1216</v>
      </c>
      <c r="G1023" t="str">
        <f t="shared" si="30"/>
        <v>FVI</v>
      </c>
      <c r="H1023" t="s">
        <v>106</v>
      </c>
      <c r="I1023" t="s">
        <v>89</v>
      </c>
      <c r="J1023" t="str">
        <f t="shared" si="31"/>
        <v>SHIFT B</v>
      </c>
    </row>
    <row r="1024" spans="1:10">
      <c r="A1024">
        <v>1261</v>
      </c>
      <c r="B1024" t="s">
        <v>4630</v>
      </c>
      <c r="C1024" t="s">
        <v>4631</v>
      </c>
      <c r="D1024" t="s">
        <v>28</v>
      </c>
      <c r="E1024" t="s">
        <v>29</v>
      </c>
      <c r="F1024" t="s">
        <v>85</v>
      </c>
      <c r="G1024" t="str">
        <f t="shared" si="30"/>
        <v>DRILL</v>
      </c>
      <c r="H1024" t="s">
        <v>106</v>
      </c>
      <c r="I1024" t="s">
        <v>89</v>
      </c>
      <c r="J1024" t="str">
        <f t="shared" si="31"/>
        <v>SHIFT B</v>
      </c>
    </row>
    <row r="1025" spans="1:10">
      <c r="A1025">
        <v>1262</v>
      </c>
      <c r="B1025" t="s">
        <v>4634</v>
      </c>
      <c r="C1025" t="s">
        <v>4635</v>
      </c>
      <c r="D1025" t="s">
        <v>28</v>
      </c>
      <c r="E1025" t="s">
        <v>29</v>
      </c>
      <c r="F1025" t="s">
        <v>72</v>
      </c>
      <c r="G1025" t="str">
        <f t="shared" si="30"/>
        <v>BBT</v>
      </c>
      <c r="H1025" t="s">
        <v>34</v>
      </c>
      <c r="I1025" t="s">
        <v>40</v>
      </c>
      <c r="J1025" t="str">
        <f t="shared" si="31"/>
        <v>SHIFT E</v>
      </c>
    </row>
    <row r="1026" spans="1:10">
      <c r="A1026">
        <v>1263</v>
      </c>
      <c r="B1026" t="s">
        <v>4638</v>
      </c>
      <c r="C1026" t="s">
        <v>4639</v>
      </c>
      <c r="D1026" t="s">
        <v>28</v>
      </c>
      <c r="E1026" t="s">
        <v>29</v>
      </c>
      <c r="F1026" t="s">
        <v>79</v>
      </c>
      <c r="G1026" t="str">
        <f t="shared" si="30"/>
        <v>SM</v>
      </c>
      <c r="H1026" t="s">
        <v>34</v>
      </c>
      <c r="I1026" t="s">
        <v>40</v>
      </c>
      <c r="J1026" t="str">
        <f t="shared" si="31"/>
        <v>SHIFT E</v>
      </c>
    </row>
    <row r="1027" spans="1:10">
      <c r="A1027">
        <v>1264</v>
      </c>
      <c r="B1027" t="s">
        <v>4642</v>
      </c>
      <c r="C1027" t="s">
        <v>4643</v>
      </c>
      <c r="D1027" t="s">
        <v>28</v>
      </c>
      <c r="E1027" t="s">
        <v>29</v>
      </c>
      <c r="F1027" t="s">
        <v>43</v>
      </c>
      <c r="G1027" t="str">
        <f t="shared" si="30"/>
        <v>AU</v>
      </c>
      <c r="H1027" t="s">
        <v>34</v>
      </c>
      <c r="I1027" t="s">
        <v>76</v>
      </c>
      <c r="J1027" t="str">
        <f t="shared" si="31"/>
        <v>SHIFT E</v>
      </c>
    </row>
    <row r="1028" spans="1:10">
      <c r="A1028">
        <v>1265</v>
      </c>
      <c r="B1028" t="s">
        <v>4646</v>
      </c>
      <c r="C1028" t="s">
        <v>4647</v>
      </c>
      <c r="D1028" t="s">
        <v>28</v>
      </c>
      <c r="E1028" t="s">
        <v>29</v>
      </c>
      <c r="F1028" t="s">
        <v>48</v>
      </c>
      <c r="G1028" t="str">
        <f t="shared" ref="G1028:G1058" si="32">IF(OR(ISNUMBER(SEARCH("P1",F1028)),ISNUMBER(SEARCH("P2",F1028)),ISNUMBER(SEARCH("P3",F1028)),ISNUMBER(SEARCH("P4",F1028)),ISNUMBER(SEARCH("P5",F1028))),"EQUIPMENT",
IF(ISNUMBER(SEARCH("Warehouse",F1028)),"WAREHOUSE",
IF(ISNUMBER(SEARCH("WWTP",F1028)),"ENVIRONMENT",
IF(OR(ISNUMBER(SEARCH("QC",F1028)),ISNUMBER(SEARCH("RELIABILITY",F1028)),ISNUMBER(SEARCH("OQA",F1028)),ISNUMBER(SEARCH("CHEMICAL",F1028))),"QUALITY",
IF(OR(ISNUMBER(SEARCH("OPERATION",F1028)),ISNUMBER(SEARCH("PSM",F1028))),"HS",
IF(ISNUMBER(SEARCH("FVI",F1028)),"FVI",
IF(OR(ISNUMBER(SEARCH("ELECTRICITY",F1028)),ISNUMBER(SEARCH("FACILITIES",F1028)),ISNUMBER(SEARCH("MECHANICAL",F1028))),"FACILITY",F1028)))))))</f>
        <v>ROUTER</v>
      </c>
      <c r="H1028" t="s">
        <v>34</v>
      </c>
      <c r="I1028" t="s">
        <v>146</v>
      </c>
      <c r="J1028" t="str">
        <f t="shared" ref="J1028:J1058" si="33">IF(ISNUMBER(SEARCH("GROUP C",I1028)),"SHIFT C",
IF(ISNUMBER(SEARCH("GROUP A",I1028)),"SHIFT A",
IF(ISNUMBER(SEARCH("GROUP O",I1028)),"SHIFT O",
IF(ISNUMBER(SEARCH("GROUP B",I1028)),"SHIFT B",
IF(ISNUMBER(SEARCH("GROUP E",I1028)),"SHIFT E","")))))</f>
        <v>SHIFT C</v>
      </c>
    </row>
    <row r="1029" spans="1:10">
      <c r="A1029">
        <v>1267</v>
      </c>
      <c r="B1029" t="s">
        <v>4654</v>
      </c>
      <c r="C1029" t="s">
        <v>4655</v>
      </c>
      <c r="D1029" t="s">
        <v>28</v>
      </c>
      <c r="E1029" t="s">
        <v>491</v>
      </c>
      <c r="F1029" t="s">
        <v>1042</v>
      </c>
      <c r="G1029" t="str">
        <f t="shared" si="32"/>
        <v>QUALITY</v>
      </c>
      <c r="H1029" t="s">
        <v>106</v>
      </c>
      <c r="I1029" t="s">
        <v>53</v>
      </c>
      <c r="J1029" t="str">
        <f t="shared" si="33"/>
        <v>SHIFT A</v>
      </c>
    </row>
    <row r="1030" spans="1:10">
      <c r="A1030">
        <v>1270</v>
      </c>
      <c r="B1030" t="s">
        <v>4665</v>
      </c>
      <c r="C1030" t="s">
        <v>4666</v>
      </c>
      <c r="D1030" t="s">
        <v>28</v>
      </c>
      <c r="E1030" t="s">
        <v>29</v>
      </c>
      <c r="F1030" t="s">
        <v>1216</v>
      </c>
      <c r="G1030" t="str">
        <f t="shared" si="32"/>
        <v>FVI</v>
      </c>
      <c r="H1030" t="s">
        <v>106</v>
      </c>
      <c r="I1030" t="s">
        <v>53</v>
      </c>
      <c r="J1030" t="str">
        <f t="shared" si="33"/>
        <v>SHIFT A</v>
      </c>
    </row>
    <row r="1031" spans="1:10">
      <c r="A1031">
        <v>1271</v>
      </c>
      <c r="B1031" t="s">
        <v>4669</v>
      </c>
      <c r="C1031" t="s">
        <v>4670</v>
      </c>
      <c r="D1031" t="s">
        <v>28</v>
      </c>
      <c r="E1031" t="s">
        <v>29</v>
      </c>
      <c r="F1031" t="s">
        <v>85</v>
      </c>
      <c r="G1031" t="str">
        <f t="shared" si="32"/>
        <v>DRILL</v>
      </c>
      <c r="H1031" t="s">
        <v>34</v>
      </c>
      <c r="I1031" t="s">
        <v>752</v>
      </c>
      <c r="J1031" t="str">
        <f t="shared" si="33"/>
        <v>SHIFT O</v>
      </c>
    </row>
    <row r="1032" spans="1:10">
      <c r="A1032">
        <v>1272</v>
      </c>
      <c r="B1032" t="s">
        <v>4672</v>
      </c>
      <c r="C1032" t="s">
        <v>4673</v>
      </c>
      <c r="D1032" t="s">
        <v>28</v>
      </c>
      <c r="E1032" t="s">
        <v>491</v>
      </c>
      <c r="F1032" t="s">
        <v>978</v>
      </c>
      <c r="G1032" t="str">
        <f t="shared" si="32"/>
        <v>QUALITY</v>
      </c>
      <c r="H1032" t="s">
        <v>106</v>
      </c>
      <c r="I1032" t="s">
        <v>53</v>
      </c>
      <c r="J1032" t="str">
        <f t="shared" si="33"/>
        <v>SHIFT A</v>
      </c>
    </row>
    <row r="1033" spans="1:10">
      <c r="A1033">
        <v>1274</v>
      </c>
      <c r="B1033" t="s">
        <v>4680</v>
      </c>
      <c r="C1033" t="s">
        <v>4681</v>
      </c>
      <c r="D1033" t="s">
        <v>28</v>
      </c>
      <c r="E1033" t="s">
        <v>29</v>
      </c>
      <c r="F1033" t="s">
        <v>56</v>
      </c>
      <c r="G1033" t="str">
        <f t="shared" si="32"/>
        <v>AOI</v>
      </c>
      <c r="H1033" t="s">
        <v>34</v>
      </c>
      <c r="I1033" t="s">
        <v>76</v>
      </c>
      <c r="J1033" t="str">
        <f t="shared" si="33"/>
        <v>SHIFT E</v>
      </c>
    </row>
    <row r="1034" spans="1:10">
      <c r="A1034">
        <v>1275</v>
      </c>
      <c r="B1034" t="s">
        <v>4684</v>
      </c>
      <c r="C1034" t="s">
        <v>4685</v>
      </c>
      <c r="D1034" t="s">
        <v>28</v>
      </c>
      <c r="E1034" t="s">
        <v>29</v>
      </c>
      <c r="F1034" t="s">
        <v>30</v>
      </c>
      <c r="G1034" t="str">
        <f t="shared" si="32"/>
        <v>DF</v>
      </c>
      <c r="H1034" t="s">
        <v>34</v>
      </c>
      <c r="I1034" t="s">
        <v>76</v>
      </c>
      <c r="J1034" t="str">
        <f t="shared" si="33"/>
        <v>SHIFT E</v>
      </c>
    </row>
    <row r="1035" spans="1:10">
      <c r="A1035">
        <v>1276</v>
      </c>
      <c r="B1035" t="s">
        <v>4688</v>
      </c>
      <c r="C1035" t="s">
        <v>4689</v>
      </c>
      <c r="D1035" t="s">
        <v>28</v>
      </c>
      <c r="E1035" t="s">
        <v>29</v>
      </c>
      <c r="F1035" t="s">
        <v>48</v>
      </c>
      <c r="G1035" t="str">
        <f t="shared" si="32"/>
        <v>ROUTER</v>
      </c>
      <c r="H1035" t="s">
        <v>34</v>
      </c>
      <c r="I1035" t="s">
        <v>53</v>
      </c>
      <c r="J1035" t="str">
        <f t="shared" si="33"/>
        <v>SHIFT A</v>
      </c>
    </row>
    <row r="1036" spans="1:10">
      <c r="A1036">
        <v>1277</v>
      </c>
      <c r="B1036" t="s">
        <v>4691</v>
      </c>
      <c r="C1036" t="s">
        <v>4692</v>
      </c>
      <c r="D1036" t="s">
        <v>28</v>
      </c>
      <c r="E1036" t="s">
        <v>29</v>
      </c>
      <c r="F1036" t="s">
        <v>85</v>
      </c>
      <c r="G1036" t="str">
        <f t="shared" si="32"/>
        <v>DRILL</v>
      </c>
      <c r="H1036" t="s">
        <v>34</v>
      </c>
      <c r="I1036" t="s">
        <v>752</v>
      </c>
      <c r="J1036" t="str">
        <f t="shared" si="33"/>
        <v>SHIFT O</v>
      </c>
    </row>
    <row r="1037" spans="1:10">
      <c r="A1037">
        <v>1279</v>
      </c>
      <c r="B1037" t="s">
        <v>4699</v>
      </c>
      <c r="C1037" t="s">
        <v>4700</v>
      </c>
      <c r="D1037" t="s">
        <v>28</v>
      </c>
      <c r="E1037" t="s">
        <v>29</v>
      </c>
      <c r="F1037" t="s">
        <v>48</v>
      </c>
      <c r="G1037" t="str">
        <f t="shared" si="32"/>
        <v>ROUTER</v>
      </c>
      <c r="H1037" t="s">
        <v>34</v>
      </c>
      <c r="I1037" t="s">
        <v>146</v>
      </c>
      <c r="J1037" t="str">
        <f t="shared" si="33"/>
        <v>SHIFT C</v>
      </c>
    </row>
    <row r="1038" spans="1:10">
      <c r="A1038">
        <v>1280</v>
      </c>
      <c r="B1038" t="s">
        <v>4703</v>
      </c>
      <c r="C1038" t="s">
        <v>4704</v>
      </c>
      <c r="D1038" t="s">
        <v>28</v>
      </c>
      <c r="E1038" t="s">
        <v>491</v>
      </c>
      <c r="F1038" t="s">
        <v>1042</v>
      </c>
      <c r="G1038" t="str">
        <f t="shared" si="32"/>
        <v>QUALITY</v>
      </c>
      <c r="H1038" t="s">
        <v>34</v>
      </c>
      <c r="I1038" t="s">
        <v>89</v>
      </c>
      <c r="J1038" t="str">
        <f t="shared" si="33"/>
        <v>SHIFT B</v>
      </c>
    </row>
    <row r="1039" spans="1:10">
      <c r="A1039">
        <v>1281</v>
      </c>
      <c r="B1039" t="s">
        <v>4707</v>
      </c>
      <c r="C1039" t="s">
        <v>4708</v>
      </c>
      <c r="D1039" t="s">
        <v>28</v>
      </c>
      <c r="E1039" t="s">
        <v>29</v>
      </c>
      <c r="F1039" t="s">
        <v>1216</v>
      </c>
      <c r="G1039" t="str">
        <f t="shared" si="32"/>
        <v>FVI</v>
      </c>
      <c r="H1039" t="s">
        <v>34</v>
      </c>
      <c r="I1039" t="s">
        <v>89</v>
      </c>
      <c r="J1039" t="str">
        <f t="shared" si="33"/>
        <v>SHIFT B</v>
      </c>
    </row>
    <row r="1040" spans="1:10">
      <c r="A1040">
        <v>1282</v>
      </c>
      <c r="B1040" t="s">
        <v>4711</v>
      </c>
      <c r="C1040" t="s">
        <v>4712</v>
      </c>
      <c r="D1040" t="s">
        <v>28</v>
      </c>
      <c r="E1040" t="s">
        <v>491</v>
      </c>
      <c r="F1040" t="s">
        <v>978</v>
      </c>
      <c r="G1040" t="str">
        <f t="shared" si="32"/>
        <v>QUALITY</v>
      </c>
      <c r="H1040" t="s">
        <v>34</v>
      </c>
      <c r="I1040" t="s">
        <v>53</v>
      </c>
      <c r="J1040" t="str">
        <f t="shared" si="33"/>
        <v>SHIFT A</v>
      </c>
    </row>
    <row r="1041" spans="1:10">
      <c r="A1041">
        <v>1283</v>
      </c>
      <c r="B1041" t="s">
        <v>4715</v>
      </c>
      <c r="C1041" t="s">
        <v>4716</v>
      </c>
      <c r="D1041" t="s">
        <v>28</v>
      </c>
      <c r="E1041" t="s">
        <v>29</v>
      </c>
      <c r="F1041" t="s">
        <v>30</v>
      </c>
      <c r="G1041" t="str">
        <f t="shared" si="32"/>
        <v>DF</v>
      </c>
      <c r="H1041" t="s">
        <v>34</v>
      </c>
      <c r="I1041" t="s">
        <v>40</v>
      </c>
      <c r="J1041" t="str">
        <f t="shared" si="33"/>
        <v>SHIFT E</v>
      </c>
    </row>
    <row r="1042" spans="1:10">
      <c r="A1042">
        <v>1284</v>
      </c>
      <c r="B1042" t="s">
        <v>4718</v>
      </c>
      <c r="C1042" t="s">
        <v>4719</v>
      </c>
      <c r="D1042" t="s">
        <v>28</v>
      </c>
      <c r="E1042" t="s">
        <v>29</v>
      </c>
      <c r="F1042" t="s">
        <v>48</v>
      </c>
      <c r="G1042" t="str">
        <f t="shared" si="32"/>
        <v>ROUTER</v>
      </c>
      <c r="H1042" t="s">
        <v>34</v>
      </c>
      <c r="I1042" t="s">
        <v>53</v>
      </c>
      <c r="J1042" t="str">
        <f t="shared" si="33"/>
        <v>SHIFT A</v>
      </c>
    </row>
    <row r="1043" spans="1:10">
      <c r="A1043">
        <v>1285</v>
      </c>
      <c r="B1043" t="s">
        <v>4722</v>
      </c>
      <c r="C1043" t="s">
        <v>4723</v>
      </c>
      <c r="D1043" t="s">
        <v>28</v>
      </c>
      <c r="E1043" t="s">
        <v>491</v>
      </c>
      <c r="F1043" t="s">
        <v>978</v>
      </c>
      <c r="G1043" t="str">
        <f t="shared" si="32"/>
        <v>QUALITY</v>
      </c>
      <c r="H1043" t="s">
        <v>34</v>
      </c>
      <c r="I1043" t="s">
        <v>89</v>
      </c>
      <c r="J1043" t="str">
        <f t="shared" si="33"/>
        <v>SHIFT B</v>
      </c>
    </row>
    <row r="1044" spans="1:10">
      <c r="A1044">
        <v>1287</v>
      </c>
      <c r="B1044" t="s">
        <v>4730</v>
      </c>
      <c r="C1044" t="s">
        <v>4731</v>
      </c>
      <c r="D1044" t="s">
        <v>28</v>
      </c>
      <c r="E1044" t="s">
        <v>491</v>
      </c>
      <c r="F1044" t="s">
        <v>1042</v>
      </c>
      <c r="G1044" t="str">
        <f t="shared" si="32"/>
        <v>QUALITY</v>
      </c>
      <c r="H1044" t="s">
        <v>34</v>
      </c>
      <c r="I1044" t="s">
        <v>146</v>
      </c>
      <c r="J1044" t="str">
        <f t="shared" si="33"/>
        <v>SHIFT C</v>
      </c>
    </row>
    <row r="1045" spans="1:10">
      <c r="A1045">
        <v>1288</v>
      </c>
      <c r="B1045" t="s">
        <v>4734</v>
      </c>
      <c r="C1045" t="s">
        <v>4735</v>
      </c>
      <c r="D1045" t="s">
        <v>28</v>
      </c>
      <c r="E1045" t="s">
        <v>29</v>
      </c>
      <c r="F1045" t="s">
        <v>43</v>
      </c>
      <c r="G1045" t="str">
        <f t="shared" si="32"/>
        <v>AU</v>
      </c>
      <c r="H1045" t="s">
        <v>34</v>
      </c>
      <c r="I1045" t="s">
        <v>76</v>
      </c>
      <c r="J1045" t="str">
        <f t="shared" si="33"/>
        <v>SHIFT E</v>
      </c>
    </row>
    <row r="1046" spans="1:10">
      <c r="A1046">
        <v>1289</v>
      </c>
      <c r="B1046" t="s">
        <v>4737</v>
      </c>
      <c r="C1046" t="s">
        <v>4738</v>
      </c>
      <c r="D1046" t="s">
        <v>28</v>
      </c>
      <c r="E1046" t="s">
        <v>29</v>
      </c>
      <c r="F1046" t="s">
        <v>72</v>
      </c>
      <c r="G1046" t="str">
        <f t="shared" si="32"/>
        <v>BBT</v>
      </c>
      <c r="H1046" t="s">
        <v>34</v>
      </c>
      <c r="I1046" t="s">
        <v>76</v>
      </c>
      <c r="J1046" t="str">
        <f t="shared" si="33"/>
        <v>SHIFT E</v>
      </c>
    </row>
    <row r="1047" spans="1:10">
      <c r="A1047">
        <v>1291</v>
      </c>
      <c r="B1047" t="s">
        <v>4744</v>
      </c>
      <c r="C1047" t="s">
        <v>4745</v>
      </c>
      <c r="D1047" t="s">
        <v>28</v>
      </c>
      <c r="E1047" t="s">
        <v>29</v>
      </c>
      <c r="F1047" t="s">
        <v>56</v>
      </c>
      <c r="G1047" t="str">
        <f t="shared" si="32"/>
        <v>AOI</v>
      </c>
      <c r="H1047" t="s">
        <v>34</v>
      </c>
      <c r="I1047" t="s">
        <v>40</v>
      </c>
      <c r="J1047" t="str">
        <f t="shared" si="33"/>
        <v>SHIFT E</v>
      </c>
    </row>
    <row r="1048" spans="1:10">
      <c r="A1048">
        <v>1294</v>
      </c>
      <c r="B1048" t="s">
        <v>4755</v>
      </c>
      <c r="C1048" t="s">
        <v>4756</v>
      </c>
      <c r="D1048" t="s">
        <v>28</v>
      </c>
      <c r="E1048" t="s">
        <v>491</v>
      </c>
      <c r="F1048" t="s">
        <v>830</v>
      </c>
      <c r="G1048" t="str">
        <f t="shared" si="32"/>
        <v>QUALITY</v>
      </c>
      <c r="H1048" t="s">
        <v>34</v>
      </c>
      <c r="I1048" t="s">
        <v>53</v>
      </c>
      <c r="J1048" t="str">
        <f t="shared" si="33"/>
        <v>SHIFT A</v>
      </c>
    </row>
    <row r="1049" spans="1:10">
      <c r="A1049">
        <v>1295</v>
      </c>
      <c r="B1049" t="s">
        <v>4759</v>
      </c>
      <c r="C1049" t="s">
        <v>4760</v>
      </c>
      <c r="D1049" t="s">
        <v>28</v>
      </c>
      <c r="E1049" t="s">
        <v>29</v>
      </c>
      <c r="F1049" t="s">
        <v>85</v>
      </c>
      <c r="G1049" t="str">
        <f t="shared" si="32"/>
        <v>DRILL</v>
      </c>
      <c r="H1049" t="s">
        <v>34</v>
      </c>
      <c r="I1049" t="s">
        <v>752</v>
      </c>
      <c r="J1049" t="str">
        <f t="shared" si="33"/>
        <v>SHIFT O</v>
      </c>
    </row>
    <row r="1050" spans="1:10">
      <c r="A1050">
        <v>1298</v>
      </c>
      <c r="B1050" t="s">
        <v>4770</v>
      </c>
      <c r="C1050" t="s">
        <v>4771</v>
      </c>
      <c r="D1050" t="s">
        <v>28</v>
      </c>
      <c r="E1050" t="s">
        <v>29</v>
      </c>
      <c r="F1050" t="s">
        <v>85</v>
      </c>
      <c r="G1050" t="str">
        <f t="shared" si="32"/>
        <v>DRILL</v>
      </c>
      <c r="H1050" t="s">
        <v>34</v>
      </c>
      <c r="I1050" t="s">
        <v>752</v>
      </c>
      <c r="J1050" t="str">
        <f t="shared" si="33"/>
        <v>SHIFT O</v>
      </c>
    </row>
    <row r="1051" spans="1:10">
      <c r="A1051">
        <v>1299</v>
      </c>
      <c r="B1051" t="s">
        <v>4774</v>
      </c>
      <c r="C1051" t="s">
        <v>4775</v>
      </c>
      <c r="D1051" t="s">
        <v>28</v>
      </c>
      <c r="E1051" t="s">
        <v>29</v>
      </c>
      <c r="F1051" t="s">
        <v>1216</v>
      </c>
      <c r="G1051" t="str">
        <f t="shared" si="32"/>
        <v>FVI</v>
      </c>
      <c r="H1051" t="s">
        <v>106</v>
      </c>
      <c r="I1051" t="s">
        <v>53</v>
      </c>
      <c r="J1051" t="str">
        <f t="shared" si="33"/>
        <v>SHIFT A</v>
      </c>
    </row>
    <row r="1052" spans="1:10">
      <c r="A1052">
        <v>1300</v>
      </c>
      <c r="B1052" t="s">
        <v>4778</v>
      </c>
      <c r="C1052" t="s">
        <v>4779</v>
      </c>
      <c r="D1052" t="s">
        <v>28</v>
      </c>
      <c r="E1052" t="s">
        <v>29</v>
      </c>
      <c r="F1052" t="s">
        <v>56</v>
      </c>
      <c r="G1052" t="str">
        <f t="shared" si="32"/>
        <v>AOI</v>
      </c>
      <c r="H1052" t="s">
        <v>106</v>
      </c>
      <c r="I1052" t="s">
        <v>76</v>
      </c>
      <c r="J1052" t="str">
        <f t="shared" si="33"/>
        <v>SHIFT E</v>
      </c>
    </row>
    <row r="1053" spans="1:10">
      <c r="A1053">
        <v>1301</v>
      </c>
      <c r="B1053" t="s">
        <v>4782</v>
      </c>
      <c r="C1053" t="s">
        <v>4783</v>
      </c>
      <c r="D1053" t="s">
        <v>28</v>
      </c>
      <c r="E1053" t="s">
        <v>491</v>
      </c>
      <c r="F1053" t="s">
        <v>978</v>
      </c>
      <c r="G1053" t="str">
        <f t="shared" si="32"/>
        <v>QUALITY</v>
      </c>
      <c r="H1053" t="s">
        <v>106</v>
      </c>
      <c r="I1053" t="s">
        <v>146</v>
      </c>
      <c r="J1053" t="str">
        <f t="shared" si="33"/>
        <v>SHIFT C</v>
      </c>
    </row>
    <row r="1054" spans="1:10">
      <c r="A1054">
        <v>1302</v>
      </c>
      <c r="B1054" t="s">
        <v>4785</v>
      </c>
      <c r="C1054" t="s">
        <v>4786</v>
      </c>
      <c r="D1054" t="s">
        <v>28</v>
      </c>
      <c r="E1054" t="s">
        <v>491</v>
      </c>
      <c r="F1054" t="s">
        <v>1042</v>
      </c>
      <c r="G1054" t="str">
        <f t="shared" si="32"/>
        <v>QUALITY</v>
      </c>
      <c r="H1054" t="s">
        <v>106</v>
      </c>
      <c r="I1054" t="s">
        <v>53</v>
      </c>
      <c r="J1054" t="str">
        <f t="shared" si="33"/>
        <v>SHIFT A</v>
      </c>
    </row>
    <row r="1055" spans="1:10">
      <c r="A1055">
        <v>1303</v>
      </c>
      <c r="B1055" t="s">
        <v>4789</v>
      </c>
      <c r="C1055" t="s">
        <v>4790</v>
      </c>
      <c r="D1055" t="s">
        <v>28</v>
      </c>
      <c r="E1055" t="s">
        <v>491</v>
      </c>
      <c r="F1055" t="s">
        <v>830</v>
      </c>
      <c r="G1055" t="str">
        <f t="shared" si="32"/>
        <v>QUALITY</v>
      </c>
      <c r="H1055" t="s">
        <v>106</v>
      </c>
      <c r="I1055" t="s">
        <v>146</v>
      </c>
      <c r="J1055" t="str">
        <f t="shared" si="33"/>
        <v>SHIFT C</v>
      </c>
    </row>
    <row r="1056" spans="1:10">
      <c r="A1056">
        <v>1305</v>
      </c>
      <c r="B1056" t="s">
        <v>4797</v>
      </c>
      <c r="C1056" t="s">
        <v>4798</v>
      </c>
      <c r="D1056" t="s">
        <v>28</v>
      </c>
      <c r="E1056" t="s">
        <v>29</v>
      </c>
      <c r="F1056" t="s">
        <v>1216</v>
      </c>
      <c r="G1056" t="str">
        <f t="shared" si="32"/>
        <v>FVI</v>
      </c>
      <c r="H1056" t="s">
        <v>106</v>
      </c>
      <c r="I1056" t="s">
        <v>146</v>
      </c>
      <c r="J1056" t="str">
        <f t="shared" si="33"/>
        <v>SHIFT C</v>
      </c>
    </row>
    <row r="1057" spans="1:10">
      <c r="A1057">
        <v>1306</v>
      </c>
      <c r="B1057" t="s">
        <v>4801</v>
      </c>
      <c r="C1057" t="s">
        <v>4802</v>
      </c>
      <c r="D1057" t="s">
        <v>28</v>
      </c>
      <c r="E1057" t="s">
        <v>491</v>
      </c>
      <c r="F1057" t="s">
        <v>830</v>
      </c>
      <c r="G1057" t="str">
        <f t="shared" si="32"/>
        <v>QUALITY</v>
      </c>
      <c r="H1057" t="s">
        <v>106</v>
      </c>
      <c r="I1057" t="s">
        <v>89</v>
      </c>
      <c r="J1057" t="str">
        <f t="shared" si="33"/>
        <v>SHIFT B</v>
      </c>
    </row>
    <row r="1058" spans="1:10">
      <c r="A1058">
        <v>1307</v>
      </c>
      <c r="B1058" t="s">
        <v>4805</v>
      </c>
      <c r="C1058" t="s">
        <v>4806</v>
      </c>
      <c r="D1058" t="s">
        <v>28</v>
      </c>
      <c r="E1058" t="s">
        <v>29</v>
      </c>
      <c r="F1058" t="s">
        <v>85</v>
      </c>
      <c r="G1058" t="str">
        <f t="shared" si="32"/>
        <v>DRILL</v>
      </c>
      <c r="H1058" t="s">
        <v>34</v>
      </c>
      <c r="I1058" t="s">
        <v>752</v>
      </c>
      <c r="J1058" t="str">
        <f t="shared" si="33"/>
        <v>SHIFT O</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5 b 3 5 4 5 4 f - 6 b 1 a - 4 d b d - b d c 5 - 1 9 f 1 2 a 8 5 3 1 6 1 "   x m l n s = " h t t p : / / s c h e m a s . m i c r o s o f t . c o m / D a t a M a s h u p " > A A A A A K c F A A B Q S w M E F A A C A A g A E F i u W m i A u y 2 k A A A A 9 g A A A B I A H A B D b 2 5 m a W c v U G F j a 2 F n Z S 5 4 b W w g o h g A K K A U A A A A A A A A A A A A A A A A A A A A A A A A A A A A h Y 9 B D o I w F E S v Q r q n h a q J I Z + y c C u J i Y n R Z V M q N M L H 0 G K 5 m w u P 5 B X E K O r O 5 b x 5 i 5 n 7 9 Q b Z 0 N T B R X f W t J i S m E Y k 0 K j a w m C Z k t 4 d w y X J B G y k O s l S B 6 O M N h l s k Z L K u X P C m P e e + h l t u 5 L x K I r Z P l 9 v V a U b S T 6 y + S + H B q 2 T q D Q R s H u N E Z z G c 0 7 5 Y t w E b I K Q G / w K f O y e 7 Q + E V V + 7 v t N C Y 5 g f g E 0 R 2 P u D e A B Q S w M E F A A C A A g A E F i 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Y r l r E + I R o o Q I A A G Q J A A A T A B w A R m 9 y b X V s Y X M v U 2 V j d G l v b j E u b S C i G A A o o B Q A A A A A A A A A A A A A A A A A A A A A A A A A A A C t V l 1 v q k A Q f T f x P 0 z o C y T W q L 1 f S W 9 v Q h D t J u 1 q g L Y 3 M X 3 Y 4 l Y 3 B Z Y s S z 9 i / O 9 3 E W s V A X m 4 v k h 2 Z s 5 y z p w Z T a g v G Y / A z b / 7 l + 1 W u 5 U s i a B z 8 M h T Q P t w B Q G V 7 R a o j 8 t T 4 V N 1 Y r / 7 N O h a q R A 0 k g 9 c v D x x / q I b q x k m I b 3 S 8 k r t c T 2 z e C R V y m M n B z j T r C W J F h n 4 R 0 w 1 h b R J 7 X q C R M k z F 6 H F g z S M s m C i 5 7 d 1 V i s N 8 6 7 W A R T J H 9 + 6 W W z d g Z V m h 3 H A P y i F P C r V O U j 6 L j d B l w S p J B m l o 9 B X n X r X 6 u i U J 6 y + f k h j I m S o 6 K n H x O / q I 6 M 6 e S t w g 0 y L J x I s h S p o d T a m b 4 A d Z M E J a T Y S k I D J j 2 q s M Y 3 m V B w d O 8 Q / l s e h A V u U q X L N s t c l c l c y V 8 + S h f k L b f o b c y F r B E p j K l 5 Z w k U T j R T 4 g o s a U n Z I W H D i N t b o L n O x 4 x S l 4 R M V 5 T 4 B N G x i g y V 7 l j A W P I 2 b m 6 b O K 9 E z E 2 G 5 8 G t j N 3 U O D f m r m r p 8 v J K v w c s D 2 2 O 9 M J 6 d w h w V X b f v h g M D H P T 7 V I t 3 r a r v T r E h F S L s k R 6 x Q N J s k T n 8 b Y + y S w M l a 3 a m H w v T A U r 8 J e i z s x M 9 e 4 T f f 0 A b 3 d h / E b j X a O S B j u 0 H G P Q G 3 w 0 N S D S H h h B 4 g s 9 z g H P o / e r 1 w J t A / 6 f 6 / i 9 4 F 1 u 8 i 5 5 m b F D 0 2 Z F z 8 7 r t J R V R 0 3 W R 6 5 n Y A x u P E b Z t p z 7 / M w t Q f d 6 t i e 9 G p u X d O Q i P w Z 3 a F j J v 1 E 3 1 V Z P R C F k b c K P S 4 / 1 q k x 8 a o 3 N 6 9 5 5 c q J / L s m 5 D V T m z 3 8 y a / U 9 v S p H S S t a D h q z 7 B 7 Q r d t j x I q r i M G j G Y V A + X 8 W f x r z J U 2 c y v L M 8 N M G A M J 7 c m 9 l j y S i U V 7 t T F y b Y R Z 4 N 6 F Z B 3 d u 3 2 P b K / D J M 4 4 D 5 q l 1 7 O 2 L I E s k i X x Z l y w g U / n m s j X a L R T W g l / 8 A U E s B A i 0 A F A A C A A g A E F i u W m i A u y 2 k A A A A 9 g A A A B I A A A A A A A A A A A A A A A A A A A A A A E N v b m Z p Z y 9 Q Y W N r Y W d l L n h t b F B L A Q I t A B Q A A g A I A B B Y r l o P y u m r p A A A A O k A A A A T A A A A A A A A A A A A A A A A A P A A A A B b Q 2 9 u d G V u d F 9 U e X B l c 1 0 u e G 1 s U E s B A i 0 A F A A C A A g A E F i u W s T 4 h G i h A g A A Z A k A A B M A A A A A A A A A A A A A A A A A 4 Q E A A E Z v c m 1 1 b G F z L 1 N l Y 3 R p b 2 4 x L m 1 Q S w U G A A A A A A M A A w D C A A A A z 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E A A A A A A A D r 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B l Z j U z N j c t M j U x O C 0 0 Y W R j L W I 0 M j c t Y T h i Z G E 3 Z D A w M D Q 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G a W x s R X J y b 3 J D b 2 R l I i B W Y W x 1 Z T 0 i c 1 V u a 2 5 v d 2 4 i I C 8 + P E V u d H J 5 I F R 5 c G U 9 I k Z p b G x F c n J v c k N v d W 5 0 I i B W Y W x 1 Z T 0 i b D A i I C 8 + P E V u d H J 5 I F R 5 c G U 9 I k Z p b G x M Y X N 0 V X B k Y X R l Z C I g V m F s d W U 9 I m Q y M D I 1 L T A 1 L T E 0 V D A z O j A w O j M y L j k 0 M D g 3 M D d a I i A v P j x F b n R y e S B U e X B l P S J G a W x s Q 2 9 s d W 1 u V H l w Z X M i I F Z h b H V l P S J z Q X d Z R 0 J n W U d C Z 1 k 9 I i A v P j x F b n R y e S B U e X B l P S J G a W x s Q 2 9 s d W 1 u T m F t Z X M i I F Z h b H V l P S J z W y Z x d W 9 0 O 0 5 v L i Z x d W 9 0 O y w m c X V v d D t F b X B s b 3 l l Z S B O b y 4 m c X V v d D s s J n F 1 b 3 Q 7 R W 1 w b G 9 5 Z W U g T m F t Z S Z x d W 9 0 O y w m c X V v d D t F b X B s b 3 l l Z S B Q b 3 N p d G l v b i Z x d W 9 0 O y w m c X V v d D t F b X B s b 3 l l Z S B E Z X B h c n R t Z W 5 0 I E R l c 2 M u K E Y p J n F 1 b 3 Q 7 L C Z x d W 9 0 O 0 V t c G x v e W V l I F N l Y 3 R p b 2 4 g R G V z Y y 4 o R i k m c X V v d D s s J n F 1 b 3 Q 7 R 2 V u Z G V y J n F 1 b 3 Q 7 L C Z x d W 9 0 O 0 V t c G x v e W V l I F N o a W Z 0 I E d y b 3 V w I E R l c 2 M u K E Y p J n F 1 b 3 Q 7 X S I g L z 4 8 R W 5 0 c n k g V H l w Z T 0 i R m l s b E N v d W 5 0 I i B W Y W x 1 Z T 0 i b D E w N T U 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5 v L i w w f S Z x d W 9 0 O y w m c X V v d D t T Z W N 0 a W 9 u M S 9 U Y W J s Z T E v Q X V 0 b 1 J l b W 9 2 Z W R D b 2 x 1 b W 5 z M S 5 7 R W 1 w b G 9 5 Z W U g T m 8 u L D F 9 J n F 1 b 3 Q 7 L C Z x d W 9 0 O 1 N l Y 3 R p b 2 4 x L 1 R h Y m x l M S 9 B d X R v U m V t b 3 Z l Z E N v b H V t b n M x L n t F b X B s b 3 l l Z S B O Y W 1 l L D J 9 J n F 1 b 3 Q 7 L C Z x d W 9 0 O 1 N l Y 3 R p b 2 4 x L 1 R h Y m x l M S 9 B d X R v U m V t b 3 Z l Z E N v b H V t b n M x L n t F b X B s b 3 l l Z S B Q b 3 N p d G l v b i w z f S Z x d W 9 0 O y w m c X V v d D t T Z W N 0 a W 9 u M S 9 U Y W J s Z T E v Q X V 0 b 1 J l b W 9 2 Z W R D b 2 x 1 b W 5 z M S 5 7 R W 1 w b G 9 5 Z W U g R G V w Y X J 0 b W V u d C B E Z X N j L i h G K S w 0 f S Z x d W 9 0 O y w m c X V v d D t T Z W N 0 a W 9 u M S 9 U Y W J s Z T E v Q X V 0 b 1 J l b W 9 2 Z W R D b 2 x 1 b W 5 z M S 5 7 R W 1 w b G 9 5 Z W U g U 2 V j d G l v b i B E Z X N j L i h G K S w 1 f S Z x d W 9 0 O y w m c X V v d D t T Z W N 0 a W 9 u M S 9 U Y W J s Z T E v Q X V 0 b 1 J l b W 9 2 Z W R D b 2 x 1 b W 5 z M S 5 7 R 2 V u Z G V y L D Z 9 J n F 1 b 3 Q 7 L C Z x d W 9 0 O 1 N l Y 3 R p b 2 4 x L 1 R h Y m x l M S 9 B d X R v U m V t b 3 Z l Z E N v b H V t b n M x L n t F b X B s b 3 l l Z S B T a G l m d C B H c m 9 1 c C B E Z X N j L i h G K S w 3 f S Z x d W 9 0 O 1 0 s J n F 1 b 3 Q 7 Q 2 9 s d W 1 u Q 2 9 1 b n Q m c X V v d D s 6 O C w m c X V v d D t L Z X l D b 2 x 1 b W 5 O Y W 1 l c y Z x d W 9 0 O z p b X S w m c X V v d D t D b 2 x 1 b W 5 J Z G V u d G l 0 a W V z J n F 1 b 3 Q 7 O l s m c X V v d D t T Z W N 0 a W 9 u M S 9 U Y W J s Z T E v Q X V 0 b 1 J l b W 9 2 Z W R D b 2 x 1 b W 5 z M S 5 7 T m 8 u L D B 9 J n F 1 b 3 Q 7 L C Z x d W 9 0 O 1 N l Y 3 R p b 2 4 x L 1 R h Y m x l M S 9 B d X R v U m V t b 3 Z l Z E N v b H V t b n M x L n t F b X B s b 3 l l Z S B O b y 4 s M X 0 m c X V v d D s s J n F 1 b 3 Q 7 U 2 V j d G l v b j E v V G F i b G U x L 0 F 1 d G 9 S Z W 1 v d m V k Q 2 9 s d W 1 u c z E u e 0 V t c G x v e W V l I E 5 h b W U s M n 0 m c X V v d D s s J n F 1 b 3 Q 7 U 2 V j d G l v b j E v V G F i b G U x L 0 F 1 d G 9 S Z W 1 v d m V k Q 2 9 s d W 1 u c z E u e 0 V t c G x v e W V l I F B v c 2 l 0 a W 9 u L D N 9 J n F 1 b 3 Q 7 L C Z x d W 9 0 O 1 N l Y 3 R p b 2 4 x L 1 R h Y m x l M S 9 B d X R v U m V t b 3 Z l Z E N v b H V t b n M x L n t F b X B s b 3 l l Z S B E Z X B h c n R t Z W 5 0 I E R l c 2 M u K E Y p L D R 9 J n F 1 b 3 Q 7 L C Z x d W 9 0 O 1 N l Y 3 R p b 2 4 x L 1 R h Y m x l M S 9 B d X R v U m V t b 3 Z l Z E N v b H V t b n M x L n t F b X B s b 3 l l Z S B T Z W N 0 a W 9 u I E R l c 2 M u K E Y p L D V 9 J n F 1 b 3 Q 7 L C Z x d W 9 0 O 1 N l Y 3 R p b 2 4 x L 1 R h Y m x l M S 9 B d X R v U m V t b 3 Z l Z E N v b H V t b n M x L n t H Z W 5 k Z X I s N n 0 m c X V v d D s s J n F 1 b 3 Q 7 U 2 V j d G l v b j E v V G F i b G U x L 0 F 1 d G 9 S Z W 1 v d m V k Q 2 9 s d W 1 u c z E u e 0 V t c G x v e W V l I F N o a W Z 0 I E d y b 3 V w I E R l c 2 M u K E Y p 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N o A A A A B A A A A 0 I y d 3 w E V 0 R G M e g D A T 8 K X 6 w E A A A A 2 O C j F y O G s T q T M R Z q i U I / l A A A A A A I A A A A A A A N m A A D A A A A A E A A A A G n c Q E 9 g T H J 5 O A 0 + t C 1 M / l o A A A A A B I A A A K A A A A A Q A A A A L o h j i n f 0 A H j 2 e 5 G m 4 t 6 6 q l A A A A A R 6 Q 3 z 0 2 2 E H J m v D I l r n 0 L f D C 0 U t G I q I F G h 8 a T 2 k q l d g G 4 r I 6 8 O U O S + O P p 1 V q s W x 9 H J 4 d r t 7 L i L R D a J v c E H G w 4 5 F m S 5 d 5 g 0 u k k Q 4 o J E O f 2 S a x Q A A A D q 8 G f X f 5 G t G 9 m W s V 8 q f n t 1 p H F s 4 Q = = < / 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e1b262e1-021f-4d30-bdb8-e9a8b520c35b" xsi:nil="true"/>
    <lcf76f155ced4ddcb4097134ff3c332f xmlns="e7c4f86c-dbc6-47ec-9276-2d9964814a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B26DE7CA73C4CC4DAF5A0742803B7852" ma:contentTypeVersion="15" ma:contentTypeDescription="새 문서를 만듭니다." ma:contentTypeScope="" ma:versionID="e89342737f5e2186aa7d3aca8df0131d">
  <xsd:schema xmlns:xsd="http://www.w3.org/2001/XMLSchema" xmlns:xs="http://www.w3.org/2001/XMLSchema" xmlns:p="http://schemas.microsoft.com/office/2006/metadata/properties" xmlns:ns2="e7c4f86c-dbc6-47ec-9276-2d9964814a29" xmlns:ns3="e1b262e1-021f-4d30-bdb8-e9a8b520c35b" targetNamespace="http://schemas.microsoft.com/office/2006/metadata/properties" ma:root="true" ma:fieldsID="fb0ad8a3316eb03054e8868dc08ef8bc" ns2:_="" ns3:_="">
    <xsd:import namespace="e7c4f86c-dbc6-47ec-9276-2d9964814a29"/>
    <xsd:import namespace="e1b262e1-021f-4d30-bdb8-e9a8b520c3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4f86c-dbc6-47ec-9276-2d9964814a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b55d8f87-b40e-4953-96e9-0033a3480dac"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b262e1-021f-4d30-bdb8-e9a8b520c35b"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TaxCatchAll" ma:index="17" nillable="true" ma:displayName="Taxonomy Catch All Column" ma:hidden="true" ma:list="{26ef7f2a-33ec-4098-88c5-dd6bc866d4f4}" ma:internalName="TaxCatchAll" ma:showField="CatchAllData" ma:web="e1b262e1-021f-4d30-bdb8-e9a8b520c3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BAFD30-A3D5-49F3-A08A-92D037F66C9D}"/>
</file>

<file path=customXml/itemProps2.xml><?xml version="1.0" encoding="utf-8"?>
<ds:datastoreItem xmlns:ds="http://schemas.openxmlformats.org/officeDocument/2006/customXml" ds:itemID="{2FE94C2D-2408-4E29-AAA2-29DCD4BFA10A}"/>
</file>

<file path=customXml/itemProps3.xml><?xml version="1.0" encoding="utf-8"?>
<ds:datastoreItem xmlns:ds="http://schemas.openxmlformats.org/officeDocument/2006/customXml" ds:itemID="{83B7A42C-ECF6-435F-90D8-420F1FA13152}"/>
</file>

<file path=customXml/itemProps4.xml><?xml version="1.0" encoding="utf-8"?>
<ds:datastoreItem xmlns:ds="http://schemas.openxmlformats.org/officeDocument/2006/customXml" ds:itemID="{4F0EA0AF-9EB4-4BB5-AA7A-8ABDDA1C8F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NURAZANIDA BINTI MD NOOR</dc:creator>
  <cp:keywords/>
  <dc:description/>
  <cp:lastModifiedBy/>
  <cp:revision/>
  <dcterms:created xsi:type="dcterms:W3CDTF">2025-03-17T06:15:47Z</dcterms:created>
  <dcterms:modified xsi:type="dcterms:W3CDTF">2025-05-20T09:16:04Z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0x010100B26DE7CA73C4CC4DAF5A0742803B7852</vt:lpwstr>
  </property>
  <property fmtid="{D5CDD505-2E9C-101B-9397-08002B2CF9AE}" pid="3" name="MediaServiceImageTags">
    <vt:lpwstr/>
  </property>
</Properties>
</file>