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hso\Documents\Study-data\Exams\Semester 2\Physics\VPV\"/>
    </mc:Choice>
  </mc:AlternateContent>
  <xr:revisionPtr revIDLastSave="0" documentId="13_ncr:1_{4BF84F5E-8924-4A4A-BDCF-C747DBF6B306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Оборудование" sheetId="1" r:id="rId1"/>
    <sheet name="Кружка" sheetId="2" r:id="rId2"/>
    <sheet name="Кувшин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3" l="1" a="1"/>
  <c r="AA2" i="3" s="1"/>
  <c r="AA2" i="2" a="1"/>
  <c r="AA2" i="2" s="1"/>
  <c r="X2" i="3" a="1"/>
  <c r="X2" i="3" s="1"/>
  <c r="X2" i="2" a="1"/>
  <c r="X2" i="2" s="1"/>
  <c r="U6" i="2"/>
  <c r="T6" i="2"/>
  <c r="S6" i="2"/>
  <c r="R6" i="2"/>
  <c r="U5" i="2"/>
  <c r="T5" i="2"/>
  <c r="S5" i="2"/>
  <c r="R5" i="2"/>
  <c r="U4" i="2"/>
  <c r="T4" i="2"/>
  <c r="S4" i="2"/>
  <c r="R4" i="2"/>
  <c r="U3" i="2"/>
  <c r="T3" i="2"/>
  <c r="S3" i="2"/>
  <c r="R3" i="2"/>
  <c r="U2" i="2"/>
  <c r="T2" i="2"/>
  <c r="S2" i="2"/>
  <c r="R2" i="2"/>
  <c r="T3" i="3"/>
  <c r="U3" i="3"/>
  <c r="T4" i="3"/>
  <c r="U4" i="3"/>
  <c r="T5" i="3"/>
  <c r="U5" i="3"/>
  <c r="T6" i="3"/>
  <c r="U6" i="3"/>
  <c r="U2" i="3"/>
  <c r="T2" i="3"/>
  <c r="R3" i="3"/>
  <c r="S3" i="3"/>
  <c r="R4" i="3"/>
  <c r="S4" i="3"/>
  <c r="R5" i="3"/>
  <c r="S5" i="3"/>
  <c r="R6" i="3"/>
  <c r="S6" i="3"/>
  <c r="R2" i="3"/>
  <c r="S2" i="3"/>
  <c r="P6" i="3"/>
  <c r="P5" i="3"/>
  <c r="P4" i="3"/>
  <c r="P3" i="3"/>
  <c r="P2" i="3"/>
  <c r="O6" i="3"/>
  <c r="O5" i="3"/>
  <c r="O4" i="3"/>
  <c r="Q4" i="3" s="1"/>
  <c r="O3" i="3"/>
  <c r="O2" i="3"/>
  <c r="Q3" i="3"/>
  <c r="Q5" i="3"/>
  <c r="Q6" i="3"/>
  <c r="Q2" i="3"/>
  <c r="N3" i="3"/>
  <c r="N4" i="3"/>
  <c r="N5" i="3"/>
  <c r="N6" i="3"/>
  <c r="N2" i="3"/>
  <c r="M6" i="3"/>
  <c r="M5" i="3"/>
  <c r="M4" i="3"/>
  <c r="M3" i="3"/>
  <c r="M2" i="3"/>
  <c r="L6" i="3"/>
  <c r="L5" i="3"/>
  <c r="L4" i="3"/>
  <c r="L3" i="3"/>
  <c r="L2" i="3"/>
  <c r="Q3" i="2"/>
  <c r="Q4" i="2"/>
  <c r="Q5" i="2"/>
  <c r="Q6" i="2"/>
  <c r="Q2" i="2"/>
  <c r="N3" i="2"/>
  <c r="N4" i="2"/>
  <c r="N5" i="2"/>
  <c r="N6" i="2"/>
  <c r="N2" i="2"/>
  <c r="Q2" i="1"/>
  <c r="N2" i="1"/>
  <c r="P2" i="1"/>
  <c r="P6" i="2"/>
  <c r="P5" i="2"/>
  <c r="P4" i="2"/>
  <c r="P3" i="2"/>
  <c r="P2" i="2"/>
  <c r="O6" i="2"/>
  <c r="O5" i="2"/>
  <c r="O4" i="2"/>
  <c r="O3" i="2"/>
  <c r="O2" i="2"/>
  <c r="M4" i="2"/>
  <c r="M5" i="2"/>
  <c r="M6" i="2"/>
  <c r="M3" i="2"/>
  <c r="M2" i="2"/>
  <c r="L6" i="2"/>
  <c r="L5" i="2"/>
  <c r="L4" i="2"/>
  <c r="L3" i="2"/>
  <c r="L2" i="2"/>
  <c r="G57" i="3"/>
  <c r="G59" i="3" s="1"/>
  <c r="H57" i="3"/>
  <c r="I57" i="3"/>
  <c r="J57" i="3"/>
  <c r="G58" i="3"/>
  <c r="H58" i="3"/>
  <c r="H59" i="3" s="1"/>
  <c r="I58" i="3"/>
  <c r="J58" i="3"/>
  <c r="J59" i="3" s="1"/>
  <c r="I59" i="3"/>
  <c r="F58" i="3"/>
  <c r="F57" i="3"/>
  <c r="I56" i="3"/>
  <c r="J56" i="3" s="1"/>
  <c r="I55" i="3"/>
  <c r="J55" i="3" s="1"/>
  <c r="I54" i="3"/>
  <c r="J54" i="3" s="1"/>
  <c r="I53" i="3"/>
  <c r="J53" i="3" s="1"/>
  <c r="I52" i="3"/>
  <c r="J52" i="3" s="1"/>
  <c r="I51" i="3"/>
  <c r="E51" i="3"/>
  <c r="D51" i="3"/>
  <c r="G10" i="3"/>
  <c r="H10" i="3"/>
  <c r="I10" i="3"/>
  <c r="J10" i="3"/>
  <c r="G11" i="3"/>
  <c r="H11" i="3"/>
  <c r="I11" i="3"/>
  <c r="J11" i="3"/>
  <c r="J12" i="3" s="1"/>
  <c r="G12" i="3"/>
  <c r="H12" i="3"/>
  <c r="I12" i="3"/>
  <c r="G24" i="3"/>
  <c r="H24" i="3"/>
  <c r="I24" i="3"/>
  <c r="J24" i="3"/>
  <c r="G25" i="3"/>
  <c r="G26" i="3" s="1"/>
  <c r="H25" i="3"/>
  <c r="H26" i="3" s="1"/>
  <c r="I25" i="3"/>
  <c r="I26" i="3" s="1"/>
  <c r="J25" i="3"/>
  <c r="J26" i="3" s="1"/>
  <c r="G35" i="3"/>
  <c r="H35" i="3"/>
  <c r="I35" i="3"/>
  <c r="J35" i="3"/>
  <c r="G36" i="3"/>
  <c r="H36" i="3"/>
  <c r="H37" i="3" s="1"/>
  <c r="I36" i="3"/>
  <c r="J36" i="3"/>
  <c r="J37" i="3" s="1"/>
  <c r="G37" i="3"/>
  <c r="I37" i="3"/>
  <c r="G47" i="3"/>
  <c r="G49" i="3" s="1"/>
  <c r="H47" i="3"/>
  <c r="H49" i="3" s="1"/>
  <c r="I47" i="3"/>
  <c r="I49" i="3" s="1"/>
  <c r="J47" i="3"/>
  <c r="G48" i="3"/>
  <c r="H48" i="3"/>
  <c r="I48" i="3"/>
  <c r="J48" i="3"/>
  <c r="J49" i="3" s="1"/>
  <c r="I42" i="3"/>
  <c r="J42" i="3" s="1"/>
  <c r="I43" i="3"/>
  <c r="J43" i="3" s="1"/>
  <c r="I44" i="3"/>
  <c r="J44" i="3" s="1"/>
  <c r="I45" i="3"/>
  <c r="J45" i="3"/>
  <c r="I46" i="3"/>
  <c r="J46" i="3"/>
  <c r="F47" i="3"/>
  <c r="F48" i="3"/>
  <c r="I41" i="3"/>
  <c r="J41" i="3" s="1"/>
  <c r="J40" i="3"/>
  <c r="I40" i="3"/>
  <c r="I39" i="3"/>
  <c r="J39" i="3" s="1"/>
  <c r="E39" i="3"/>
  <c r="D39" i="3"/>
  <c r="I9" i="3"/>
  <c r="F10" i="3"/>
  <c r="F11" i="3"/>
  <c r="I23" i="3"/>
  <c r="J23" i="3" s="1"/>
  <c r="F24" i="3"/>
  <c r="F25" i="3"/>
  <c r="I22" i="3"/>
  <c r="J22" i="3"/>
  <c r="I21" i="3"/>
  <c r="F36" i="3"/>
  <c r="F35" i="3"/>
  <c r="I34" i="3"/>
  <c r="J34" i="3" s="1"/>
  <c r="I33" i="3"/>
  <c r="J33" i="3" s="1"/>
  <c r="I32" i="3"/>
  <c r="J32" i="3" s="1"/>
  <c r="I31" i="3"/>
  <c r="J31" i="3" s="1"/>
  <c r="I30" i="3"/>
  <c r="J30" i="3" s="1"/>
  <c r="I29" i="3"/>
  <c r="J29" i="3" s="1"/>
  <c r="I28" i="3"/>
  <c r="E28" i="3"/>
  <c r="D28" i="3"/>
  <c r="G43" i="2"/>
  <c r="G45" i="2" s="1"/>
  <c r="H43" i="2"/>
  <c r="I43" i="2"/>
  <c r="I45" i="2" s="1"/>
  <c r="J43" i="2"/>
  <c r="G44" i="2"/>
  <c r="H44" i="2"/>
  <c r="I44" i="2"/>
  <c r="J44" i="2"/>
  <c r="J45" i="2" s="1"/>
  <c r="H45" i="2"/>
  <c r="F43" i="2"/>
  <c r="F44" i="2"/>
  <c r="G55" i="2"/>
  <c r="H55" i="2"/>
  <c r="G56" i="2"/>
  <c r="H56" i="2"/>
  <c r="F55" i="2"/>
  <c r="F56" i="2"/>
  <c r="I50" i="2"/>
  <c r="J50" i="2" s="1"/>
  <c r="I51" i="2"/>
  <c r="J51" i="2" s="1"/>
  <c r="I52" i="2"/>
  <c r="J52" i="2" s="1"/>
  <c r="I53" i="2"/>
  <c r="J53" i="2" s="1"/>
  <c r="I54" i="2"/>
  <c r="J54" i="2" s="1"/>
  <c r="I20" i="3"/>
  <c r="J20" i="3" s="1"/>
  <c r="I19" i="3"/>
  <c r="J19" i="3" s="1"/>
  <c r="I18" i="3"/>
  <c r="J18" i="3" s="1"/>
  <c r="I17" i="3"/>
  <c r="J17" i="3" s="1"/>
  <c r="I16" i="3"/>
  <c r="J16" i="3" s="1"/>
  <c r="I15" i="3"/>
  <c r="J15" i="3" s="1"/>
  <c r="I14" i="3"/>
  <c r="E14" i="3"/>
  <c r="D14" i="3"/>
  <c r="I8" i="3"/>
  <c r="J8" i="3" s="1"/>
  <c r="I7" i="3"/>
  <c r="I6" i="3"/>
  <c r="J6" i="3" s="1"/>
  <c r="I5" i="3"/>
  <c r="J5" i="3" s="1"/>
  <c r="I4" i="3"/>
  <c r="J4" i="3" s="1"/>
  <c r="I3" i="3"/>
  <c r="J3" i="3" s="1"/>
  <c r="I2" i="3"/>
  <c r="E2" i="3"/>
  <c r="D2" i="3"/>
  <c r="I49" i="2"/>
  <c r="J49" i="2" s="1"/>
  <c r="I48" i="2"/>
  <c r="J48" i="2" s="1"/>
  <c r="I47" i="2"/>
  <c r="J47" i="2" s="1"/>
  <c r="E47" i="2"/>
  <c r="D47" i="2"/>
  <c r="G15" i="2"/>
  <c r="H15" i="2"/>
  <c r="I15" i="2"/>
  <c r="J15" i="2"/>
  <c r="G16" i="2"/>
  <c r="G17" i="2" s="1"/>
  <c r="H16" i="2"/>
  <c r="H17" i="2" s="1"/>
  <c r="I16" i="2"/>
  <c r="I17" i="2" s="1"/>
  <c r="J16" i="2"/>
  <c r="J17" i="2" s="1"/>
  <c r="F25" i="2"/>
  <c r="F38" i="2"/>
  <c r="F37" i="2"/>
  <c r="I42" i="2"/>
  <c r="J42" i="2" s="1"/>
  <c r="I41" i="2"/>
  <c r="J41" i="2" s="1"/>
  <c r="E41" i="2"/>
  <c r="D41" i="2"/>
  <c r="I36" i="2"/>
  <c r="J36" i="2" s="1"/>
  <c r="I35" i="2"/>
  <c r="J35" i="2" s="1"/>
  <c r="I34" i="2"/>
  <c r="J34" i="2" s="1"/>
  <c r="I33" i="2"/>
  <c r="J33" i="2" s="1"/>
  <c r="I32" i="2"/>
  <c r="J32" i="2" s="1"/>
  <c r="I31" i="2"/>
  <c r="J31" i="2" s="1"/>
  <c r="I30" i="2"/>
  <c r="J30" i="2" s="1"/>
  <c r="I29" i="2"/>
  <c r="J29" i="2" s="1"/>
  <c r="G25" i="2"/>
  <c r="H25" i="2"/>
  <c r="G26" i="2"/>
  <c r="G27" i="2" s="1"/>
  <c r="H26" i="2"/>
  <c r="F26" i="2"/>
  <c r="I21" i="2"/>
  <c r="J21" i="2" s="1"/>
  <c r="I22" i="2"/>
  <c r="J22" i="2" s="1"/>
  <c r="I23" i="2"/>
  <c r="J23" i="2" s="1"/>
  <c r="I24" i="2"/>
  <c r="J24" i="2" s="1"/>
  <c r="I20" i="2"/>
  <c r="J20" i="2" s="1"/>
  <c r="I19" i="2"/>
  <c r="H38" i="2"/>
  <c r="G38" i="2"/>
  <c r="H37" i="2"/>
  <c r="G37" i="2"/>
  <c r="E29" i="2"/>
  <c r="D29" i="2"/>
  <c r="G6" i="2"/>
  <c r="H6" i="2"/>
  <c r="G7" i="2"/>
  <c r="H7" i="2"/>
  <c r="F7" i="2"/>
  <c r="F6" i="2"/>
  <c r="I5" i="2"/>
  <c r="J5" i="2" s="1"/>
  <c r="I4" i="2"/>
  <c r="J4" i="2" s="1"/>
  <c r="I3" i="2"/>
  <c r="J3" i="2" s="1"/>
  <c r="I2" i="2"/>
  <c r="J2" i="2" s="1"/>
  <c r="F16" i="2"/>
  <c r="F15" i="2"/>
  <c r="E19" i="2"/>
  <c r="D19" i="2"/>
  <c r="I14" i="2"/>
  <c r="J14" i="2" s="1"/>
  <c r="I11" i="2"/>
  <c r="J11" i="2" s="1"/>
  <c r="I12" i="2"/>
  <c r="J12" i="2" s="1"/>
  <c r="I13" i="2"/>
  <c r="J13" i="2" s="1"/>
  <c r="I10" i="2"/>
  <c r="E10" i="2"/>
  <c r="D10" i="2"/>
  <c r="E2" i="2"/>
  <c r="D2" i="2"/>
  <c r="D6" i="1"/>
  <c r="E6" i="1" s="1"/>
  <c r="D5" i="1"/>
  <c r="E5" i="1" s="1"/>
  <c r="D4" i="1"/>
  <c r="E4" i="1" s="1"/>
  <c r="D3" i="1"/>
  <c r="E3" i="1" s="1"/>
  <c r="D2" i="1"/>
  <c r="E2" i="1" s="1"/>
  <c r="F2" i="1" s="1"/>
  <c r="F59" i="3" l="1"/>
  <c r="J51" i="3"/>
  <c r="F49" i="3"/>
  <c r="J9" i="3"/>
  <c r="F37" i="3"/>
  <c r="J21" i="3"/>
  <c r="J28" i="3"/>
  <c r="F26" i="3"/>
  <c r="G57" i="2"/>
  <c r="J55" i="2"/>
  <c r="J56" i="2"/>
  <c r="I56" i="2"/>
  <c r="I55" i="2"/>
  <c r="H57" i="2"/>
  <c r="J14" i="3"/>
  <c r="J7" i="3"/>
  <c r="F57" i="2"/>
  <c r="F12" i="3"/>
  <c r="J2" i="3"/>
  <c r="H27" i="2"/>
  <c r="H8" i="2"/>
  <c r="G8" i="2"/>
  <c r="F8" i="2"/>
  <c r="I25" i="2"/>
  <c r="F17" i="2"/>
  <c r="J19" i="2"/>
  <c r="J25" i="2" s="1"/>
  <c r="J7" i="2"/>
  <c r="F39" i="2"/>
  <c r="J6" i="2"/>
  <c r="I26" i="2"/>
  <c r="G39" i="2"/>
  <c r="I6" i="2"/>
  <c r="H39" i="2"/>
  <c r="I7" i="2"/>
  <c r="F27" i="2"/>
  <c r="J37" i="2"/>
  <c r="J38" i="2"/>
  <c r="I37" i="2"/>
  <c r="I38" i="2"/>
  <c r="J10" i="2"/>
  <c r="F3" i="1"/>
  <c r="J57" i="2" l="1"/>
  <c r="I57" i="2"/>
  <c r="J26" i="2"/>
  <c r="J27" i="2" s="1"/>
  <c r="I8" i="2"/>
  <c r="J8" i="2"/>
  <c r="I27" i="2"/>
  <c r="J39" i="2"/>
  <c r="I39" i="2"/>
  <c r="F4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<sst xmlns="http://schemas.openxmlformats.org/spreadsheetml/2006/main" count="188" uniqueCount="39">
  <si>
    <t>Радиус капли</t>
  </si>
  <si>
    <t>Vшпр, мл</t>
  </si>
  <si>
    <t>N</t>
  </si>
  <si>
    <t>V1, мл</t>
  </si>
  <si>
    <t>r1, см</t>
  </si>
  <si>
    <t>rср, мм</t>
  </si>
  <si>
    <t>Линейка</t>
  </si>
  <si>
    <r>
      <rPr>
        <sz val="10"/>
        <color theme="1"/>
        <rFont val="Calibri"/>
        <family val="2"/>
      </rPr>
      <t>σ</t>
    </r>
    <r>
      <rPr>
        <sz val="10"/>
        <color theme="1"/>
        <rFont val="Liberation Sans"/>
      </rPr>
      <t>h, см</t>
    </r>
  </si>
  <si>
    <t>h1, см</t>
  </si>
  <si>
    <t>h2, см</t>
  </si>
  <si>
    <t>h, см</t>
  </si>
  <si>
    <t>Быстро</t>
  </si>
  <si>
    <t>R, мм</t>
  </si>
  <si>
    <t>l, мм</t>
  </si>
  <si>
    <t>Фотошоп</t>
  </si>
  <si>
    <r>
      <rPr>
        <sz val="10"/>
        <color theme="1"/>
        <rFont val="Calibri"/>
        <family val="2"/>
      </rPr>
      <t>σ</t>
    </r>
    <r>
      <rPr>
        <sz val="10"/>
        <color theme="1"/>
        <rFont val="Liberation Sans"/>
      </rPr>
      <t>h, мм</t>
    </r>
  </si>
  <si>
    <t>dc, мм</t>
  </si>
  <si>
    <t>rc, мм</t>
  </si>
  <si>
    <t>lrc, мм^2</t>
  </si>
  <si>
    <t>Average</t>
  </si>
  <si>
    <t>Stdev</t>
  </si>
  <si>
    <t>Relative</t>
  </si>
  <si>
    <t>Rтеор, мм</t>
  </si>
  <si>
    <t>g, Н/м</t>
  </si>
  <si>
    <t>ρ, кг/м^3</t>
  </si>
  <si>
    <t>σ, Н/м</t>
  </si>
  <si>
    <t>2σ/ρg</t>
  </si>
  <si>
    <t>.</t>
  </si>
  <si>
    <t>lrcтеор, мм^2</t>
  </si>
  <si>
    <t>(Rтеор^2+2s/rg)^2, мм^4</t>
  </si>
  <si>
    <t>(R^2+2s/rg)^2, мм^4</t>
  </si>
  <si>
    <t>(lrc^2+2s/rg)^2, мм^4</t>
  </si>
  <si>
    <t>(lrcтеор^2+2s/rg)^2, мм^4</t>
  </si>
  <si>
    <t>R(h)</t>
  </si>
  <si>
    <t>k</t>
  </si>
  <si>
    <t>b</t>
  </si>
  <si>
    <t>val</t>
  </si>
  <si>
    <t>stderr</t>
  </si>
  <si>
    <t>lrc(h)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</si>
</sst>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"/>
    <numFmt numFmtId="167" formatCode="0.0%"/>
  </numFmts>
  <fonts count="16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theme="1"/>
      <name val="Liberation Sans"/>
      <family val="2"/>
    </font>
    <font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AFD095"/>
        <bgColor rgb="FFAFD095"/>
      </patternFill>
    </fill>
    <fill>
      <patternFill patternType="solid">
        <fgColor rgb="FFFF6D6D"/>
        <bgColor rgb="FFFF6D6D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6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7" fillId="0" borderId="0" applyNumberFormat="0" applyFill="0" applyBorder="0" applyProtection="0"/>
    <xf numFmtId="0" fontId="10" fillId="0" borderId="0" applyNumberFormat="0" applyFill="0" applyBorder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11"/>
    <xf numFmtId="164" fontId="0" fillId="0" borderId="0" xfId="11" applyNumberFormat="1" applyFont="1"/>
    <xf numFmtId="165" fontId="0" fillId="9" borderId="0" xfId="11" applyNumberFormat="1" applyFont="1" applyFill="1"/>
    <xf numFmtId="165" fontId="0" fillId="10" borderId="0" xfId="11" applyNumberFormat="1" applyFont="1" applyFill="1"/>
    <xf numFmtId="0" fontId="14" fillId="0" borderId="0" xfId="0" applyFont="1"/>
    <xf numFmtId="1" fontId="0" fillId="10" borderId="0" xfId="11" applyNumberFormat="1" applyFont="1" applyFill="1"/>
    <xf numFmtId="166" fontId="0" fillId="0" borderId="0" xfId="0" applyNumberFormat="1"/>
    <xf numFmtId="2" fontId="0" fillId="0" borderId="0" xfId="0" applyNumberFormat="1"/>
    <xf numFmtId="0" fontId="0" fillId="11" borderId="0" xfId="0" applyFill="1"/>
    <xf numFmtId="0" fontId="14" fillId="11" borderId="0" xfId="0" applyFont="1" applyFill="1"/>
    <xf numFmtId="2" fontId="0" fillId="11" borderId="0" xfId="0" applyNumberFormat="1" applyFill="1"/>
    <xf numFmtId="2" fontId="14" fillId="12" borderId="0" xfId="0" applyNumberFormat="1" applyFont="1" applyFill="1"/>
    <xf numFmtId="2" fontId="15" fillId="12" borderId="0" xfId="0" applyNumberFormat="1" applyFont="1" applyFill="1"/>
    <xf numFmtId="0" fontId="0" fillId="13" borderId="0" xfId="0" applyFill="1"/>
    <xf numFmtId="9" fontId="0" fillId="13" borderId="0" xfId="20" applyFont="1" applyFill="1"/>
    <xf numFmtId="167" fontId="0" fillId="13" borderId="0" xfId="20" applyNumberFormat="1" applyFont="1" applyFill="1"/>
    <xf numFmtId="2" fontId="0" fillId="13" borderId="0" xfId="0" applyNumberFormat="1" applyFill="1"/>
    <xf numFmtId="2" fontId="14" fillId="11" borderId="0" xfId="0" applyNumberFormat="1" applyFont="1" applyFill="1"/>
    <xf numFmtId="0" fontId="0" fillId="12" borderId="0" xfId="0" applyFill="1"/>
    <xf numFmtId="2" fontId="0" fillId="12" borderId="0" xfId="0" applyNumberFormat="1" applyFill="1"/>
  </cellXfs>
  <cellStyles count="21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Default" xfId="11" xr:uid="{00000000-0005-0000-0000-000005000000}"/>
    <cellStyle name="Error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Percent" xfId="20" builtinId="5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R(h)</a:t>
            </a:r>
            <a:r>
              <a:rPr lang="ru-RU"/>
              <a:t> стакан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Кружка!$L$2:$L$6</c:f>
              <c:numCache>
                <c:formatCode>0.00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Кружка!$M$2:$M$6</c:f>
              <c:numCache>
                <c:formatCode>0.00</c:formatCode>
                <c:ptCount val="5"/>
                <c:pt idx="0">
                  <c:v>9.6660000000000004</c:v>
                </c:pt>
                <c:pt idx="1">
                  <c:v>8.8466666666666658</c:v>
                </c:pt>
                <c:pt idx="2">
                  <c:v>8.8237500000000004</c:v>
                </c:pt>
                <c:pt idx="3">
                  <c:v>8.5150000000000006</c:v>
                </c:pt>
                <c:pt idx="4">
                  <c:v>8.2712500000000002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89-4C45-91EE-801D7EBB94F9}"/>
            </c:ext>
          </c:extLst>
        </c:ser>
        <c:ser>
          <c:idx val="1"/>
          <c:order val="1"/>
          <c:tx>
            <c:v>Theoretical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Кружка!$L$2:$L$6</c:f>
              <c:numCache>
                <c:formatCode>0.00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Кружка!$N$2:$N$6</c:f>
              <c:numCache>
                <c:formatCode>0.00</c:formatCode>
                <c:ptCount val="5"/>
                <c:pt idx="0">
                  <c:v>11.447882381510828</c:v>
                </c:pt>
                <c:pt idx="1">
                  <c:v>11.038577101178104</c:v>
                </c:pt>
                <c:pt idx="2">
                  <c:v>10.582072007056963</c:v>
                </c:pt>
                <c:pt idx="3">
                  <c:v>10.063522805223002</c:v>
                </c:pt>
                <c:pt idx="4">
                  <c:v>9.4591722853676714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8F-4EBC-A43E-D15F727FB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146608"/>
        <c:axId val="1934147440"/>
      </c:scatterChart>
      <c:valAx>
        <c:axId val="1934146608"/>
        <c:scaling>
          <c:orientation val="minMax"/>
          <c:max val="42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h, </a:t>
                </a:r>
                <a:r>
                  <a:rPr lang="ru-RU"/>
                  <a:t>см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47440"/>
        <c:crosses val="autoZero"/>
        <c:crossBetween val="midCat"/>
      </c:valAx>
      <c:valAx>
        <c:axId val="1934147440"/>
        <c:scaling>
          <c:orientation val="minMax"/>
          <c:max val="11.6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R, </a:t>
                </a:r>
                <a:r>
                  <a:rPr lang="ru-RU"/>
                  <a:t>мм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4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lrc</a:t>
            </a:r>
            <a:r>
              <a:rPr lang="en-GB"/>
              <a:t>(h)</a:t>
            </a:r>
            <a:r>
              <a:rPr lang="ru-RU"/>
              <a:t> стакан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Кружка!$L$2:$L$6</c:f>
              <c:numCache>
                <c:formatCode>0.00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Кружка!$P$2:$P$6</c:f>
              <c:numCache>
                <c:formatCode>0.00</c:formatCode>
                <c:ptCount val="5"/>
                <c:pt idx="0">
                  <c:v>81.226309999999984</c:v>
                </c:pt>
                <c:pt idx="1">
                  <c:v>70.297866666666678</c:v>
                </c:pt>
                <c:pt idx="2">
                  <c:v>48.547449999999998</c:v>
                </c:pt>
                <c:pt idx="3">
                  <c:v>47.103375</c:v>
                </c:pt>
                <c:pt idx="4">
                  <c:v>35.373450000000005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DC-4215-9535-92070986CD9B}"/>
            </c:ext>
          </c:extLst>
        </c:ser>
        <c:ser>
          <c:idx val="1"/>
          <c:order val="1"/>
          <c:tx>
            <c:v>Theoretical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Кружка!$L$2:$L$6</c:f>
              <c:numCache>
                <c:formatCode>0.00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Кружка!$Q$2:$Q$6</c:f>
              <c:numCache>
                <c:formatCode>0.00</c:formatCode>
                <c:ptCount val="5"/>
                <c:pt idx="0">
                  <c:v>88.850784205025306</c:v>
                </c:pt>
                <c:pt idx="1">
                  <c:v>82.378414686034503</c:v>
                </c:pt>
                <c:pt idx="2">
                  <c:v>75.443324848487549</c:v>
                </c:pt>
                <c:pt idx="3">
                  <c:v>67.929310828562777</c:v>
                </c:pt>
                <c:pt idx="4">
                  <c:v>59.661455364268797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DC-4215-9535-92070986C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146608"/>
        <c:axId val="1934147440"/>
      </c:scatterChart>
      <c:valAx>
        <c:axId val="1934146608"/>
        <c:scaling>
          <c:orientation val="minMax"/>
          <c:max val="42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h, </a:t>
                </a:r>
                <a:r>
                  <a:rPr lang="ru-RU"/>
                  <a:t>см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47440"/>
        <c:crosses val="autoZero"/>
        <c:crossBetween val="midCat"/>
      </c:valAx>
      <c:valAx>
        <c:axId val="1934147440"/>
        <c:scaling>
          <c:orientation val="minMax"/>
          <c:max val="95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lrc, </a:t>
                </a:r>
                <a:r>
                  <a:rPr lang="ru-RU"/>
                  <a:t>мм</a:t>
                </a:r>
                <a:r>
                  <a:rPr lang="en-US"/>
                  <a:t>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4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(R^2+2</a:t>
            </a:r>
            <a:r>
              <a:rPr lang="en-US"/>
              <a:t>σ/ρg)^2(h)</a:t>
            </a:r>
            <a:r>
              <a:rPr lang="ru-RU"/>
              <a:t> стакан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Кружка!$L$2:$L$6</c:f>
              <c:numCache>
                <c:formatCode>0.00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Кружка!$R$2:$R$6</c:f>
              <c:numCache>
                <c:formatCode>0.00</c:formatCode>
                <c:ptCount val="5"/>
                <c:pt idx="0">
                  <c:v>11726.746986182839</c:v>
                </c:pt>
                <c:pt idx="1">
                  <c:v>8671.7182042611767</c:v>
                </c:pt>
                <c:pt idx="2">
                  <c:v>8596.4631790249568</c:v>
                </c:pt>
                <c:pt idx="3">
                  <c:v>7632.429124722089</c:v>
                </c:pt>
                <c:pt idx="4">
                  <c:v>6934.2470074068115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B4-4A08-ABC6-B1FEB80F379B}"/>
            </c:ext>
          </c:extLst>
        </c:ser>
        <c:ser>
          <c:idx val="1"/>
          <c:order val="1"/>
          <c:tx>
            <c:v>Theoretical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Кружка!$L$2:$L$6</c:f>
              <c:numCache>
                <c:formatCode>0.00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Кружка!$S$2:$S$6</c:f>
              <c:numCache>
                <c:formatCode>0.00</c:formatCode>
                <c:ptCount val="5"/>
                <c:pt idx="0">
                  <c:v>21290.475367597057</c:v>
                </c:pt>
                <c:pt idx="1">
                  <c:v>18689.277976328063</c:v>
                </c:pt>
                <c:pt idx="2">
                  <c:v>16088.080585059071</c:v>
                </c:pt>
                <c:pt idx="3">
                  <c:v>13486.883193790078</c:v>
                </c:pt>
                <c:pt idx="4">
                  <c:v>10885.685802521093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B4-4A08-ABC6-B1FEB80F3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146608"/>
        <c:axId val="1934147440"/>
      </c:scatterChart>
      <c:valAx>
        <c:axId val="1934146608"/>
        <c:scaling>
          <c:orientation val="minMax"/>
          <c:max val="42"/>
          <c:min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h, </a:t>
                </a:r>
                <a:r>
                  <a:rPr lang="ru-RU"/>
                  <a:t>см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47440"/>
        <c:crosses val="autoZero"/>
        <c:crossBetween val="midCat"/>
      </c:valAx>
      <c:valAx>
        <c:axId val="1934147440"/>
        <c:scaling>
          <c:orientation val="minMax"/>
          <c:min val="6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(R^2+2</a:t>
                </a:r>
                <a:r>
                  <a:rPr lang="en-US" sz="1000" b="0" i="0" u="none" strike="noStrike" baseline="0">
                    <a:effectLst/>
                  </a:rPr>
                  <a:t>σ/ρg)^2</a:t>
                </a:r>
                <a:r>
                  <a:rPr lang="en-GB"/>
                  <a:t>, </a:t>
                </a:r>
                <a:r>
                  <a:rPr lang="ru-RU"/>
                  <a:t>мм</a:t>
                </a:r>
                <a:r>
                  <a:rPr lang="en-US"/>
                  <a:t>^4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4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(lrc+2</a:t>
            </a:r>
            <a:r>
              <a:rPr lang="en-US"/>
              <a:t>σ/ρg)^2(h)</a:t>
            </a:r>
            <a:r>
              <a:rPr lang="ru-RU"/>
              <a:t> стакан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Кружка!$L$2:$L$6</c:f>
              <c:numCache>
                <c:formatCode>0.00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Кружка!$T$2:$T$6</c:f>
              <c:numCache>
                <c:formatCode>0.00</c:formatCode>
                <c:ptCount val="5"/>
                <c:pt idx="0">
                  <c:v>9232.3002579482782</c:v>
                </c:pt>
                <c:pt idx="1">
                  <c:v>7251.6152434319438</c:v>
                </c:pt>
                <c:pt idx="2">
                  <c:v>4020.3207942475201</c:v>
                </c:pt>
                <c:pt idx="3">
                  <c:v>3839.2801089040586</c:v>
                </c:pt>
                <c:pt idx="4">
                  <c:v>2523.2537909225216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11-476E-86F6-9ADF9E6353B1}"/>
            </c:ext>
          </c:extLst>
        </c:ser>
        <c:ser>
          <c:idx val="1"/>
          <c:order val="1"/>
          <c:tx>
            <c:v>Theoretical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Кружка!$L$2:$L$6</c:f>
              <c:numCache>
                <c:formatCode>0.00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Кружка!$U$2:$U$6</c:f>
              <c:numCache>
                <c:formatCode>0.00</c:formatCode>
                <c:ptCount val="5"/>
                <c:pt idx="0">
                  <c:v>10755.625932957642</c:v>
                </c:pt>
                <c:pt idx="1">
                  <c:v>9455.0272373231473</c:v>
                </c:pt>
                <c:pt idx="2">
                  <c:v>8154.4285416886514</c:v>
                </c:pt>
                <c:pt idx="3">
                  <c:v>6853.8298460541573</c:v>
                </c:pt>
                <c:pt idx="4">
                  <c:v>5553.2311504196614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11-476E-86F6-9ADF9E635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146608"/>
        <c:axId val="1934147440"/>
      </c:scatterChart>
      <c:valAx>
        <c:axId val="1934146608"/>
        <c:scaling>
          <c:orientation val="minMax"/>
          <c:max val="42"/>
          <c:min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h, </a:t>
                </a:r>
                <a:r>
                  <a:rPr lang="ru-RU"/>
                  <a:t>см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47440"/>
        <c:crosses val="autoZero"/>
        <c:crossBetween val="midCat"/>
      </c:valAx>
      <c:valAx>
        <c:axId val="1934147440"/>
        <c:scaling>
          <c:orientation val="minMax"/>
          <c:min val="2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(lrc+2</a:t>
                </a:r>
                <a:r>
                  <a:rPr lang="en-US" sz="1000" b="0" i="0" u="none" strike="noStrike" baseline="0">
                    <a:effectLst/>
                  </a:rPr>
                  <a:t>σ/ρg)^2</a:t>
                </a:r>
                <a:r>
                  <a:rPr lang="en-GB"/>
                  <a:t>, </a:t>
                </a:r>
                <a:r>
                  <a:rPr lang="ru-RU"/>
                  <a:t>мм</a:t>
                </a:r>
                <a:r>
                  <a:rPr lang="en-US"/>
                  <a:t>^4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4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R(h)</a:t>
            </a:r>
            <a:r>
              <a:rPr lang="ru-RU"/>
              <a:t> кувшин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Кувшин!$L$2:$L$6</c:f>
              <c:numCache>
                <c:formatCode>0.00</c:formatCode>
                <c:ptCount val="5"/>
                <c:pt idx="0">
                  <c:v>39.799999999999997</c:v>
                </c:pt>
                <c:pt idx="1">
                  <c:v>34.799999999999997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Кувшин!$M$2:$M$6</c:f>
              <c:numCache>
                <c:formatCode>0.00</c:formatCode>
                <c:ptCount val="5"/>
                <c:pt idx="0">
                  <c:v>12.181250000000002</c:v>
                </c:pt>
                <c:pt idx="1">
                  <c:v>11.788999999999998</c:v>
                </c:pt>
                <c:pt idx="2">
                  <c:v>11.24</c:v>
                </c:pt>
                <c:pt idx="3">
                  <c:v>10.4625</c:v>
                </c:pt>
                <c:pt idx="4">
                  <c:v>10.445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1A-4E9A-A497-8FBD4638E32F}"/>
            </c:ext>
          </c:extLst>
        </c:ser>
        <c:ser>
          <c:idx val="1"/>
          <c:order val="1"/>
          <c:tx>
            <c:v>Theoretical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Кувшин!$L$2:$L$6</c:f>
              <c:numCache>
                <c:formatCode>0.00</c:formatCode>
                <c:ptCount val="5"/>
                <c:pt idx="0">
                  <c:v>39.799999999999997</c:v>
                </c:pt>
                <c:pt idx="1">
                  <c:v>34.799999999999997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Кувшин!$N$2:$N$6</c:f>
              <c:numCache>
                <c:formatCode>0.00</c:formatCode>
                <c:ptCount val="5"/>
                <c:pt idx="0">
                  <c:v>11.393012413729643</c:v>
                </c:pt>
                <c:pt idx="1">
                  <c:v>10.977783090918582</c:v>
                </c:pt>
                <c:pt idx="2">
                  <c:v>10.513632956457528</c:v>
                </c:pt>
                <c:pt idx="3">
                  <c:v>9.9847820282377935</c:v>
                </c:pt>
                <c:pt idx="4">
                  <c:v>9.3656768125373464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1A-4E9A-A497-8FBD4638E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146608"/>
        <c:axId val="1934147440"/>
      </c:scatterChart>
      <c:valAx>
        <c:axId val="1934146608"/>
        <c:scaling>
          <c:orientation val="minMax"/>
          <c:max val="42"/>
          <c:min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h, </a:t>
                </a:r>
                <a:r>
                  <a:rPr lang="ru-RU"/>
                  <a:t>см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47440"/>
        <c:crosses val="autoZero"/>
        <c:crossBetween val="midCat"/>
      </c:valAx>
      <c:valAx>
        <c:axId val="1934147440"/>
        <c:scaling>
          <c:orientation val="minMax"/>
          <c:max val="12.5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R, </a:t>
                </a:r>
                <a:r>
                  <a:rPr lang="ru-RU"/>
                  <a:t>мм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4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lrc(h)</a:t>
            </a:r>
            <a:r>
              <a:rPr lang="ru-RU"/>
              <a:t> кувшин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Кувшин!$O$2:$O$6</c:f>
              <c:numCache>
                <c:formatCode>0.00</c:formatCode>
                <c:ptCount val="5"/>
                <c:pt idx="0">
                  <c:v>39.799999999999997</c:v>
                </c:pt>
                <c:pt idx="1">
                  <c:v>34.799999999999997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Кувшин!$P$2:$P$6</c:f>
              <c:numCache>
                <c:formatCode>0.00</c:formatCode>
                <c:ptCount val="5"/>
                <c:pt idx="0">
                  <c:v>58.480312500000004</c:v>
                </c:pt>
                <c:pt idx="1">
                  <c:v>55.30303</c:v>
                </c:pt>
                <c:pt idx="2">
                  <c:v>46.621335714285713</c:v>
                </c:pt>
                <c:pt idx="3">
                  <c:v>35.38071875</c:v>
                </c:pt>
                <c:pt idx="4">
                  <c:v>27.826641666666664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90-4402-A7F9-3290F0376E87}"/>
            </c:ext>
          </c:extLst>
        </c:ser>
        <c:ser>
          <c:idx val="1"/>
          <c:order val="1"/>
          <c:tx>
            <c:v>Theoretical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Кувшин!$L$2:$L$6</c:f>
              <c:numCache>
                <c:formatCode>0.00</c:formatCode>
                <c:ptCount val="5"/>
                <c:pt idx="0">
                  <c:v>39.799999999999997</c:v>
                </c:pt>
                <c:pt idx="1">
                  <c:v>34.799999999999997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Кувшин!$Q$2:$Q$6</c:f>
              <c:numCache>
                <c:formatCode>0.00</c:formatCode>
                <c:ptCount val="5"/>
                <c:pt idx="0">
                  <c:v>87.969180614267032</c:v>
                </c:pt>
                <c:pt idx="1">
                  <c:v>81.437573926899319</c:v>
                </c:pt>
                <c:pt idx="2">
                  <c:v>74.429437899243425</c:v>
                </c:pt>
                <c:pt idx="3">
                  <c:v>66.822207112380084</c:v>
                </c:pt>
                <c:pt idx="4">
                  <c:v>58.429562141674289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90-4402-A7F9-3290F0376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146608"/>
        <c:axId val="1934147440"/>
      </c:scatterChart>
      <c:valAx>
        <c:axId val="1934146608"/>
        <c:scaling>
          <c:orientation val="minMax"/>
          <c:max val="42"/>
          <c:min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h, </a:t>
                </a:r>
                <a:r>
                  <a:rPr lang="ru-RU"/>
                  <a:t>см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47440"/>
        <c:crosses val="autoZero"/>
        <c:crossBetween val="midCat"/>
      </c:valAx>
      <c:valAx>
        <c:axId val="1934147440"/>
        <c:scaling>
          <c:orientation val="minMax"/>
          <c:max val="95"/>
          <c:min val="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lrc, </a:t>
                </a:r>
                <a:r>
                  <a:rPr lang="ru-RU"/>
                  <a:t>мм</a:t>
                </a:r>
                <a:r>
                  <a:rPr lang="en-US"/>
                  <a:t>^2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4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(R^2+2</a:t>
            </a:r>
            <a:r>
              <a:rPr lang="en-US"/>
              <a:t>σ/ρg)^2(h)</a:t>
            </a:r>
            <a:r>
              <a:rPr lang="ru-RU"/>
              <a:t> кувшин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Кувшин!$L$2:$L$6</c:f>
              <c:numCache>
                <c:formatCode>0.00</c:formatCode>
                <c:ptCount val="5"/>
                <c:pt idx="0">
                  <c:v>39.799999999999997</c:v>
                </c:pt>
                <c:pt idx="1">
                  <c:v>34.799999999999997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Кувшин!$R$2:$R$6</c:f>
              <c:numCache>
                <c:formatCode>0.00</c:formatCode>
                <c:ptCount val="5"/>
                <c:pt idx="0">
                  <c:v>26647.755076595888</c:v>
                </c:pt>
                <c:pt idx="1">
                  <c:v>23666.459664840899</c:v>
                </c:pt>
                <c:pt idx="2">
                  <c:v>19936.352681845663</c:v>
                </c:pt>
                <c:pt idx="3">
                  <c:v>15456.073046167547</c:v>
                </c:pt>
                <c:pt idx="4">
                  <c:v>15365.23240410594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F1-400B-8DD7-C306412C4DB2}"/>
            </c:ext>
          </c:extLst>
        </c:ser>
        <c:ser>
          <c:idx val="1"/>
          <c:order val="1"/>
          <c:tx>
            <c:v>Theoretical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Кувшин!$L$2:$L$6</c:f>
              <c:numCache>
                <c:formatCode>0.00</c:formatCode>
                <c:ptCount val="5"/>
                <c:pt idx="0">
                  <c:v>39.799999999999997</c:v>
                </c:pt>
                <c:pt idx="1">
                  <c:v>34.799999999999997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Кувшин!$S$2:$S$6</c:f>
              <c:numCache>
                <c:formatCode>0.00</c:formatCode>
                <c:ptCount val="5"/>
                <c:pt idx="0">
                  <c:v>20926.30773281939</c:v>
                </c:pt>
                <c:pt idx="1">
                  <c:v>18325.110341550397</c:v>
                </c:pt>
                <c:pt idx="2">
                  <c:v>15723.912950281403</c:v>
                </c:pt>
                <c:pt idx="3">
                  <c:v>13122.715559012424</c:v>
                </c:pt>
                <c:pt idx="4">
                  <c:v>10521.518167743428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F1-400B-8DD7-C306412C4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146608"/>
        <c:axId val="1934147440"/>
      </c:scatterChart>
      <c:valAx>
        <c:axId val="1934146608"/>
        <c:scaling>
          <c:orientation val="minMax"/>
          <c:max val="42"/>
          <c:min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h, </a:t>
                </a:r>
                <a:r>
                  <a:rPr lang="ru-RU"/>
                  <a:t>см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47440"/>
        <c:crosses val="autoZero"/>
        <c:crossBetween val="midCat"/>
      </c:valAx>
      <c:valAx>
        <c:axId val="193414744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(R^2+2</a:t>
                </a:r>
                <a:r>
                  <a:rPr lang="en-US" sz="1000" b="0" i="0" u="none" strike="noStrike" baseline="0">
                    <a:effectLst/>
                  </a:rPr>
                  <a:t>σ/ρg)^2</a:t>
                </a:r>
                <a:r>
                  <a:rPr lang="en-GB"/>
                  <a:t>, </a:t>
                </a:r>
                <a:r>
                  <a:rPr lang="ru-RU"/>
                  <a:t>мм</a:t>
                </a:r>
                <a:r>
                  <a:rPr lang="en-US"/>
                  <a:t>^4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4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(lrc+2</a:t>
            </a:r>
            <a:r>
              <a:rPr lang="en-US"/>
              <a:t>σ/ρg)^2(h)</a:t>
            </a:r>
            <a:r>
              <a:rPr lang="ru-RU"/>
              <a:t> кувшин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Кувшин!$L$2:$L$6</c:f>
              <c:numCache>
                <c:formatCode>0.00</c:formatCode>
                <c:ptCount val="5"/>
                <c:pt idx="0">
                  <c:v>39.799999999999997</c:v>
                </c:pt>
                <c:pt idx="1">
                  <c:v>34.799999999999997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Кувшин!$T$2:$T$6</c:f>
              <c:numCache>
                <c:formatCode>0.00</c:formatCode>
                <c:ptCount val="5"/>
                <c:pt idx="0">
                  <c:v>5378.588704500693</c:v>
                </c:pt>
                <c:pt idx="1">
                  <c:v>4922.6472618954094</c:v>
                </c:pt>
                <c:pt idx="2">
                  <c:v>3779.7763069574876</c:v>
                </c:pt>
                <c:pt idx="3">
                  <c:v>2523.9840914524611</c:v>
                </c:pt>
                <c:pt idx="4">
                  <c:v>1822.0255595121198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3-46E2-A6FA-2561A757E317}"/>
            </c:ext>
          </c:extLst>
        </c:ser>
        <c:ser>
          <c:idx val="1"/>
          <c:order val="1"/>
          <c:tx>
            <c:v>Theoretical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Кувшин!$L$2:$L$6</c:f>
              <c:numCache>
                <c:formatCode>0.00</c:formatCode>
                <c:ptCount val="5"/>
                <c:pt idx="0">
                  <c:v>39.799999999999997</c:v>
                </c:pt>
                <c:pt idx="1">
                  <c:v>34.799999999999997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Кувшин!$U$2:$U$6</c:f>
              <c:numCache>
                <c:formatCode>0.00</c:formatCode>
                <c:ptCount val="5"/>
                <c:pt idx="0">
                  <c:v>10573.542115568811</c:v>
                </c:pt>
                <c:pt idx="1">
                  <c:v>9272.9434199343159</c:v>
                </c:pt>
                <c:pt idx="2">
                  <c:v>7972.3447242998227</c:v>
                </c:pt>
                <c:pt idx="3">
                  <c:v>6671.7460286653277</c:v>
                </c:pt>
                <c:pt idx="4">
                  <c:v>5371.1473330308318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03-46E2-A6FA-2561A757E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146608"/>
        <c:axId val="1934147440"/>
      </c:scatterChart>
      <c:valAx>
        <c:axId val="1934146608"/>
        <c:scaling>
          <c:orientation val="minMax"/>
          <c:max val="42"/>
          <c:min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h, </a:t>
                </a:r>
                <a:r>
                  <a:rPr lang="ru-RU"/>
                  <a:t>см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47440"/>
        <c:crosses val="autoZero"/>
        <c:crossBetween val="midCat"/>
      </c:valAx>
      <c:valAx>
        <c:axId val="1934147440"/>
        <c:scaling>
          <c:orientation val="minMax"/>
          <c:min val="17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(lrc+2</a:t>
                </a:r>
                <a:r>
                  <a:rPr lang="en-US" sz="1000" b="0" i="0" u="none" strike="noStrike" baseline="0">
                    <a:effectLst/>
                  </a:rPr>
                  <a:t>σ/ρg)^2</a:t>
                </a:r>
                <a:r>
                  <a:rPr lang="en-GB"/>
                  <a:t>, </a:t>
                </a:r>
                <a:r>
                  <a:rPr lang="ru-RU"/>
                  <a:t>мм</a:t>
                </a:r>
                <a:r>
                  <a:rPr lang="en-US"/>
                  <a:t>^4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4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589721</xdr:colOff>
      <xdr:row>6</xdr:row>
      <xdr:rowOff>145774</xdr:rowOff>
    </xdr:from>
    <xdr:to>
      <xdr:col>19</xdr:col>
      <xdr:colOff>578399</xdr:colOff>
      <xdr:row>41</xdr:row>
      <xdr:rowOff>54939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B634B1-A972-4B52-8AE8-3C792D0386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381000</xdr:colOff>
      <xdr:row>6</xdr:row>
      <xdr:rowOff>133350</xdr:rowOff>
    </xdr:from>
    <xdr:to>
      <xdr:col>30</xdr:col>
      <xdr:colOff>45828</xdr:colOff>
      <xdr:row>41</xdr:row>
      <xdr:rowOff>43344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1505C4-ED9F-42DF-9367-BDA00B5DDC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43</xdr:row>
      <xdr:rowOff>8964</xdr:rowOff>
    </xdr:from>
    <xdr:to>
      <xdr:col>19</xdr:col>
      <xdr:colOff>1275406</xdr:colOff>
      <xdr:row>77</xdr:row>
      <xdr:rowOff>145852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F6C105-EF38-4C6C-B3E5-FA7C1E0D3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340659</xdr:colOff>
      <xdr:row>42</xdr:row>
      <xdr:rowOff>134470</xdr:rowOff>
    </xdr:from>
    <xdr:to>
      <xdr:col>32</xdr:col>
      <xdr:colOff>29312</xdr:colOff>
      <xdr:row>77</xdr:row>
      <xdr:rowOff>101029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0B43364-DE25-4FEF-9A9D-E8DD5E66F2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20</xdr:col>
      <xdr:colOff>45000</xdr:colOff>
      <xdr:row>42</xdr:row>
      <xdr:rowOff>14520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699BBA-8B06-4548-AC51-07D48B559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323849</xdr:colOff>
      <xdr:row>7</xdr:row>
      <xdr:rowOff>160020</xdr:rowOff>
    </xdr:from>
    <xdr:to>
      <xdr:col>29</xdr:col>
      <xdr:colOff>597449</xdr:colOff>
      <xdr:row>41</xdr:row>
      <xdr:rowOff>166920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CE92D0-35D6-4CC3-BBE2-81D50C48664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43</xdr:row>
      <xdr:rowOff>0</xdr:rowOff>
    </xdr:from>
    <xdr:to>
      <xdr:col>20</xdr:col>
      <xdr:colOff>45000</xdr:colOff>
      <xdr:row>77</xdr:row>
      <xdr:rowOff>41414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BAFAAC-5963-4C99-8416-3B8848B899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268941</xdr:colOff>
      <xdr:row>42</xdr:row>
      <xdr:rowOff>161366</xdr:rowOff>
    </xdr:from>
    <xdr:to>
      <xdr:col>31</xdr:col>
      <xdr:colOff>564953</xdr:colOff>
      <xdr:row>77</xdr:row>
      <xdr:rowOff>32450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1E7B9D-18FA-4A58-85A4-44D4CEA9C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"/>
  <sheetViews>
    <sheetView topLeftCell="B1" workbookViewId="0">
      <selection activeCell="Q2" sqref="Q2"/>
    </sheetView>
  </sheetViews>
  <sheetFormatPr defaultRowHeight="13.2"/>
  <cols>
    <col min="1" max="1" width="14" customWidth="1"/>
    <col min="2" max="6" width="11.88671875" customWidth="1"/>
    <col min="17" max="17" width="12.33203125" bestFit="1" customWidth="1"/>
  </cols>
  <sheetData>
    <row r="1" spans="1:17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6</v>
      </c>
      <c r="I1" s="5" t="s">
        <v>7</v>
      </c>
      <c r="K1" t="s">
        <v>14</v>
      </c>
      <c r="L1" s="5" t="s">
        <v>15</v>
      </c>
      <c r="N1" t="s">
        <v>25</v>
      </c>
      <c r="O1" t="s">
        <v>24</v>
      </c>
      <c r="P1" t="s">
        <v>23</v>
      </c>
      <c r="Q1" t="s">
        <v>26</v>
      </c>
    </row>
    <row r="2" spans="1:17">
      <c r="A2" s="1"/>
      <c r="B2" s="1">
        <v>2.5</v>
      </c>
      <c r="C2" s="1">
        <v>63</v>
      </c>
      <c r="D2" s="2">
        <f>$B$2/C2</f>
        <v>3.968253968253968E-2</v>
      </c>
      <c r="E2" s="2">
        <f>(0.75*D2/PI())^(1/3)</f>
        <v>0.21159413059191123</v>
      </c>
      <c r="F2" s="3">
        <f>AVERAGE(E2:E6)*10</f>
        <v>2.1366572420687704</v>
      </c>
      <c r="I2" s="6">
        <v>1</v>
      </c>
      <c r="L2" s="6">
        <v>3</v>
      </c>
      <c r="N2">
        <f>72.75*10^-3</f>
        <v>7.2749999999999995E-2</v>
      </c>
      <c r="O2">
        <v>998.2</v>
      </c>
      <c r="P2">
        <f>9.81</f>
        <v>9.81</v>
      </c>
      <c r="Q2">
        <f>2*N2/(O2*P2)</f>
        <v>1.4858549670752918E-5</v>
      </c>
    </row>
    <row r="3" spans="1:17">
      <c r="A3" s="1"/>
      <c r="B3" s="1"/>
      <c r="C3" s="1">
        <v>60</v>
      </c>
      <c r="D3" s="2">
        <f>$B$2/C3</f>
        <v>4.1666666666666664E-2</v>
      </c>
      <c r="E3" s="2">
        <f>(0.75*D3/PI())^(1/3)</f>
        <v>0.21506350345702488</v>
      </c>
      <c r="F3" s="4">
        <f>_xlfn.STDEV.S(E2:E6)*10</f>
        <v>1.5107503729481546E-2</v>
      </c>
    </row>
    <row r="4" spans="1:17">
      <c r="A4" s="1"/>
      <c r="B4" s="1"/>
      <c r="C4" s="1">
        <v>61</v>
      </c>
      <c r="D4" s="2">
        <f>$B$2/C4</f>
        <v>4.0983606557377046E-2</v>
      </c>
      <c r="E4" s="2">
        <f>(0.75*D4/PI())^(1/3)</f>
        <v>0.21388181200648457</v>
      </c>
      <c r="F4" s="1"/>
    </row>
    <row r="5" spans="1:17">
      <c r="A5" s="1"/>
      <c r="B5" s="1"/>
      <c r="C5" s="1">
        <v>62</v>
      </c>
      <c r="D5" s="2">
        <f>$B$2/C5</f>
        <v>4.0322580645161289E-2</v>
      </c>
      <c r="E5" s="2">
        <f>(0.75*D5/PI())^(1/3)</f>
        <v>0.21272567152193969</v>
      </c>
      <c r="F5" s="1"/>
    </row>
    <row r="6" spans="1:17">
      <c r="A6" s="1"/>
      <c r="B6" s="1"/>
      <c r="C6" s="1">
        <v>60</v>
      </c>
      <c r="D6" s="2">
        <f>$B$2/C6</f>
        <v>4.1666666666666664E-2</v>
      </c>
      <c r="E6" s="2">
        <f>(0.75*D6/PI())^(1/3)</f>
        <v>0.21506350345702488</v>
      </c>
      <c r="F6" s="1"/>
    </row>
    <row r="8" spans="1:17">
      <c r="N8" t="s">
        <v>27</v>
      </c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B57"/>
  <sheetViews>
    <sheetView topLeftCell="S1" zoomScale="115" zoomScaleNormal="115" workbookViewId="0">
      <selection activeCell="Z4" sqref="Z4"/>
    </sheetView>
  </sheetViews>
  <sheetFormatPr defaultRowHeight="13.2"/>
  <cols>
    <col min="6" max="6" width="10" bestFit="1" customWidth="1"/>
    <col min="7" max="7" width="8.33203125" bestFit="1" customWidth="1"/>
    <col min="9" max="9" width="10.44140625" bestFit="1" customWidth="1"/>
    <col min="14" max="14" width="9.6640625" bestFit="1" customWidth="1"/>
    <col min="17" max="17" width="12.21875" bestFit="1" customWidth="1"/>
    <col min="18" max="18" width="17.88671875" bestFit="1" customWidth="1"/>
    <col min="19" max="19" width="21.88671875" bestFit="1" customWidth="1"/>
    <col min="20" max="20" width="18.6640625" bestFit="1" customWidth="1"/>
    <col min="21" max="21" width="22.6640625" bestFit="1" customWidth="1"/>
    <col min="24" max="24" width="12" bestFit="1" customWidth="1"/>
    <col min="25" max="25" width="10.88671875" bestFit="1" customWidth="1"/>
    <col min="26" max="26" width="5.6640625" bestFit="1" customWidth="1"/>
    <col min="27" max="27" width="12" bestFit="1" customWidth="1"/>
    <col min="28" max="28" width="10.88671875" bestFit="1" customWidth="1"/>
  </cols>
  <sheetData>
    <row r="1" spans="1:28" ht="13.8">
      <c r="B1" s="9" t="s">
        <v>8</v>
      </c>
      <c r="C1" s="9" t="s">
        <v>9</v>
      </c>
      <c r="D1" s="9" t="s">
        <v>10</v>
      </c>
      <c r="E1" s="10" t="s">
        <v>7</v>
      </c>
      <c r="F1" s="10" t="s">
        <v>12</v>
      </c>
      <c r="G1" s="10" t="s">
        <v>13</v>
      </c>
      <c r="H1" s="10" t="s">
        <v>16</v>
      </c>
      <c r="I1" s="10" t="s">
        <v>17</v>
      </c>
      <c r="J1" s="10" t="s">
        <v>18</v>
      </c>
      <c r="L1" s="10" t="s">
        <v>10</v>
      </c>
      <c r="M1" s="10" t="s">
        <v>12</v>
      </c>
      <c r="N1" s="10" t="s">
        <v>22</v>
      </c>
      <c r="O1" s="10" t="s">
        <v>10</v>
      </c>
      <c r="P1" s="10" t="s">
        <v>18</v>
      </c>
      <c r="Q1" s="10" t="s">
        <v>28</v>
      </c>
      <c r="R1" s="10" t="s">
        <v>30</v>
      </c>
      <c r="S1" s="10" t="s">
        <v>29</v>
      </c>
      <c r="T1" s="10" t="s">
        <v>31</v>
      </c>
      <c r="U1" s="10" t="s">
        <v>32</v>
      </c>
      <c r="W1" s="10" t="s">
        <v>33</v>
      </c>
      <c r="X1" s="10" t="s">
        <v>34</v>
      </c>
      <c r="Y1" s="10" t="s">
        <v>35</v>
      </c>
      <c r="Z1" s="10" t="s">
        <v>38</v>
      </c>
      <c r="AA1" s="10" t="s">
        <v>34</v>
      </c>
      <c r="AB1" s="10" t="s">
        <v>35</v>
      </c>
    </row>
    <row r="2" spans="1:28">
      <c r="A2" t="s">
        <v>11</v>
      </c>
      <c r="B2" s="7">
        <v>45</v>
      </c>
      <c r="C2" s="7">
        <v>4.5</v>
      </c>
      <c r="D2" s="7">
        <f>B2-C2</f>
        <v>40.5</v>
      </c>
      <c r="E2" s="7">
        <f>Оборудование!$I$2</f>
        <v>1</v>
      </c>
      <c r="F2" s="8">
        <v>10.54</v>
      </c>
      <c r="G2" s="8">
        <v>34.299999999999997</v>
      </c>
      <c r="H2" s="8">
        <v>5.32</v>
      </c>
      <c r="I2" s="8">
        <f>H2/2</f>
        <v>2.66</v>
      </c>
      <c r="J2" s="8">
        <f>I2*G2</f>
        <v>91.238</v>
      </c>
      <c r="L2" s="8">
        <f>$D$10</f>
        <v>40.5</v>
      </c>
      <c r="M2" s="8">
        <f>$F$15</f>
        <v>9.6660000000000004</v>
      </c>
      <c r="N2" s="8">
        <f>SQRT(SQRT(Оборудование!$Q$2^2+16/3*(Оборудование!$F$2/1000)^3*Кружка!L2/100)-Оборудование!$Q$2)*1000</f>
        <v>11.447882381510828</v>
      </c>
      <c r="O2" s="8">
        <f>$D$10</f>
        <v>40.5</v>
      </c>
      <c r="P2" s="8">
        <f>$J$15</f>
        <v>81.226309999999984</v>
      </c>
      <c r="Q2" s="8">
        <f>(SQRT(Оборудование!$Q$2^2+8/3*(Оборудование!$F$2/1000)^3*Кружка!O2/100)-Оборудование!$Q$2)*1000000</f>
        <v>88.850784205025306</v>
      </c>
      <c r="R2" s="8">
        <f>((M2/1000)^2+Оборудование!$Q$2)^2 * 10^(3*4)</f>
        <v>11726.746986182839</v>
      </c>
      <c r="S2" s="8">
        <f>((N2/1000)^2+Оборудование!$Q$2)^2 * 10^(3*4)</f>
        <v>21290.475367597057</v>
      </c>
      <c r="T2" s="8">
        <f>((P2/1000000)+Оборудование!$Q$2)^2*10^12</f>
        <v>9232.3002579482782</v>
      </c>
      <c r="U2" s="8">
        <f>((Q2/1000000)+Оборудование!$Q$2)^2*10^12</f>
        <v>10755.625932957642</v>
      </c>
      <c r="W2" s="19" t="s">
        <v>36</v>
      </c>
      <c r="X2" s="8" cm="1">
        <f t="array" ref="X2:Y6">LINEST(R2:R6,O2:O6,1,1)</f>
        <v>212.48578074182279</v>
      </c>
      <c r="Y2" s="8">
        <v>2231.5045876939803</v>
      </c>
      <c r="Z2" s="20" t="s">
        <v>36</v>
      </c>
      <c r="AA2" s="8" cm="1">
        <f t="array" ref="AA2:AB6">LINEST(T2:T6,O2:O6,1,1)</f>
        <v>336.60856137158788</v>
      </c>
      <c r="AB2" s="8">
        <v>-4893.2070827425659</v>
      </c>
    </row>
    <row r="3" spans="1:28">
      <c r="B3" s="7"/>
      <c r="C3" s="7"/>
      <c r="D3" s="7"/>
      <c r="E3" s="7"/>
      <c r="F3" s="8">
        <v>8.77</v>
      </c>
      <c r="G3" s="8">
        <v>26.19</v>
      </c>
      <c r="H3" s="8">
        <v>5.57</v>
      </c>
      <c r="I3" s="8">
        <f t="shared" ref="I3:I5" si="0">H3/2</f>
        <v>2.7850000000000001</v>
      </c>
      <c r="J3" s="8">
        <f t="shared" ref="J3:J5" si="1">I3*G3</f>
        <v>72.939150000000012</v>
      </c>
      <c r="L3" s="8">
        <f>$D$19</f>
        <v>35.5</v>
      </c>
      <c r="M3" s="8">
        <f>$F$25</f>
        <v>8.8466666666666658</v>
      </c>
      <c r="N3" s="8">
        <f>SQRT(SQRT(Оборудование!$Q$2^2+16/3*(Оборудование!$F$2/1000)^3*Кружка!L3/100)-Оборудование!$Q$2)*1000</f>
        <v>11.038577101178104</v>
      </c>
      <c r="O3" s="8">
        <f>$D$19</f>
        <v>35.5</v>
      </c>
      <c r="P3" s="8">
        <f>$J$25</f>
        <v>70.297866666666678</v>
      </c>
      <c r="Q3" s="8">
        <f>(SQRT(Оборудование!$Q$2^2+8/3*(Оборудование!$F$2/1000)^3*Кружка!O3/100)-Оборудование!$Q$2)*1000000</f>
        <v>82.378414686034503</v>
      </c>
      <c r="R3" s="8">
        <f>((M3/1000)^2+Оборудование!$Q$2)^2 * 10^(3*4)</f>
        <v>8671.7182042611767</v>
      </c>
      <c r="S3" s="8">
        <f>((N3/1000)^2+Оборудование!$Q$2)^2 * 10^(3*4)</f>
        <v>18689.277976328063</v>
      </c>
      <c r="T3" s="8">
        <f>((P3/1000000)+Оборудование!$Q$2)^2*10^12</f>
        <v>7251.6152434319438</v>
      </c>
      <c r="U3" s="8">
        <f>((Q3/1000000)+Оборудование!$Q$2)^2*10^12</f>
        <v>9455.0272373231473</v>
      </c>
      <c r="W3" s="19" t="s">
        <v>37</v>
      </c>
      <c r="X3" s="8">
        <v>53.441525414097825</v>
      </c>
      <c r="Y3" s="8">
        <v>1673.1977483171549</v>
      </c>
      <c r="Z3" s="20" t="s">
        <v>37</v>
      </c>
      <c r="AA3" s="8">
        <v>56.570350115510237</v>
      </c>
      <c r="AB3" s="8">
        <v>1771.1579469588894</v>
      </c>
    </row>
    <row r="4" spans="1:28">
      <c r="B4" s="7"/>
      <c r="C4" s="7"/>
      <c r="D4" s="7"/>
      <c r="E4" s="7"/>
      <c r="F4" s="8">
        <v>8.01</v>
      </c>
      <c r="G4" s="8">
        <v>29.74</v>
      </c>
      <c r="H4" s="8">
        <v>5.32</v>
      </c>
      <c r="I4" s="8">
        <f t="shared" si="0"/>
        <v>2.66</v>
      </c>
      <c r="J4" s="8">
        <f t="shared" si="1"/>
        <v>79.108400000000003</v>
      </c>
      <c r="L4" s="8">
        <f>$D$29</f>
        <v>30.5</v>
      </c>
      <c r="M4" s="8">
        <f>$F$37</f>
        <v>8.8237500000000004</v>
      </c>
      <c r="N4" s="8">
        <f>SQRT(SQRT(Оборудование!$Q$2^2+16/3*(Оборудование!$F$2/1000)^3*Кружка!L4/100)-Оборудование!$Q$2)*1000</f>
        <v>10.582072007056963</v>
      </c>
      <c r="O4" s="8">
        <f>$D$29</f>
        <v>30.5</v>
      </c>
      <c r="P4" s="8">
        <f>$J$37</f>
        <v>48.547449999999998</v>
      </c>
      <c r="Q4" s="8">
        <f>(SQRT(Оборудование!$Q$2^2+8/3*(Оборудование!$F$2/1000)^3*Кружка!O4/100)-Оборудование!$Q$2)*1000000</f>
        <v>75.443324848487549</v>
      </c>
      <c r="R4" s="8">
        <f>((M4/1000)^2+Оборудование!$Q$2)^2 * 10^(3*4)</f>
        <v>8596.4631790249568</v>
      </c>
      <c r="S4" s="8">
        <f>((N4/1000)^2+Оборудование!$Q$2)^2 * 10^(3*4)</f>
        <v>16088.080585059071</v>
      </c>
      <c r="T4" s="8">
        <f>((P4/1000000)+Оборудование!$Q$2)^2*10^12</f>
        <v>4020.3207942475201</v>
      </c>
      <c r="U4" s="8">
        <f>((Q4/1000000)+Оборудование!$Q$2)^2*10^12</f>
        <v>8154.4285416886514</v>
      </c>
      <c r="X4" s="8">
        <v>0.84050116338773473</v>
      </c>
      <c r="Y4" s="8">
        <v>844.98470971161134</v>
      </c>
      <c r="Z4" s="8"/>
      <c r="AA4" s="8">
        <v>0.92188649498036435</v>
      </c>
      <c r="AB4" s="8">
        <v>894.4557719909086</v>
      </c>
    </row>
    <row r="5" spans="1:28">
      <c r="B5" s="7"/>
      <c r="C5" s="7"/>
      <c r="D5" s="7"/>
      <c r="E5" s="7"/>
      <c r="F5" s="8">
        <v>9.5299999999999994</v>
      </c>
      <c r="G5" s="8">
        <v>26.95</v>
      </c>
      <c r="H5" s="8">
        <v>5.57</v>
      </c>
      <c r="I5" s="8">
        <f t="shared" si="0"/>
        <v>2.7850000000000001</v>
      </c>
      <c r="J5" s="8">
        <f t="shared" si="1"/>
        <v>75.055750000000003</v>
      </c>
      <c r="L5" s="8">
        <f>$D$41</f>
        <v>25.5</v>
      </c>
      <c r="M5" s="8">
        <f>$F$43</f>
        <v>8.5150000000000006</v>
      </c>
      <c r="N5" s="8">
        <f>SQRT(SQRT(Оборудование!$Q$2^2+16/3*(Оборудование!$F$2/1000)^3*Кружка!L5/100)-Оборудование!$Q$2)*1000</f>
        <v>10.063522805223002</v>
      </c>
      <c r="O5" s="8">
        <f>$D$41</f>
        <v>25.5</v>
      </c>
      <c r="P5" s="8">
        <f>$J$43</f>
        <v>47.103375</v>
      </c>
      <c r="Q5" s="8">
        <f>(SQRT(Оборудование!$Q$2^2+8/3*(Оборудование!$F$2/1000)^3*Кружка!O5/100)-Оборудование!$Q$2)*1000000</f>
        <v>67.929310828562777</v>
      </c>
      <c r="R5" s="8">
        <f>((M5/1000)^2+Оборудование!$Q$2)^2 * 10^(3*4)</f>
        <v>7632.429124722089</v>
      </c>
      <c r="S5" s="8">
        <f>((N5/1000)^2+Оборудование!$Q$2)^2 * 10^(3*4)</f>
        <v>13486.883193790078</v>
      </c>
      <c r="T5" s="8">
        <f>((P5/1000000)+Оборудование!$Q$2)^2*10^12</f>
        <v>3839.2801089040586</v>
      </c>
      <c r="U5" s="8">
        <f>((Q5/1000000)+Оборудование!$Q$2)^2*10^12</f>
        <v>6853.8298460541573</v>
      </c>
      <c r="X5" s="8">
        <v>15.808914621069421</v>
      </c>
      <c r="Y5" s="8">
        <v>3</v>
      </c>
      <c r="Z5" s="8"/>
      <c r="AA5" s="8">
        <v>35.405650844189907</v>
      </c>
      <c r="AB5" s="8">
        <v>3</v>
      </c>
    </row>
    <row r="6" spans="1:28">
      <c r="B6" s="7"/>
      <c r="C6" s="7"/>
      <c r="D6" s="7"/>
      <c r="E6" s="11" t="s">
        <v>19</v>
      </c>
      <c r="F6" s="11">
        <f>AVERAGE(F2:F5)</f>
        <v>9.2125000000000004</v>
      </c>
      <c r="G6" s="11">
        <f t="shared" ref="G6:J6" si="2">AVERAGE(G2:G5)</f>
        <v>29.294999999999998</v>
      </c>
      <c r="H6" s="11">
        <f t="shared" si="2"/>
        <v>5.4450000000000003</v>
      </c>
      <c r="I6" s="11">
        <f t="shared" si="2"/>
        <v>2.7225000000000001</v>
      </c>
      <c r="J6" s="11">
        <f t="shared" si="2"/>
        <v>79.585324999999997</v>
      </c>
      <c r="L6" s="8">
        <f>$D$47</f>
        <v>20.5</v>
      </c>
      <c r="M6" s="8">
        <f>$F$55</f>
        <v>8.2712500000000002</v>
      </c>
      <c r="N6" s="8">
        <f>SQRT(SQRT(Оборудование!$Q$2^2+16/3*(Оборудование!$F$2/1000)^3*Кружка!L6/100)-Оборудование!$Q$2)*1000</f>
        <v>9.4591722853676714</v>
      </c>
      <c r="O6" s="8">
        <f>$D$47</f>
        <v>20.5</v>
      </c>
      <c r="P6" s="8">
        <f>$J$55</f>
        <v>35.373450000000005</v>
      </c>
      <c r="Q6" s="8">
        <f>(SQRT(Оборудование!$Q$2^2+8/3*(Оборудование!$F$2/1000)^3*Кружка!O6/100)-Оборудование!$Q$2)*1000000</f>
        <v>59.661455364268797</v>
      </c>
      <c r="R6" s="8">
        <f>((M6/1000)^2+Оборудование!$Q$2)^2 * 10^(3*4)</f>
        <v>6934.2470074068115</v>
      </c>
      <c r="S6" s="8">
        <f>((N6/1000)^2+Оборудование!$Q$2)^2 * 10^(3*4)</f>
        <v>10885.685802521093</v>
      </c>
      <c r="T6" s="8">
        <f>((P6/1000000)+Оборудование!$Q$2)^2*10^12</f>
        <v>2523.2537909225216</v>
      </c>
      <c r="U6" s="8">
        <f>((Q6/1000000)+Оборудование!$Q$2)^2*10^12</f>
        <v>5553.2311504196614</v>
      </c>
      <c r="X6" s="8">
        <v>11287551.754365508</v>
      </c>
      <c r="Y6" s="8">
        <v>2141997.4789392482</v>
      </c>
      <c r="Z6" s="8"/>
      <c r="AA6" s="8">
        <v>28326330.897162527</v>
      </c>
      <c r="AB6" s="8">
        <v>2400153.3841435569</v>
      </c>
    </row>
    <row r="7" spans="1:28" ht="13.8">
      <c r="E7" s="13" t="s">
        <v>20</v>
      </c>
      <c r="F7" s="12">
        <f>STDEV(F2:F5)</f>
        <v>1.0808754168111405</v>
      </c>
      <c r="G7" s="12">
        <f t="shared" ref="G7:J7" si="3">STDEV(G2:G5)</f>
        <v>3.6691552161226486</v>
      </c>
      <c r="H7" s="12">
        <f t="shared" si="3"/>
        <v>0.14433756729740643</v>
      </c>
      <c r="I7" s="12">
        <f t="shared" si="3"/>
        <v>7.2168783648703216E-2</v>
      </c>
      <c r="J7" s="12">
        <f t="shared" si="3"/>
        <v>8.1792620678253485</v>
      </c>
    </row>
    <row r="8" spans="1:28">
      <c r="E8" s="14" t="s">
        <v>21</v>
      </c>
      <c r="F8" s="16">
        <f>F7/F6</f>
        <v>0.11732704660093791</v>
      </c>
      <c r="G8" s="16">
        <f>G7/G6</f>
        <v>0.12524851394854578</v>
      </c>
      <c r="H8" s="16">
        <f>H7/H6</f>
        <v>2.6508276822296863E-2</v>
      </c>
      <c r="I8" s="16">
        <f>I7/I6</f>
        <v>2.6508276822296863E-2</v>
      </c>
      <c r="J8" s="16">
        <f>J7/J6</f>
        <v>0.10277349584016084</v>
      </c>
    </row>
    <row r="9" spans="1:28" ht="13.8">
      <c r="B9" s="9" t="s">
        <v>8</v>
      </c>
      <c r="C9" s="9" t="s">
        <v>9</v>
      </c>
      <c r="D9" s="9" t="s">
        <v>10</v>
      </c>
      <c r="E9" s="10" t="s">
        <v>7</v>
      </c>
      <c r="F9" s="10" t="s">
        <v>12</v>
      </c>
      <c r="G9" s="10" t="s">
        <v>13</v>
      </c>
      <c r="H9" s="10" t="s">
        <v>16</v>
      </c>
      <c r="I9" s="10" t="s">
        <v>17</v>
      </c>
      <c r="J9" s="10" t="s">
        <v>18</v>
      </c>
    </row>
    <row r="10" spans="1:28">
      <c r="B10" s="8">
        <v>45</v>
      </c>
      <c r="C10" s="8">
        <v>4.5</v>
      </c>
      <c r="D10" s="8">
        <f>B10-C10</f>
        <v>40.5</v>
      </c>
      <c r="E10" s="8">
        <f>Оборудование!$I$2</f>
        <v>1</v>
      </c>
      <c r="F10" s="8">
        <v>9.36</v>
      </c>
      <c r="G10" s="8">
        <v>33.17</v>
      </c>
      <c r="H10" s="8">
        <v>5.32</v>
      </c>
      <c r="I10" s="8">
        <f>H10/2</f>
        <v>2.66</v>
      </c>
      <c r="J10" s="8">
        <f>I10*G10</f>
        <v>88.232200000000006</v>
      </c>
    </row>
    <row r="11" spans="1:28">
      <c r="B11" s="8"/>
      <c r="C11" s="8"/>
      <c r="D11" s="8"/>
      <c r="E11" s="8"/>
      <c r="F11" s="8">
        <v>9.36</v>
      </c>
      <c r="G11" s="8">
        <v>29.62</v>
      </c>
      <c r="H11" s="8">
        <v>5.0599999999999996</v>
      </c>
      <c r="I11" s="8">
        <f t="shared" ref="I11:I14" si="4">H11/2</f>
        <v>2.5299999999999998</v>
      </c>
      <c r="J11" s="8">
        <f t="shared" ref="J11:J14" si="5">I11*G11</f>
        <v>74.938599999999994</v>
      </c>
    </row>
    <row r="12" spans="1:28">
      <c r="B12" s="8"/>
      <c r="C12" s="8"/>
      <c r="D12" s="8"/>
      <c r="E12" s="8"/>
      <c r="F12" s="8">
        <v>8.86</v>
      </c>
      <c r="G12" s="8">
        <v>28.11</v>
      </c>
      <c r="H12" s="8">
        <v>5.82</v>
      </c>
      <c r="I12" s="8">
        <f t="shared" si="4"/>
        <v>2.91</v>
      </c>
      <c r="J12" s="8">
        <f t="shared" si="5"/>
        <v>81.8001</v>
      </c>
    </row>
    <row r="13" spans="1:28">
      <c r="B13" s="8"/>
      <c r="C13" s="8"/>
      <c r="D13" s="8"/>
      <c r="E13" s="8"/>
      <c r="F13" s="8">
        <v>10.63</v>
      </c>
      <c r="G13" s="8">
        <v>32.119999999999997</v>
      </c>
      <c r="H13" s="8">
        <v>4.8099999999999996</v>
      </c>
      <c r="I13" s="8">
        <f t="shared" si="4"/>
        <v>2.4049999999999998</v>
      </c>
      <c r="J13" s="8">
        <f t="shared" si="5"/>
        <v>77.248599999999982</v>
      </c>
    </row>
    <row r="14" spans="1:28">
      <c r="B14" s="8"/>
      <c r="C14" s="8"/>
      <c r="D14" s="8"/>
      <c r="E14" s="8"/>
      <c r="F14" s="8">
        <v>10.119999999999999</v>
      </c>
      <c r="G14" s="8">
        <v>30.13</v>
      </c>
      <c r="H14" s="8">
        <v>5.57</v>
      </c>
      <c r="I14" s="8">
        <f t="shared" si="4"/>
        <v>2.7850000000000001</v>
      </c>
      <c r="J14" s="8">
        <f t="shared" si="5"/>
        <v>83.912050000000008</v>
      </c>
    </row>
    <row r="15" spans="1:28">
      <c r="B15" s="8"/>
      <c r="C15" s="8"/>
      <c r="D15" s="8"/>
      <c r="E15" s="11" t="s">
        <v>19</v>
      </c>
      <c r="F15" s="11">
        <f>AVERAGE(F10:F14)</f>
        <v>9.6660000000000004</v>
      </c>
      <c r="G15" s="11">
        <f t="shared" ref="G15:J15" si="6">AVERAGE(G10:G14)</f>
        <v>30.630000000000003</v>
      </c>
      <c r="H15" s="11">
        <f t="shared" si="6"/>
        <v>5.3159999999999998</v>
      </c>
      <c r="I15" s="11">
        <f t="shared" si="6"/>
        <v>2.6579999999999999</v>
      </c>
      <c r="J15" s="11">
        <f t="shared" si="6"/>
        <v>81.226309999999984</v>
      </c>
    </row>
    <row r="16" spans="1:28" ht="13.8">
      <c r="B16" s="8"/>
      <c r="C16" s="8"/>
      <c r="D16" s="8"/>
      <c r="E16" s="13" t="s">
        <v>20</v>
      </c>
      <c r="F16" s="12">
        <f>STDEV(F10:F14)</f>
        <v>0.70219655367995126</v>
      </c>
      <c r="G16" s="12">
        <f t="shared" ref="G16:J16" si="7">STDEV(G10:G14)</f>
        <v>2.0181798730539358</v>
      </c>
      <c r="H16" s="12">
        <f t="shared" si="7"/>
        <v>0.40003749824235257</v>
      </c>
      <c r="I16" s="12">
        <f t="shared" si="7"/>
        <v>0.20001874912117629</v>
      </c>
      <c r="J16" s="12">
        <f t="shared" si="7"/>
        <v>5.2910869131965779</v>
      </c>
    </row>
    <row r="17" spans="2:10">
      <c r="E17" s="14" t="s">
        <v>21</v>
      </c>
      <c r="F17" s="16">
        <f>F16/F15</f>
        <v>7.2646032865709836E-2</v>
      </c>
      <c r="G17" s="16">
        <f t="shared" ref="G17:J17" si="8">G16/G15</f>
        <v>6.5888993570157872E-2</v>
      </c>
      <c r="H17" s="16">
        <f t="shared" si="8"/>
        <v>7.5251598615942925E-2</v>
      </c>
      <c r="I17" s="16">
        <f t="shared" si="8"/>
        <v>7.5251598615942925E-2</v>
      </c>
      <c r="J17" s="16">
        <f t="shared" si="8"/>
        <v>6.5140062538807678E-2</v>
      </c>
    </row>
    <row r="18" spans="2:10" ht="13.8">
      <c r="B18" s="9" t="s">
        <v>8</v>
      </c>
      <c r="C18" s="9" t="s">
        <v>9</v>
      </c>
      <c r="D18" s="9" t="s">
        <v>10</v>
      </c>
      <c r="E18" s="10" t="s">
        <v>7</v>
      </c>
      <c r="F18" s="10" t="s">
        <v>12</v>
      </c>
      <c r="G18" s="10" t="s">
        <v>13</v>
      </c>
      <c r="H18" s="10" t="s">
        <v>16</v>
      </c>
      <c r="I18" s="10" t="s">
        <v>17</v>
      </c>
      <c r="J18" s="10" t="s">
        <v>18</v>
      </c>
    </row>
    <row r="19" spans="2:10">
      <c r="B19" s="8">
        <v>40</v>
      </c>
      <c r="C19" s="8">
        <v>4.5</v>
      </c>
      <c r="D19" s="8">
        <f>B19-C19</f>
        <v>35.5</v>
      </c>
      <c r="E19" s="8">
        <f>Оборудование!$I$2</f>
        <v>1</v>
      </c>
      <c r="F19" s="8">
        <v>8.5</v>
      </c>
      <c r="G19" s="8">
        <v>30.23</v>
      </c>
      <c r="H19" s="8">
        <v>4.78</v>
      </c>
      <c r="I19" s="8">
        <f t="shared" ref="I19:I24" si="9">H19/2</f>
        <v>2.39</v>
      </c>
      <c r="J19" s="8">
        <f>I19*G19</f>
        <v>72.249700000000004</v>
      </c>
    </row>
    <row r="20" spans="2:10">
      <c r="B20" s="8"/>
      <c r="C20" s="8"/>
      <c r="D20" s="8"/>
      <c r="E20" s="8"/>
      <c r="F20" s="8">
        <v>9.2799999999999994</v>
      </c>
      <c r="G20" s="8">
        <v>27.78</v>
      </c>
      <c r="H20" s="8">
        <v>4.91</v>
      </c>
      <c r="I20" s="8">
        <f t="shared" si="9"/>
        <v>2.4550000000000001</v>
      </c>
      <c r="J20" s="8">
        <f t="shared" ref="J20:J24" si="10">I20*G20</f>
        <v>68.1999</v>
      </c>
    </row>
    <row r="21" spans="2:10">
      <c r="B21" s="8"/>
      <c r="C21" s="8"/>
      <c r="D21" s="8"/>
      <c r="E21" s="8"/>
      <c r="F21" s="8">
        <v>8.6300000000000008</v>
      </c>
      <c r="G21">
        <v>27.52</v>
      </c>
      <c r="H21" s="8">
        <v>4.3899999999999997</v>
      </c>
      <c r="I21" s="8">
        <f t="shared" si="9"/>
        <v>2.1949999999999998</v>
      </c>
      <c r="J21" s="8">
        <f t="shared" si="10"/>
        <v>60.406399999999998</v>
      </c>
    </row>
    <row r="22" spans="2:10">
      <c r="B22" s="8"/>
      <c r="C22" s="8"/>
      <c r="D22" s="8"/>
      <c r="E22" s="8"/>
      <c r="F22" s="8">
        <v>8.76</v>
      </c>
      <c r="G22" s="8">
        <v>30.88</v>
      </c>
      <c r="H22" s="8">
        <v>4.91</v>
      </c>
      <c r="I22" s="8">
        <f t="shared" si="9"/>
        <v>2.4550000000000001</v>
      </c>
      <c r="J22" s="8">
        <f t="shared" si="10"/>
        <v>75.810400000000001</v>
      </c>
    </row>
    <row r="23" spans="2:10">
      <c r="B23" s="8"/>
      <c r="C23" s="8"/>
      <c r="D23" s="8"/>
      <c r="E23" s="8"/>
      <c r="F23" s="8">
        <v>8.76</v>
      </c>
      <c r="G23" s="8">
        <v>29.2</v>
      </c>
      <c r="H23" s="8">
        <v>4.78</v>
      </c>
      <c r="I23" s="8">
        <f t="shared" si="9"/>
        <v>2.39</v>
      </c>
      <c r="J23" s="8">
        <f t="shared" si="10"/>
        <v>69.787999999999997</v>
      </c>
    </row>
    <row r="24" spans="2:10">
      <c r="B24" s="8"/>
      <c r="C24" s="8"/>
      <c r="D24" s="8"/>
      <c r="E24" s="8"/>
      <c r="F24" s="8">
        <v>9.15</v>
      </c>
      <c r="G24" s="8">
        <v>31.52</v>
      </c>
      <c r="H24" s="8">
        <v>4.78</v>
      </c>
      <c r="I24" s="8">
        <f t="shared" si="9"/>
        <v>2.39</v>
      </c>
      <c r="J24" s="8">
        <f t="shared" si="10"/>
        <v>75.332800000000006</v>
      </c>
    </row>
    <row r="25" spans="2:10">
      <c r="B25" s="8"/>
      <c r="C25" s="8"/>
      <c r="D25" s="8"/>
      <c r="E25" s="11" t="s">
        <v>19</v>
      </c>
      <c r="F25" s="11">
        <f>AVERAGE(F19:F24)</f>
        <v>8.8466666666666658</v>
      </c>
      <c r="G25" s="11">
        <f t="shared" ref="G25:J25" si="11">AVERAGE(G19:G24)</f>
        <v>29.521666666666665</v>
      </c>
      <c r="H25" s="11">
        <f t="shared" si="11"/>
        <v>4.7583333333333337</v>
      </c>
      <c r="I25" s="11">
        <f t="shared" si="11"/>
        <v>2.3791666666666669</v>
      </c>
      <c r="J25" s="11">
        <f t="shared" si="11"/>
        <v>70.297866666666678</v>
      </c>
    </row>
    <row r="26" spans="2:10" ht="13.8">
      <c r="B26" s="8"/>
      <c r="C26" s="8"/>
      <c r="D26" s="8"/>
      <c r="E26" s="13" t="s">
        <v>20</v>
      </c>
      <c r="F26" s="12">
        <f>STDEV(F19:F24)</f>
        <v>0.30395175055700296</v>
      </c>
      <c r="G26" s="12">
        <f t="shared" ref="G26:J26" si="12">STDEV(G19:G24)</f>
        <v>1.6421743715777157</v>
      </c>
      <c r="H26" s="12">
        <f t="shared" si="12"/>
        <v>0.19135481877043689</v>
      </c>
      <c r="I26" s="12">
        <f t="shared" si="12"/>
        <v>9.5677409385218445E-2</v>
      </c>
      <c r="J26" s="12">
        <f t="shared" si="12"/>
        <v>5.6929916872121549</v>
      </c>
    </row>
    <row r="27" spans="2:10">
      <c r="B27" s="8"/>
      <c r="C27" s="8"/>
      <c r="D27" s="8"/>
      <c r="E27" s="17" t="s">
        <v>21</v>
      </c>
      <c r="F27" s="16">
        <f>F26/F25</f>
        <v>3.4357771351582855E-2</v>
      </c>
      <c r="G27" s="16">
        <f t="shared" ref="G27:J27" si="13">G26/G25</f>
        <v>5.5626072542574914E-2</v>
      </c>
      <c r="H27" s="16">
        <f t="shared" si="13"/>
        <v>4.021467294650162E-2</v>
      </c>
      <c r="I27" s="16">
        <f t="shared" si="13"/>
        <v>4.021467294650162E-2</v>
      </c>
      <c r="J27" s="16">
        <f t="shared" si="13"/>
        <v>8.0983847123082264E-2</v>
      </c>
    </row>
    <row r="28" spans="2:10" ht="13.8">
      <c r="B28" s="11" t="s">
        <v>8</v>
      </c>
      <c r="C28" s="11" t="s">
        <v>9</v>
      </c>
      <c r="D28" s="11" t="s">
        <v>10</v>
      </c>
      <c r="E28" s="18" t="s">
        <v>7</v>
      </c>
      <c r="F28" s="18" t="s">
        <v>12</v>
      </c>
      <c r="G28" s="18" t="s">
        <v>13</v>
      </c>
      <c r="H28" s="18" t="s">
        <v>16</v>
      </c>
      <c r="I28" s="18" t="s">
        <v>17</v>
      </c>
      <c r="J28" s="18" t="s">
        <v>18</v>
      </c>
    </row>
    <row r="29" spans="2:10">
      <c r="B29" s="8">
        <v>35</v>
      </c>
      <c r="C29" s="8">
        <v>4.5</v>
      </c>
      <c r="D29" s="8">
        <f>B29-C29</f>
        <v>30.5</v>
      </c>
      <c r="E29" s="8">
        <f>Оборудование!$I$2</f>
        <v>1</v>
      </c>
      <c r="F29" s="8">
        <v>9.7899999999999991</v>
      </c>
      <c r="G29" s="8">
        <v>25.71</v>
      </c>
      <c r="H29" s="8">
        <v>3.74</v>
      </c>
      <c r="I29" s="8">
        <f>H29/2</f>
        <v>1.87</v>
      </c>
      <c r="J29" s="8">
        <f>I29*G29</f>
        <v>48.077700000000007</v>
      </c>
    </row>
    <row r="30" spans="2:10">
      <c r="B30" s="8"/>
      <c r="C30" s="8"/>
      <c r="D30" s="8"/>
      <c r="E30" s="8"/>
      <c r="F30" s="8">
        <v>8.89</v>
      </c>
      <c r="G30" s="8">
        <v>26.36</v>
      </c>
      <c r="H30" s="8">
        <v>4</v>
      </c>
      <c r="I30" s="8">
        <f t="shared" ref="I30:I36" si="14">H30/2</f>
        <v>2</v>
      </c>
      <c r="J30" s="8">
        <f t="shared" ref="J30:J36" si="15">I30*G30</f>
        <v>52.72</v>
      </c>
    </row>
    <row r="31" spans="2:10">
      <c r="B31" s="8"/>
      <c r="C31" s="8"/>
      <c r="D31" s="8"/>
      <c r="E31" s="8"/>
      <c r="F31" s="8">
        <v>9.15</v>
      </c>
      <c r="G31" s="8">
        <v>25.97</v>
      </c>
      <c r="H31" s="8">
        <v>4</v>
      </c>
      <c r="I31" s="8">
        <f t="shared" si="14"/>
        <v>2</v>
      </c>
      <c r="J31" s="8">
        <f t="shared" si="15"/>
        <v>51.94</v>
      </c>
    </row>
    <row r="32" spans="2:10">
      <c r="B32" s="8"/>
      <c r="C32" s="8"/>
      <c r="D32" s="8"/>
      <c r="E32" s="8"/>
      <c r="F32" s="8">
        <v>8.76</v>
      </c>
      <c r="G32" s="8">
        <v>28.04</v>
      </c>
      <c r="H32" s="8">
        <v>3.74</v>
      </c>
      <c r="I32" s="8">
        <f t="shared" si="14"/>
        <v>1.87</v>
      </c>
      <c r="J32" s="8">
        <f t="shared" si="15"/>
        <v>52.434800000000003</v>
      </c>
    </row>
    <row r="33" spans="2:10">
      <c r="B33" s="8"/>
      <c r="C33" s="8"/>
      <c r="D33" s="8"/>
      <c r="E33" s="8"/>
      <c r="F33" s="8">
        <v>9.66</v>
      </c>
      <c r="G33" s="8">
        <v>24.94</v>
      </c>
      <c r="H33" s="8">
        <v>4.13</v>
      </c>
      <c r="I33" s="8">
        <f t="shared" si="14"/>
        <v>2.0649999999999999</v>
      </c>
      <c r="J33" s="8">
        <f t="shared" si="15"/>
        <v>51.501100000000001</v>
      </c>
    </row>
    <row r="34" spans="2:10">
      <c r="B34" s="8"/>
      <c r="C34" s="8"/>
      <c r="D34" s="8"/>
      <c r="E34" s="8"/>
      <c r="F34" s="8">
        <v>7.98</v>
      </c>
      <c r="G34" s="8">
        <v>23.26</v>
      </c>
      <c r="H34" s="8">
        <v>3.62</v>
      </c>
      <c r="I34" s="8">
        <f t="shared" si="14"/>
        <v>1.81</v>
      </c>
      <c r="J34" s="8">
        <f t="shared" si="15"/>
        <v>42.100600000000007</v>
      </c>
    </row>
    <row r="35" spans="2:10">
      <c r="B35" s="8"/>
      <c r="C35" s="8"/>
      <c r="D35" s="8"/>
      <c r="E35" s="8"/>
      <c r="F35" s="8">
        <v>7.86</v>
      </c>
      <c r="G35" s="8">
        <v>21.97</v>
      </c>
      <c r="H35" s="8">
        <v>4</v>
      </c>
      <c r="I35" s="8">
        <f t="shared" si="14"/>
        <v>2</v>
      </c>
      <c r="J35" s="8">
        <f t="shared" si="15"/>
        <v>43.94</v>
      </c>
    </row>
    <row r="36" spans="2:10">
      <c r="B36" s="8"/>
      <c r="C36" s="8"/>
      <c r="D36" s="8"/>
      <c r="E36" s="8"/>
      <c r="F36" s="8">
        <v>8.5</v>
      </c>
      <c r="G36" s="8">
        <v>24.42</v>
      </c>
      <c r="H36" s="8">
        <v>3.74</v>
      </c>
      <c r="I36" s="8">
        <f t="shared" si="14"/>
        <v>1.87</v>
      </c>
      <c r="J36" s="8">
        <f t="shared" si="15"/>
        <v>45.665400000000005</v>
      </c>
    </row>
    <row r="37" spans="2:10">
      <c r="B37" s="8"/>
      <c r="C37" s="8"/>
      <c r="D37" s="8"/>
      <c r="E37" s="11" t="s">
        <v>19</v>
      </c>
      <c r="F37" s="11">
        <f>AVERAGE(F29:F36)</f>
        <v>8.8237500000000004</v>
      </c>
      <c r="G37" s="11">
        <f t="shared" ref="G37" si="16">AVERAGE(G29:G36)</f>
        <v>25.083749999999995</v>
      </c>
      <c r="H37" s="11">
        <f t="shared" ref="H37" si="17">AVERAGE(H29:H36)</f>
        <v>3.8712499999999999</v>
      </c>
      <c r="I37" s="11">
        <f t="shared" ref="I37" si="18">AVERAGE(I29:I36)</f>
        <v>1.9356249999999999</v>
      </c>
      <c r="J37" s="11">
        <f t="shared" ref="J37" si="19">AVERAGE(J29:J36)</f>
        <v>48.547449999999998</v>
      </c>
    </row>
    <row r="38" spans="2:10" ht="13.8">
      <c r="B38" s="8"/>
      <c r="C38" s="8"/>
      <c r="D38" s="8"/>
      <c r="E38" s="13" t="s">
        <v>20</v>
      </c>
      <c r="F38" s="12">
        <f>STDEV(F29:F36)</f>
        <v>0.70643850202466796</v>
      </c>
      <c r="G38" s="12">
        <f t="shared" ref="G38:J38" si="20">STDEV(G29:G36)</f>
        <v>1.8909025622701976</v>
      </c>
      <c r="H38" s="12">
        <f t="shared" si="20"/>
        <v>0.18185060587510513</v>
      </c>
      <c r="I38" s="12">
        <f t="shared" si="20"/>
        <v>9.0925302937552563E-2</v>
      </c>
      <c r="J38" s="12">
        <f t="shared" si="20"/>
        <v>4.2100637090530713</v>
      </c>
    </row>
    <row r="39" spans="2:10">
      <c r="E39" s="14" t="s">
        <v>21</v>
      </c>
      <c r="F39" s="15">
        <f>F38/F37</f>
        <v>8.0061028703744777E-2</v>
      </c>
      <c r="G39" s="15">
        <f t="shared" ref="G39" si="21">G38/G37</f>
        <v>7.5383567539550431E-2</v>
      </c>
      <c r="H39" s="15">
        <f t="shared" ref="H39" si="22">H38/H37</f>
        <v>4.6974647949655828E-2</v>
      </c>
      <c r="I39" s="15">
        <f t="shared" ref="I39" si="23">I38/I37</f>
        <v>4.6974647949655828E-2</v>
      </c>
      <c r="J39" s="15">
        <f t="shared" ref="J39" si="24">J38/J37</f>
        <v>8.6720594162063541E-2</v>
      </c>
    </row>
    <row r="40" spans="2:10" ht="13.8">
      <c r="B40" s="11" t="s">
        <v>8</v>
      </c>
      <c r="C40" s="11" t="s">
        <v>9</v>
      </c>
      <c r="D40" s="11" t="s">
        <v>10</v>
      </c>
      <c r="E40" s="18" t="s">
        <v>7</v>
      </c>
      <c r="F40" s="18" t="s">
        <v>12</v>
      </c>
      <c r="G40" s="18" t="s">
        <v>13</v>
      </c>
      <c r="H40" s="18" t="s">
        <v>16</v>
      </c>
      <c r="I40" s="18" t="s">
        <v>17</v>
      </c>
      <c r="J40" s="18" t="s">
        <v>18</v>
      </c>
    </row>
    <row r="41" spans="2:10">
      <c r="B41" s="8">
        <v>30</v>
      </c>
      <c r="C41" s="8">
        <v>4.5</v>
      </c>
      <c r="D41" s="8">
        <f>B41-C41</f>
        <v>25.5</v>
      </c>
      <c r="E41" s="8">
        <f>Оборудование!$I$2</f>
        <v>1</v>
      </c>
      <c r="F41" s="8">
        <v>8.4499999999999993</v>
      </c>
      <c r="G41" s="8">
        <v>30</v>
      </c>
      <c r="H41" s="8">
        <v>3.26</v>
      </c>
      <c r="I41" s="8">
        <f>H41/2</f>
        <v>1.63</v>
      </c>
      <c r="J41" s="8">
        <f>I41*G41</f>
        <v>48.9</v>
      </c>
    </row>
    <row r="42" spans="2:10">
      <c r="B42" s="8"/>
      <c r="C42" s="8"/>
      <c r="D42" s="8"/>
      <c r="E42" s="8"/>
      <c r="F42" s="8">
        <v>8.58</v>
      </c>
      <c r="G42" s="8">
        <v>28.95</v>
      </c>
      <c r="H42" s="8">
        <v>3.13</v>
      </c>
      <c r="I42" s="8">
        <f t="shared" ref="I42" si="25">H42/2</f>
        <v>1.5649999999999999</v>
      </c>
      <c r="J42" s="8">
        <f t="shared" ref="J42" si="26">I42*G42</f>
        <v>45.306749999999994</v>
      </c>
    </row>
    <row r="43" spans="2:10">
      <c r="B43" s="8"/>
      <c r="C43" s="8"/>
      <c r="D43" s="8"/>
      <c r="E43" s="11" t="s">
        <v>19</v>
      </c>
      <c r="F43" s="11">
        <f>AVERAGE(F41:F42)</f>
        <v>8.5150000000000006</v>
      </c>
      <c r="G43" s="11">
        <f t="shared" ref="G43:J43" si="27">AVERAGE(G41:G42)</f>
        <v>29.475000000000001</v>
      </c>
      <c r="H43" s="11">
        <f t="shared" si="27"/>
        <v>3.1949999999999998</v>
      </c>
      <c r="I43" s="11">
        <f t="shared" si="27"/>
        <v>1.5974999999999999</v>
      </c>
      <c r="J43" s="11">
        <f t="shared" si="27"/>
        <v>47.103375</v>
      </c>
    </row>
    <row r="44" spans="2:10" ht="13.8">
      <c r="B44" s="8"/>
      <c r="C44" s="8"/>
      <c r="D44" s="8"/>
      <c r="E44" s="13" t="s">
        <v>20</v>
      </c>
      <c r="F44" s="12">
        <f>STDEV(F41:F42)</f>
        <v>9.1923881554251727E-2</v>
      </c>
      <c r="G44" s="12">
        <f t="shared" ref="G44:J44" si="28">STDEV(G41:G42)</f>
        <v>0.74246212024587532</v>
      </c>
      <c r="H44" s="12">
        <f t="shared" si="28"/>
        <v>9.1923881554251102E-2</v>
      </c>
      <c r="I44" s="12">
        <f t="shared" si="28"/>
        <v>4.5961940777125551E-2</v>
      </c>
      <c r="J44" s="12">
        <f t="shared" si="28"/>
        <v>2.5408114414985654</v>
      </c>
    </row>
    <row r="45" spans="2:10">
      <c r="B45" s="8"/>
      <c r="C45" s="8"/>
      <c r="D45" s="8"/>
      <c r="E45" s="14" t="s">
        <v>21</v>
      </c>
      <c r="F45" s="15">
        <f>F44/F43</f>
        <v>1.0795523376893918E-2</v>
      </c>
      <c r="G45" s="15">
        <f t="shared" ref="G45:J45" si="29">G44/G43</f>
        <v>2.5189554546085676E-2</v>
      </c>
      <c r="H45" s="15">
        <f t="shared" si="29"/>
        <v>2.8771167935602849E-2</v>
      </c>
      <c r="I45" s="15">
        <f t="shared" si="29"/>
        <v>2.8771167935602849E-2</v>
      </c>
      <c r="J45" s="15">
        <f t="shared" si="29"/>
        <v>5.3941176009119629E-2</v>
      </c>
    </row>
    <row r="46" spans="2:10" ht="13.8">
      <c r="B46" s="11" t="s">
        <v>8</v>
      </c>
      <c r="C46" s="11" t="s">
        <v>9</v>
      </c>
      <c r="D46" s="11" t="s">
        <v>10</v>
      </c>
      <c r="E46" s="18" t="s">
        <v>7</v>
      </c>
      <c r="F46" s="18" t="s">
        <v>12</v>
      </c>
      <c r="G46" s="18" t="s">
        <v>13</v>
      </c>
      <c r="H46" s="18" t="s">
        <v>16</v>
      </c>
      <c r="I46" s="18" t="s">
        <v>17</v>
      </c>
      <c r="J46" s="18" t="s">
        <v>18</v>
      </c>
    </row>
    <row r="47" spans="2:10">
      <c r="B47" s="8">
        <v>25</v>
      </c>
      <c r="C47" s="8">
        <v>4.5</v>
      </c>
      <c r="D47" s="8">
        <f>B47-C47</f>
        <v>20.5</v>
      </c>
      <c r="E47" s="8">
        <f>Оборудование!$I$2</f>
        <v>1</v>
      </c>
      <c r="F47" s="8">
        <v>8.58</v>
      </c>
      <c r="G47" s="8">
        <v>21.79</v>
      </c>
      <c r="H47" s="8">
        <v>3.39</v>
      </c>
      <c r="I47" s="8">
        <f t="shared" ref="I47" si="30">H47/2</f>
        <v>1.6950000000000001</v>
      </c>
      <c r="J47" s="8">
        <f>I47*G47</f>
        <v>36.934049999999999</v>
      </c>
    </row>
    <row r="48" spans="2:10">
      <c r="B48" s="8"/>
      <c r="C48" s="8"/>
      <c r="D48" s="8"/>
      <c r="E48" s="8"/>
      <c r="F48" s="8">
        <v>8.84</v>
      </c>
      <c r="G48" s="8">
        <v>21</v>
      </c>
      <c r="H48" s="8">
        <v>3.26</v>
      </c>
      <c r="I48" s="8">
        <f>H48/2</f>
        <v>1.63</v>
      </c>
      <c r="J48" s="8">
        <f>I48*G48</f>
        <v>34.229999999999997</v>
      </c>
    </row>
    <row r="49" spans="2:10">
      <c r="B49" s="8"/>
      <c r="C49" s="8"/>
      <c r="D49" s="8"/>
      <c r="E49" s="8"/>
      <c r="F49" s="8">
        <v>8.32</v>
      </c>
      <c r="G49" s="8">
        <v>22.31</v>
      </c>
      <c r="H49" s="8">
        <v>3.78</v>
      </c>
      <c r="I49" s="8">
        <f>H49/2</f>
        <v>1.89</v>
      </c>
      <c r="J49" s="8">
        <f>I49*G49</f>
        <v>42.165899999999993</v>
      </c>
    </row>
    <row r="50" spans="2:10">
      <c r="B50" s="8"/>
      <c r="C50" s="8"/>
      <c r="D50" s="8"/>
      <c r="F50" s="8">
        <v>7.93</v>
      </c>
      <c r="G50" s="8">
        <v>19.57</v>
      </c>
      <c r="H50" s="8">
        <v>3.13</v>
      </c>
      <c r="I50" s="8">
        <f t="shared" ref="I50:I54" si="31">H50/2</f>
        <v>1.5649999999999999</v>
      </c>
      <c r="J50" s="8">
        <f t="shared" ref="J50:J54" si="32">I50*G50</f>
        <v>30.627050000000001</v>
      </c>
    </row>
    <row r="51" spans="2:10">
      <c r="B51" s="8"/>
      <c r="C51" s="8"/>
      <c r="D51" s="8"/>
      <c r="F51" s="8">
        <v>8.4499999999999993</v>
      </c>
      <c r="G51" s="8">
        <v>21.13</v>
      </c>
      <c r="H51" s="8">
        <v>3.26</v>
      </c>
      <c r="I51" s="8">
        <f t="shared" si="31"/>
        <v>1.63</v>
      </c>
      <c r="J51" s="8">
        <f t="shared" si="32"/>
        <v>34.441899999999997</v>
      </c>
    </row>
    <row r="52" spans="2:10">
      <c r="B52" s="8"/>
      <c r="C52" s="8"/>
      <c r="D52" s="8"/>
      <c r="F52" s="8">
        <v>8.4499999999999993</v>
      </c>
      <c r="G52" s="8">
        <v>24</v>
      </c>
      <c r="H52" s="8">
        <v>3.52</v>
      </c>
      <c r="I52" s="8">
        <f t="shared" si="31"/>
        <v>1.76</v>
      </c>
      <c r="J52" s="8">
        <f t="shared" si="32"/>
        <v>42.24</v>
      </c>
    </row>
    <row r="53" spans="2:10">
      <c r="B53" s="8"/>
      <c r="C53" s="8"/>
      <c r="D53" s="8"/>
      <c r="F53" s="8">
        <v>7.8</v>
      </c>
      <c r="G53" s="8">
        <v>18.66</v>
      </c>
      <c r="H53" s="8">
        <v>3.39</v>
      </c>
      <c r="I53" s="8">
        <f t="shared" si="31"/>
        <v>1.6950000000000001</v>
      </c>
      <c r="J53" s="8">
        <f t="shared" si="32"/>
        <v>31.628700000000002</v>
      </c>
    </row>
    <row r="54" spans="2:10">
      <c r="B54" s="8"/>
      <c r="C54" s="8"/>
      <c r="D54" s="8"/>
      <c r="F54" s="8">
        <v>7.8</v>
      </c>
      <c r="G54" s="8">
        <v>20.48</v>
      </c>
      <c r="H54" s="8">
        <v>3</v>
      </c>
      <c r="I54" s="8">
        <f t="shared" si="31"/>
        <v>1.5</v>
      </c>
      <c r="J54" s="8">
        <f t="shared" si="32"/>
        <v>30.72</v>
      </c>
    </row>
    <row r="55" spans="2:10">
      <c r="E55" s="11" t="s">
        <v>19</v>
      </c>
      <c r="F55" s="11">
        <f>AVERAGE(F47:F54)</f>
        <v>8.2712500000000002</v>
      </c>
      <c r="G55" s="11">
        <f t="shared" ref="G55:J55" si="33">AVERAGE(G47:G54)</f>
        <v>21.117499999999996</v>
      </c>
      <c r="H55" s="11">
        <f t="shared" si="33"/>
        <v>3.3412500000000001</v>
      </c>
      <c r="I55" s="11">
        <f t="shared" si="33"/>
        <v>1.670625</v>
      </c>
      <c r="J55" s="11">
        <f t="shared" si="33"/>
        <v>35.373450000000005</v>
      </c>
    </row>
    <row r="56" spans="2:10" ht="13.8">
      <c r="E56" s="13" t="s">
        <v>20</v>
      </c>
      <c r="F56" s="12">
        <f>STDEV(F47:F54)</f>
        <v>0.38650217149639476</v>
      </c>
      <c r="G56" s="12">
        <f t="shared" ref="G56:J56" si="34">STDEV(G47:G54)</f>
        <v>1.6491361374974471</v>
      </c>
      <c r="H56" s="12">
        <f t="shared" si="34"/>
        <v>0.24008555022860378</v>
      </c>
      <c r="I56" s="12">
        <f t="shared" si="34"/>
        <v>0.12004277511430189</v>
      </c>
      <c r="J56" s="12">
        <f t="shared" si="34"/>
        <v>4.7223433044410674</v>
      </c>
    </row>
    <row r="57" spans="2:10">
      <c r="E57" s="14" t="s">
        <v>21</v>
      </c>
      <c r="F57" s="15">
        <f>F56/F55</f>
        <v>4.6728387063188125E-2</v>
      </c>
      <c r="G57" s="15">
        <f t="shared" ref="G57:J57" si="35">G56/G55</f>
        <v>7.8093341422869542E-2</v>
      </c>
      <c r="H57" s="15">
        <f t="shared" si="35"/>
        <v>7.1855009421205776E-2</v>
      </c>
      <c r="I57" s="15">
        <f t="shared" si="35"/>
        <v>7.1855009421205776E-2</v>
      </c>
      <c r="J57" s="15">
        <f t="shared" si="35"/>
        <v>0.13349965311387685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B59"/>
  <sheetViews>
    <sheetView tabSelected="1" topLeftCell="S1" zoomScale="115" zoomScaleNormal="115" workbookViewId="0">
      <selection activeCell="Y4" sqref="Y4"/>
    </sheetView>
  </sheetViews>
  <sheetFormatPr defaultRowHeight="13.2"/>
  <cols>
    <col min="17" max="17" width="12.21875" bestFit="1" customWidth="1"/>
    <col min="18" max="18" width="17.88671875" bestFit="1" customWidth="1"/>
    <col min="19" max="19" width="21.88671875" bestFit="1" customWidth="1"/>
    <col min="20" max="20" width="18.6640625" bestFit="1" customWidth="1"/>
    <col min="21" max="21" width="22.6640625" bestFit="1" customWidth="1"/>
    <col min="24" max="24" width="12" bestFit="1" customWidth="1"/>
    <col min="25" max="25" width="10.88671875" bestFit="1" customWidth="1"/>
    <col min="26" max="26" width="5.6640625" bestFit="1" customWidth="1"/>
    <col min="27" max="27" width="10.88671875" bestFit="1" customWidth="1"/>
    <col min="28" max="28" width="9.88671875" bestFit="1" customWidth="1"/>
  </cols>
  <sheetData>
    <row r="1" spans="2:28" ht="13.8">
      <c r="B1" s="9" t="s">
        <v>8</v>
      </c>
      <c r="C1" s="9" t="s">
        <v>9</v>
      </c>
      <c r="D1" s="9" t="s">
        <v>10</v>
      </c>
      <c r="E1" s="10" t="s">
        <v>7</v>
      </c>
      <c r="F1" s="10" t="s">
        <v>12</v>
      </c>
      <c r="G1" s="10" t="s">
        <v>13</v>
      </c>
      <c r="H1" s="10" t="s">
        <v>16</v>
      </c>
      <c r="I1" s="10" t="s">
        <v>17</v>
      </c>
      <c r="J1" s="10" t="s">
        <v>18</v>
      </c>
      <c r="L1" s="10" t="s">
        <v>10</v>
      </c>
      <c r="M1" s="10" t="s">
        <v>12</v>
      </c>
      <c r="N1" s="10" t="s">
        <v>22</v>
      </c>
      <c r="O1" s="10" t="s">
        <v>10</v>
      </c>
      <c r="P1" s="10" t="s">
        <v>18</v>
      </c>
      <c r="Q1" s="10" t="s">
        <v>28</v>
      </c>
      <c r="R1" s="10" t="s">
        <v>30</v>
      </c>
      <c r="S1" s="10" t="s">
        <v>29</v>
      </c>
      <c r="T1" s="10" t="s">
        <v>31</v>
      </c>
      <c r="U1" s="10" t="s">
        <v>32</v>
      </c>
      <c r="W1" s="10" t="s">
        <v>33</v>
      </c>
      <c r="X1" s="10" t="s">
        <v>34</v>
      </c>
      <c r="Y1" s="10" t="s">
        <v>35</v>
      </c>
      <c r="Z1" s="10" t="s">
        <v>38</v>
      </c>
      <c r="AA1" s="10" t="s">
        <v>34</v>
      </c>
      <c r="AB1" s="10" t="s">
        <v>35</v>
      </c>
    </row>
    <row r="2" spans="2:28">
      <c r="B2" s="7">
        <v>50</v>
      </c>
      <c r="C2" s="7">
        <v>10.199999999999999</v>
      </c>
      <c r="D2" s="7">
        <f>B2-C2</f>
        <v>39.799999999999997</v>
      </c>
      <c r="E2" s="7">
        <f>Оборудование!$I$2</f>
        <v>1</v>
      </c>
      <c r="F2" s="8">
        <v>11.37</v>
      </c>
      <c r="G2" s="8">
        <v>24.92</v>
      </c>
      <c r="H2" s="8">
        <v>3.4</v>
      </c>
      <c r="I2" s="8">
        <f>H2/2</f>
        <v>1.7</v>
      </c>
      <c r="J2" s="8">
        <f>I2*G2</f>
        <v>42.364000000000004</v>
      </c>
      <c r="L2" s="8">
        <f>$D$2</f>
        <v>39.799999999999997</v>
      </c>
      <c r="M2" s="8">
        <f>$F$10</f>
        <v>12.181250000000002</v>
      </c>
      <c r="N2" s="8">
        <f>SQRT(SQRT(Оборудование!$Q$2^2+16/3*(Оборудование!$F$2/1000)^3*L2/100)-Оборудование!$Q$2)*1000</f>
        <v>11.393012413729643</v>
      </c>
      <c r="O2" s="8">
        <f>$D$2</f>
        <v>39.799999999999997</v>
      </c>
      <c r="P2" s="8">
        <f>$J$10</f>
        <v>58.480312500000004</v>
      </c>
      <c r="Q2" s="8">
        <f>(SQRT(Оборудование!$Q$2^2+8/3*(Оборудование!$F$2/1000)^3*O2/100)-Оборудование!$Q$2)*1000000</f>
        <v>87.969180614267032</v>
      </c>
      <c r="R2" s="8">
        <f>((M2/1000)^2+Оборудование!$Q$2)^2 * 10^(3*4)</f>
        <v>26647.755076595888</v>
      </c>
      <c r="S2" s="8">
        <f>((N2/1000)^2+Оборудование!$Q$2)^2 * 10^(3*4)</f>
        <v>20926.30773281939</v>
      </c>
      <c r="T2" s="8">
        <f>((P2/1000000)+Оборудование!$Q$2)^2*10^12</f>
        <v>5378.588704500693</v>
      </c>
      <c r="U2" s="8">
        <f>((Q2/1000000)+Оборудование!$Q$2)^2*10^12</f>
        <v>10573.542115568811</v>
      </c>
      <c r="W2" s="19" t="s">
        <v>36</v>
      </c>
      <c r="X2" s="8" cm="1">
        <f t="array" ref="X2:Y6">LINEST(R2:R6,L2:L6,1,1)</f>
        <v>615.50863927306523</v>
      </c>
      <c r="Y2" s="8">
        <v>1872.2171243738412</v>
      </c>
      <c r="Z2" s="20" t="s">
        <v>36</v>
      </c>
      <c r="AA2" s="8" cm="1">
        <f t="array" ref="AA2:AB6">LINEST(T2:T6,O2:O6,1,1)</f>
        <v>190.235789208402</v>
      </c>
      <c r="AB2" s="8">
        <v>-1983.6221335467458</v>
      </c>
    </row>
    <row r="3" spans="2:28">
      <c r="B3" s="7"/>
      <c r="C3" s="7"/>
      <c r="D3" s="7"/>
      <c r="E3" s="7"/>
      <c r="F3" s="8">
        <v>11.99</v>
      </c>
      <c r="G3" s="8">
        <v>27.39</v>
      </c>
      <c r="H3" s="8">
        <v>4.63</v>
      </c>
      <c r="I3" s="8">
        <f t="shared" ref="I3:I9" si="0">H3/2</f>
        <v>2.3149999999999999</v>
      </c>
      <c r="J3" s="8">
        <f t="shared" ref="J3:J9" si="1">I3*G3</f>
        <v>63.407850000000003</v>
      </c>
      <c r="L3" s="8">
        <f>$D$14</f>
        <v>34.799999999999997</v>
      </c>
      <c r="M3" s="8">
        <f>$F$24</f>
        <v>11.788999999999998</v>
      </c>
      <c r="N3" s="8">
        <f>SQRT(SQRT(Оборудование!$Q$2^2+16/3*(Оборудование!$F$2/1000)^3*L3/100)-Оборудование!$Q$2)*1000</f>
        <v>10.977783090918582</v>
      </c>
      <c r="O3" s="8">
        <f>$D$14</f>
        <v>34.799999999999997</v>
      </c>
      <c r="P3" s="8">
        <f>$J$24</f>
        <v>55.30303</v>
      </c>
      <c r="Q3" s="8">
        <f>(SQRT(Оборудование!$Q$2^2+8/3*(Оборудование!$F$2/1000)^3*O3/100)-Оборудование!$Q$2)*1000000</f>
        <v>81.437573926899319</v>
      </c>
      <c r="R3" s="8">
        <f>((M3/1000)^2+Оборудование!$Q$2)^2 * 10^(3*4)</f>
        <v>23666.459664840899</v>
      </c>
      <c r="S3" s="8">
        <f>((N3/1000)^2+Оборудование!$Q$2)^2 * 10^(3*4)</f>
        <v>18325.110341550397</v>
      </c>
      <c r="T3" s="8">
        <f>((P3/1000000)+Оборудование!$Q$2)^2*10^12</f>
        <v>4922.6472618954094</v>
      </c>
      <c r="U3" s="8">
        <f>((Q3/1000000)+Оборудование!$Q$2)^2*10^12</f>
        <v>9272.9434199343159</v>
      </c>
      <c r="W3" s="19" t="s">
        <v>37</v>
      </c>
      <c r="X3" s="8">
        <v>80.211921780381687</v>
      </c>
      <c r="Y3" s="8">
        <v>2456.685715606367</v>
      </c>
      <c r="Z3" s="20" t="s">
        <v>37</v>
      </c>
      <c r="AA3" s="8">
        <v>15.5010970575276</v>
      </c>
      <c r="AB3" s="8">
        <v>474.75889957756777</v>
      </c>
    </row>
    <row r="4" spans="2:28">
      <c r="B4" s="7"/>
      <c r="C4" s="7"/>
      <c r="D4" s="7"/>
      <c r="E4" s="7"/>
      <c r="F4" s="8">
        <v>12.45</v>
      </c>
      <c r="G4" s="8">
        <v>29.4</v>
      </c>
      <c r="H4" s="8">
        <v>4.17</v>
      </c>
      <c r="I4" s="8">
        <f t="shared" si="0"/>
        <v>2.085</v>
      </c>
      <c r="J4" s="8">
        <f t="shared" si="1"/>
        <v>61.298999999999999</v>
      </c>
      <c r="L4" s="8">
        <f>$D$28</f>
        <v>29.8</v>
      </c>
      <c r="M4" s="8">
        <f>$F$35</f>
        <v>11.24</v>
      </c>
      <c r="N4" s="8">
        <f>SQRT(SQRT(Оборудование!$Q$2^2+16/3*(Оборудование!$F$2/1000)^3*L4/100)-Оборудование!$Q$2)*1000</f>
        <v>10.513632956457528</v>
      </c>
      <c r="O4" s="8">
        <f>$D$28</f>
        <v>29.8</v>
      </c>
      <c r="P4" s="8">
        <f>$J$35</f>
        <v>46.621335714285713</v>
      </c>
      <c r="Q4" s="8">
        <f>(SQRT(Оборудование!$Q$2^2+8/3*(Оборудование!$F$2/1000)^3*O4/100)-Оборудование!$Q$2)*1000000</f>
        <v>74.429437899243425</v>
      </c>
      <c r="R4" s="8">
        <f>((M4/1000)^2+Оборудование!$Q$2)^2 * 10^(3*4)</f>
        <v>19936.352681845663</v>
      </c>
      <c r="S4" s="8">
        <f>((N4/1000)^2+Оборудование!$Q$2)^2 * 10^(3*4)</f>
        <v>15723.912950281403</v>
      </c>
      <c r="T4" s="8">
        <f>((P4/1000000)+Оборудование!$Q$2)^2*10^12</f>
        <v>3779.7763069574876</v>
      </c>
      <c r="U4" s="8">
        <f>((Q4/1000000)+Оборудование!$Q$2)^2*10^12</f>
        <v>7972.3447242998227</v>
      </c>
      <c r="X4" s="8">
        <v>0.95152147620503724</v>
      </c>
      <c r="Y4" s="8">
        <v>1268.2618416263717</v>
      </c>
      <c r="Z4" s="8"/>
      <c r="AA4" s="8">
        <v>0.98047027585684987</v>
      </c>
      <c r="AB4" s="8">
        <v>245.09386466560653</v>
      </c>
    </row>
    <row r="5" spans="2:28">
      <c r="B5" s="7"/>
      <c r="C5" s="7"/>
      <c r="D5" s="7"/>
      <c r="E5" s="7"/>
      <c r="F5" s="8">
        <v>11.83</v>
      </c>
      <c r="G5" s="8">
        <v>27.39</v>
      </c>
      <c r="H5" s="8">
        <v>4.32</v>
      </c>
      <c r="I5" s="8">
        <f t="shared" si="0"/>
        <v>2.16</v>
      </c>
      <c r="J5" s="8">
        <f t="shared" si="1"/>
        <v>59.162400000000005</v>
      </c>
      <c r="L5" s="8">
        <f>$D$39</f>
        <v>24.8</v>
      </c>
      <c r="M5" s="8">
        <f>$F$47</f>
        <v>10.4625</v>
      </c>
      <c r="N5" s="8">
        <f>SQRT(SQRT(Оборудование!$Q$2^2+16/3*(Оборудование!$F$2/1000)^3*L5/100)-Оборудование!$Q$2)*1000</f>
        <v>9.9847820282377935</v>
      </c>
      <c r="O5" s="8">
        <f>$D$39</f>
        <v>24.8</v>
      </c>
      <c r="P5" s="8">
        <f>$J$47</f>
        <v>35.38071875</v>
      </c>
      <c r="Q5" s="8">
        <f>(SQRT(Оборудование!$Q$2^2+8/3*(Оборудование!$F$2/1000)^3*O5/100)-Оборудование!$Q$2)*1000000</f>
        <v>66.822207112380084</v>
      </c>
      <c r="R5" s="8">
        <f>((M5/1000)^2+Оборудование!$Q$2)^2 * 10^(3*4)</f>
        <v>15456.073046167547</v>
      </c>
      <c r="S5" s="8">
        <f>((N5/1000)^2+Оборудование!$Q$2)^2 * 10^(3*4)</f>
        <v>13122.715559012424</v>
      </c>
      <c r="T5" s="8">
        <f>((P5/1000000)+Оборудование!$Q$2)^2*10^12</f>
        <v>2523.9840914524611</v>
      </c>
      <c r="U5" s="8">
        <f>((Q5/1000000)+Оборудование!$Q$2)^2*10^12</f>
        <v>6671.7460286653277</v>
      </c>
      <c r="X5" s="8">
        <v>58.883072444374257</v>
      </c>
      <c r="Y5" s="8">
        <v>3</v>
      </c>
      <c r="Z5" s="8"/>
      <c r="AA5" s="8">
        <v>150.61200076408724</v>
      </c>
      <c r="AB5" s="8">
        <v>3</v>
      </c>
    </row>
    <row r="6" spans="2:28">
      <c r="B6" s="7"/>
      <c r="C6" s="7"/>
      <c r="D6" s="7"/>
      <c r="F6" s="8">
        <v>12.92</v>
      </c>
      <c r="G6" s="8">
        <v>33.57</v>
      </c>
      <c r="H6" s="8">
        <v>4.32</v>
      </c>
      <c r="I6" s="8">
        <f t="shared" si="0"/>
        <v>2.16</v>
      </c>
      <c r="J6" s="8">
        <f t="shared" si="1"/>
        <v>72.511200000000002</v>
      </c>
      <c r="L6" s="8">
        <f>$D$51</f>
        <v>19.8</v>
      </c>
      <c r="M6" s="8">
        <f>$F$57</f>
        <v>10.445</v>
      </c>
      <c r="N6" s="8">
        <f>SQRT(SQRT(Оборудование!$Q$2^2+16/3*(Оборудование!$F$2/1000)^3*L6/100)-Оборудование!$Q$2)*1000</f>
        <v>9.3656768125373464</v>
      </c>
      <c r="O6" s="8">
        <f>$D$51</f>
        <v>19.8</v>
      </c>
      <c r="P6" s="8">
        <f>$J$57</f>
        <v>27.826641666666664</v>
      </c>
      <c r="Q6" s="8">
        <f>(SQRT(Оборудование!$Q$2^2+8/3*(Оборудование!$F$2/1000)^3*O6/100)-Оборудование!$Q$2)*1000000</f>
        <v>58.429562141674289</v>
      </c>
      <c r="R6" s="8">
        <f>((M6/1000)^2+Оборудование!$Q$2)^2 * 10^(3*4)</f>
        <v>15365.23240410594</v>
      </c>
      <c r="S6" s="8">
        <f>((N6/1000)^2+Оборудование!$Q$2)^2 * 10^(3*4)</f>
        <v>10521.518167743428</v>
      </c>
      <c r="T6" s="8">
        <f>((P6/1000000)+Оборудование!$Q$2)^2*10^12</f>
        <v>1822.0255595121198</v>
      </c>
      <c r="U6" s="8">
        <f>((Q6/1000000)+Оборудование!$Q$2)^2*10^12</f>
        <v>5371.1473330308318</v>
      </c>
      <c r="X6" s="8">
        <v>94712721.254944995</v>
      </c>
      <c r="Y6" s="8">
        <v>4825464.296776549</v>
      </c>
      <c r="Z6" s="8"/>
      <c r="AA6" s="8">
        <v>9047413.8739358801</v>
      </c>
      <c r="AB6" s="8">
        <v>180213.00749016798</v>
      </c>
    </row>
    <row r="7" spans="2:28">
      <c r="F7" s="8">
        <v>12.76</v>
      </c>
      <c r="G7" s="8">
        <v>32.799999999999997</v>
      </c>
      <c r="H7" s="8">
        <v>4.0199999999999996</v>
      </c>
      <c r="I7" s="8">
        <f t="shared" si="0"/>
        <v>2.0099999999999998</v>
      </c>
      <c r="J7" s="8">
        <f t="shared" si="1"/>
        <v>65.927999999999983</v>
      </c>
    </row>
    <row r="8" spans="2:28">
      <c r="F8" s="8">
        <v>12.45</v>
      </c>
      <c r="G8" s="8">
        <v>32.03</v>
      </c>
      <c r="H8" s="8">
        <v>3.71</v>
      </c>
      <c r="I8" s="8">
        <f t="shared" si="0"/>
        <v>1.855</v>
      </c>
      <c r="J8" s="8">
        <f t="shared" si="1"/>
        <v>59.415649999999999</v>
      </c>
    </row>
    <row r="9" spans="2:28">
      <c r="F9" s="8">
        <v>11.68</v>
      </c>
      <c r="G9" s="8">
        <v>28.32</v>
      </c>
      <c r="H9" s="8">
        <v>3.09</v>
      </c>
      <c r="I9" s="8">
        <f t="shared" si="0"/>
        <v>1.5449999999999999</v>
      </c>
      <c r="J9" s="8">
        <f t="shared" si="1"/>
        <v>43.754399999999997</v>
      </c>
    </row>
    <row r="10" spans="2:28">
      <c r="E10" s="11" t="s">
        <v>19</v>
      </c>
      <c r="F10" s="11">
        <f>AVERAGE(F2:F9)</f>
        <v>12.181250000000002</v>
      </c>
      <c r="G10" s="11">
        <f t="shared" ref="G10:J10" si="2">AVERAGE(G2:G9)</f>
        <v>29.477500000000003</v>
      </c>
      <c r="H10" s="11">
        <f t="shared" si="2"/>
        <v>3.9575</v>
      </c>
      <c r="I10" s="11">
        <f t="shared" si="2"/>
        <v>1.97875</v>
      </c>
      <c r="J10" s="11">
        <f t="shared" si="2"/>
        <v>58.480312500000004</v>
      </c>
    </row>
    <row r="11" spans="2:28" ht="13.8">
      <c r="E11" s="13" t="s">
        <v>20</v>
      </c>
      <c r="F11" s="12">
        <f>STDEV(F2:F9)</f>
        <v>0.54700319925938279</v>
      </c>
      <c r="G11" s="12">
        <f t="shared" ref="G11:J11" si="3">STDEV(G2:G9)</f>
        <v>3.0504039545139396</v>
      </c>
      <c r="H11" s="12">
        <f t="shared" si="3"/>
        <v>0.5194433834128882</v>
      </c>
      <c r="I11" s="12">
        <f t="shared" si="3"/>
        <v>0.2597216917064441</v>
      </c>
      <c r="J11" s="12">
        <f t="shared" si="3"/>
        <v>10.436800312381909</v>
      </c>
    </row>
    <row r="12" spans="2:28">
      <c r="E12" s="14" t="s">
        <v>21</v>
      </c>
      <c r="F12" s="16">
        <f>F11/F10</f>
        <v>4.4905342165983186E-2</v>
      </c>
      <c r="G12" s="16">
        <f t="shared" ref="G12:J12" si="4">G11/G10</f>
        <v>0.10348245117509759</v>
      </c>
      <c r="H12" s="16">
        <f t="shared" si="4"/>
        <v>0.13125543484848723</v>
      </c>
      <c r="I12" s="16">
        <f t="shared" si="4"/>
        <v>0.13125543484848723</v>
      </c>
      <c r="J12" s="16">
        <f t="shared" si="4"/>
        <v>0.1784669039239814</v>
      </c>
    </row>
    <row r="13" spans="2:28" ht="13.8">
      <c r="B13" s="9" t="s">
        <v>8</v>
      </c>
      <c r="C13" s="9" t="s">
        <v>9</v>
      </c>
      <c r="D13" s="9" t="s">
        <v>10</v>
      </c>
      <c r="E13" s="10" t="s">
        <v>7</v>
      </c>
      <c r="F13" s="10" t="s">
        <v>12</v>
      </c>
      <c r="G13" s="10" t="s">
        <v>13</v>
      </c>
      <c r="H13" s="10" t="s">
        <v>16</v>
      </c>
      <c r="I13" s="10" t="s">
        <v>17</v>
      </c>
      <c r="J13" s="10" t="s">
        <v>18</v>
      </c>
    </row>
    <row r="14" spans="2:28">
      <c r="B14" s="7">
        <v>45</v>
      </c>
      <c r="C14" s="7">
        <v>10.199999999999999</v>
      </c>
      <c r="D14" s="7">
        <f>B14-C14</f>
        <v>34.799999999999997</v>
      </c>
      <c r="E14" s="7">
        <f>Оборудование!$I$2</f>
        <v>1</v>
      </c>
      <c r="F14" s="8">
        <v>11.37</v>
      </c>
      <c r="G14" s="8">
        <v>29.71</v>
      </c>
      <c r="H14" s="8">
        <v>3.71</v>
      </c>
      <c r="I14" s="8">
        <f>H14/2</f>
        <v>1.855</v>
      </c>
      <c r="J14" s="8">
        <f>I14*G14</f>
        <v>55.112050000000004</v>
      </c>
    </row>
    <row r="15" spans="2:28">
      <c r="B15" s="7"/>
      <c r="C15" s="7"/>
      <c r="D15" s="7"/>
      <c r="E15" s="7"/>
      <c r="F15" s="8">
        <v>10.75</v>
      </c>
      <c r="G15" s="8">
        <v>26</v>
      </c>
      <c r="H15" s="8">
        <v>4.17</v>
      </c>
      <c r="I15" s="8">
        <f t="shared" ref="I15:I23" si="5">H15/2</f>
        <v>2.085</v>
      </c>
      <c r="J15" s="8">
        <f t="shared" ref="J15:J23" si="6">I15*G15</f>
        <v>54.21</v>
      </c>
    </row>
    <row r="16" spans="2:28">
      <c r="B16" s="7"/>
      <c r="C16" s="7"/>
      <c r="D16" s="7"/>
      <c r="E16" s="7"/>
      <c r="F16" s="8">
        <v>11.68</v>
      </c>
      <c r="G16" s="8">
        <v>28.47</v>
      </c>
      <c r="H16" s="8">
        <v>3.55</v>
      </c>
      <c r="I16" s="8">
        <f t="shared" si="5"/>
        <v>1.7749999999999999</v>
      </c>
      <c r="J16" s="8">
        <f t="shared" si="6"/>
        <v>50.534249999999993</v>
      </c>
    </row>
    <row r="17" spans="2:10">
      <c r="B17" s="7"/>
      <c r="C17" s="7"/>
      <c r="D17" s="7"/>
      <c r="E17" s="7"/>
      <c r="F17" s="8">
        <v>12.3</v>
      </c>
      <c r="G17" s="8">
        <v>28.17</v>
      </c>
      <c r="H17" s="8">
        <v>4.32</v>
      </c>
      <c r="I17" s="8">
        <f t="shared" si="5"/>
        <v>2.16</v>
      </c>
      <c r="J17" s="8">
        <f t="shared" si="6"/>
        <v>60.847200000000008</v>
      </c>
    </row>
    <row r="18" spans="2:10">
      <c r="B18" s="7"/>
      <c r="C18" s="7"/>
      <c r="D18" s="7"/>
      <c r="F18" s="8">
        <v>12.61</v>
      </c>
      <c r="G18" s="8">
        <v>28.17</v>
      </c>
      <c r="H18" s="8">
        <v>4.0199999999999996</v>
      </c>
      <c r="I18" s="8">
        <f t="shared" si="5"/>
        <v>2.0099999999999998</v>
      </c>
      <c r="J18" s="8">
        <f t="shared" si="6"/>
        <v>56.621699999999997</v>
      </c>
    </row>
    <row r="19" spans="2:10">
      <c r="F19" s="8">
        <v>11.99</v>
      </c>
      <c r="G19" s="8">
        <v>27.7</v>
      </c>
      <c r="H19" s="8">
        <v>4.63</v>
      </c>
      <c r="I19" s="8">
        <f t="shared" si="5"/>
        <v>2.3149999999999999</v>
      </c>
      <c r="J19" s="8">
        <f t="shared" si="6"/>
        <v>64.125500000000002</v>
      </c>
    </row>
    <row r="20" spans="2:10">
      <c r="F20" s="8">
        <v>10.91</v>
      </c>
      <c r="G20" s="8">
        <v>25.39</v>
      </c>
      <c r="H20" s="8">
        <v>3.24</v>
      </c>
      <c r="I20" s="8">
        <f t="shared" si="5"/>
        <v>1.62</v>
      </c>
      <c r="J20" s="8">
        <f t="shared" si="6"/>
        <v>41.131800000000005</v>
      </c>
    </row>
    <row r="21" spans="2:10">
      <c r="F21" s="8">
        <v>12.45</v>
      </c>
      <c r="G21" s="8">
        <v>34.19</v>
      </c>
      <c r="H21" s="8">
        <v>4.0199999999999996</v>
      </c>
      <c r="I21" s="8">
        <f t="shared" si="5"/>
        <v>2.0099999999999998</v>
      </c>
      <c r="J21" s="8">
        <f t="shared" si="6"/>
        <v>68.721899999999991</v>
      </c>
    </row>
    <row r="22" spans="2:10">
      <c r="F22" s="8">
        <v>12.3</v>
      </c>
      <c r="G22" s="8">
        <v>28.63</v>
      </c>
      <c r="H22" s="8">
        <v>3.71</v>
      </c>
      <c r="I22" s="8">
        <f t="shared" si="5"/>
        <v>1.855</v>
      </c>
      <c r="J22" s="8">
        <f t="shared" si="6"/>
        <v>53.108649999999997</v>
      </c>
    </row>
    <row r="23" spans="2:10">
      <c r="F23" s="8">
        <v>11.53</v>
      </c>
      <c r="G23" s="8">
        <v>27.39</v>
      </c>
      <c r="H23" s="8">
        <v>3.55</v>
      </c>
      <c r="I23" s="8">
        <f t="shared" si="5"/>
        <v>1.7749999999999999</v>
      </c>
      <c r="J23" s="8">
        <f t="shared" si="6"/>
        <v>48.617249999999999</v>
      </c>
    </row>
    <row r="24" spans="2:10">
      <c r="E24" s="11" t="s">
        <v>19</v>
      </c>
      <c r="F24" s="11">
        <f>AVERAGE(F14:F23)</f>
        <v>11.788999999999998</v>
      </c>
      <c r="G24" s="11">
        <f t="shared" ref="G24:J24" si="7">AVERAGE(G14:G23)</f>
        <v>28.381999999999998</v>
      </c>
      <c r="H24" s="11">
        <f t="shared" si="7"/>
        <v>3.8919999999999995</v>
      </c>
      <c r="I24" s="11">
        <f t="shared" si="7"/>
        <v>1.9459999999999997</v>
      </c>
      <c r="J24" s="11">
        <f t="shared" si="7"/>
        <v>55.30303</v>
      </c>
    </row>
    <row r="25" spans="2:10" ht="13.8">
      <c r="E25" s="13" t="s">
        <v>20</v>
      </c>
      <c r="F25" s="12">
        <f>STDEV(F14:F23)</f>
        <v>0.64809892934815305</v>
      </c>
      <c r="G25" s="12">
        <f t="shared" ref="G25:J25" si="8">STDEV(G14:G23)</f>
        <v>2.3974699627361797</v>
      </c>
      <c r="H25" s="12">
        <f t="shared" si="8"/>
        <v>0.416754657375834</v>
      </c>
      <c r="I25" s="12">
        <f t="shared" si="8"/>
        <v>0.208377328687917</v>
      </c>
      <c r="J25" s="12">
        <f t="shared" si="8"/>
        <v>7.9210684511553122</v>
      </c>
    </row>
    <row r="26" spans="2:10">
      <c r="E26" s="14" t="s">
        <v>21</v>
      </c>
      <c r="F26" s="16">
        <f>F25/F24</f>
        <v>5.4974885855301824E-2</v>
      </c>
      <c r="G26" s="16">
        <f t="shared" ref="G26:J26" si="9">G25/G24</f>
        <v>8.4471494705664854E-2</v>
      </c>
      <c r="H26" s="16">
        <f t="shared" si="9"/>
        <v>0.10707981946963877</v>
      </c>
      <c r="I26" s="16">
        <f t="shared" si="9"/>
        <v>0.10707981946963877</v>
      </c>
      <c r="J26" s="16">
        <f t="shared" si="9"/>
        <v>0.14323027962763182</v>
      </c>
    </row>
    <row r="27" spans="2:10" ht="13.8">
      <c r="B27" s="9" t="s">
        <v>8</v>
      </c>
      <c r="C27" s="9" t="s">
        <v>9</v>
      </c>
      <c r="D27" s="9" t="s">
        <v>10</v>
      </c>
      <c r="E27" s="10" t="s">
        <v>7</v>
      </c>
      <c r="F27" s="10" t="s">
        <v>12</v>
      </c>
      <c r="G27" s="10" t="s">
        <v>13</v>
      </c>
      <c r="H27" s="10" t="s">
        <v>16</v>
      </c>
      <c r="I27" s="10" t="s">
        <v>17</v>
      </c>
      <c r="J27" s="10" t="s">
        <v>18</v>
      </c>
    </row>
    <row r="28" spans="2:10">
      <c r="B28" s="7">
        <v>40</v>
      </c>
      <c r="C28" s="7">
        <v>10.199999999999999</v>
      </c>
      <c r="D28" s="7">
        <f>B28-C28</f>
        <v>29.8</v>
      </c>
      <c r="E28" s="7">
        <f>Оборудование!$I$2</f>
        <v>1</v>
      </c>
      <c r="F28" s="8">
        <v>11.22</v>
      </c>
      <c r="G28" s="8">
        <v>26.78</v>
      </c>
      <c r="H28" s="8">
        <v>4.17</v>
      </c>
      <c r="I28" s="8">
        <f>H28/2</f>
        <v>2.085</v>
      </c>
      <c r="J28" s="8">
        <f>I28*G28</f>
        <v>55.836300000000001</v>
      </c>
    </row>
    <row r="29" spans="2:10">
      <c r="B29" s="7"/>
      <c r="C29" s="7"/>
      <c r="D29" s="7"/>
      <c r="E29" s="7"/>
      <c r="F29" s="8">
        <v>10.91</v>
      </c>
      <c r="G29" s="8">
        <v>25.85</v>
      </c>
      <c r="H29" s="8">
        <v>2.93</v>
      </c>
      <c r="I29" s="8">
        <f t="shared" ref="I29:I34" si="10">H29/2</f>
        <v>1.4650000000000001</v>
      </c>
      <c r="J29" s="8">
        <f t="shared" ref="J29:J34" si="11">I29*G29</f>
        <v>37.870250000000006</v>
      </c>
    </row>
    <row r="30" spans="2:10">
      <c r="B30" s="7"/>
      <c r="C30" s="7"/>
      <c r="D30" s="7"/>
      <c r="E30" s="7"/>
      <c r="F30" s="8">
        <v>11.37</v>
      </c>
      <c r="G30" s="8">
        <v>26.93</v>
      </c>
      <c r="H30" s="8">
        <v>3.86</v>
      </c>
      <c r="I30" s="8">
        <f t="shared" si="10"/>
        <v>1.93</v>
      </c>
      <c r="J30" s="8">
        <f t="shared" si="11"/>
        <v>51.974899999999998</v>
      </c>
    </row>
    <row r="31" spans="2:10">
      <c r="B31" s="7"/>
      <c r="C31" s="7"/>
      <c r="D31" s="7"/>
      <c r="E31" s="7"/>
      <c r="F31" s="8">
        <v>11.53</v>
      </c>
      <c r="G31" s="8">
        <v>29.56</v>
      </c>
      <c r="H31" s="8">
        <v>3.24</v>
      </c>
      <c r="I31" s="8">
        <f t="shared" si="10"/>
        <v>1.62</v>
      </c>
      <c r="J31" s="8">
        <f t="shared" si="11"/>
        <v>47.8872</v>
      </c>
    </row>
    <row r="32" spans="2:10">
      <c r="B32" s="7"/>
      <c r="C32" s="7"/>
      <c r="D32" s="7"/>
      <c r="F32" s="8">
        <v>11.68</v>
      </c>
      <c r="G32" s="8">
        <v>28.01</v>
      </c>
      <c r="H32" s="8">
        <v>3.4</v>
      </c>
      <c r="I32" s="8">
        <f t="shared" si="10"/>
        <v>1.7</v>
      </c>
      <c r="J32" s="8">
        <f t="shared" si="11"/>
        <v>47.617000000000004</v>
      </c>
    </row>
    <row r="33" spans="2:10">
      <c r="F33" s="8">
        <v>11.22</v>
      </c>
      <c r="G33" s="8">
        <v>27.86</v>
      </c>
      <c r="H33" s="8">
        <v>3.09</v>
      </c>
      <c r="I33" s="8">
        <f t="shared" si="10"/>
        <v>1.5449999999999999</v>
      </c>
      <c r="J33" s="8">
        <f t="shared" si="11"/>
        <v>43.043699999999994</v>
      </c>
    </row>
    <row r="34" spans="2:10">
      <c r="F34" s="8">
        <v>10.75</v>
      </c>
      <c r="G34" s="8">
        <v>26</v>
      </c>
      <c r="H34" s="8">
        <v>3.24</v>
      </c>
      <c r="I34" s="8">
        <f t="shared" si="10"/>
        <v>1.62</v>
      </c>
      <c r="J34" s="8">
        <f t="shared" si="11"/>
        <v>42.120000000000005</v>
      </c>
    </row>
    <row r="35" spans="2:10">
      <c r="E35" s="11" t="s">
        <v>19</v>
      </c>
      <c r="F35" s="11">
        <f>AVERAGE(F28:F34)</f>
        <v>11.24</v>
      </c>
      <c r="G35" s="11">
        <f t="shared" ref="G35:J35" si="12">AVERAGE(G28:G34)</f>
        <v>27.284285714285716</v>
      </c>
      <c r="H35" s="11">
        <f t="shared" si="12"/>
        <v>3.4185714285714286</v>
      </c>
      <c r="I35" s="11">
        <f t="shared" si="12"/>
        <v>1.7092857142857143</v>
      </c>
      <c r="J35" s="11">
        <f t="shared" si="12"/>
        <v>46.621335714285713</v>
      </c>
    </row>
    <row r="36" spans="2:10" ht="13.8">
      <c r="E36" s="13" t="s">
        <v>20</v>
      </c>
      <c r="F36" s="12">
        <f>STDEV(F28:F34)</f>
        <v>0.32771939216347851</v>
      </c>
      <c r="G36" s="12">
        <f t="shared" ref="G36:J36" si="13">STDEV(G28:G34)</f>
        <v>1.2989336285694391</v>
      </c>
      <c r="H36" s="12">
        <f t="shared" si="13"/>
        <v>0.44164195797911149</v>
      </c>
      <c r="I36" s="12">
        <f t="shared" si="13"/>
        <v>0.22082097898955574</v>
      </c>
      <c r="J36" s="12">
        <f t="shared" si="13"/>
        <v>6.1347776216633862</v>
      </c>
    </row>
    <row r="37" spans="2:10">
      <c r="E37" s="14" t="s">
        <v>21</v>
      </c>
      <c r="F37" s="16">
        <f>F36/F35</f>
        <v>2.9156529551910899E-2</v>
      </c>
      <c r="G37" s="16">
        <f t="shared" ref="G37:J37" si="14">G36/G35</f>
        <v>4.7607389915629475E-2</v>
      </c>
      <c r="H37" s="16">
        <f t="shared" si="14"/>
        <v>0.12918903910797244</v>
      </c>
      <c r="I37" s="16">
        <f t="shared" si="14"/>
        <v>0.12918903910797244</v>
      </c>
      <c r="J37" s="16">
        <f t="shared" si="14"/>
        <v>0.13158734145370202</v>
      </c>
    </row>
    <row r="38" spans="2:10" ht="13.8">
      <c r="B38" s="9" t="s">
        <v>8</v>
      </c>
      <c r="C38" s="9" t="s">
        <v>9</v>
      </c>
      <c r="D38" s="9" t="s">
        <v>10</v>
      </c>
      <c r="E38" s="10" t="s">
        <v>7</v>
      </c>
      <c r="F38" s="10" t="s">
        <v>12</v>
      </c>
      <c r="G38" s="10" t="s">
        <v>13</v>
      </c>
      <c r="H38" s="10" t="s">
        <v>16</v>
      </c>
      <c r="I38" s="10" t="s">
        <v>17</v>
      </c>
      <c r="J38" s="10" t="s">
        <v>18</v>
      </c>
    </row>
    <row r="39" spans="2:10">
      <c r="B39" s="7">
        <v>35</v>
      </c>
      <c r="C39" s="7">
        <v>10.199999999999999</v>
      </c>
      <c r="D39" s="7">
        <f>B39-C39</f>
        <v>24.8</v>
      </c>
      <c r="E39" s="7">
        <f>Оборудование!$I$2</f>
        <v>1</v>
      </c>
      <c r="F39" s="8">
        <v>9.98</v>
      </c>
      <c r="G39" s="8">
        <v>21.37</v>
      </c>
      <c r="H39" s="8">
        <v>3.09</v>
      </c>
      <c r="I39" s="8">
        <f>H39/2</f>
        <v>1.5449999999999999</v>
      </c>
      <c r="J39" s="8">
        <f>I39*G39</f>
        <v>33.016649999999998</v>
      </c>
    </row>
    <row r="40" spans="2:10">
      <c r="B40" s="7"/>
      <c r="C40" s="7"/>
      <c r="D40" s="7"/>
      <c r="E40" s="7"/>
      <c r="F40" s="8">
        <v>9.98</v>
      </c>
      <c r="G40" s="8">
        <v>22.45</v>
      </c>
      <c r="H40" s="8">
        <v>3.4</v>
      </c>
      <c r="I40" s="8">
        <f>H40/2</f>
        <v>1.7</v>
      </c>
      <c r="J40" s="8">
        <f>I40*G40</f>
        <v>38.164999999999999</v>
      </c>
    </row>
    <row r="41" spans="2:10">
      <c r="B41" s="7"/>
      <c r="C41" s="7"/>
      <c r="D41" s="7"/>
      <c r="E41" s="7"/>
      <c r="F41" s="8">
        <v>10.75</v>
      </c>
      <c r="G41" s="8">
        <v>25.08</v>
      </c>
      <c r="H41" s="8">
        <v>2.93</v>
      </c>
      <c r="I41" s="8">
        <f>H41/2</f>
        <v>1.4650000000000001</v>
      </c>
      <c r="J41" s="8">
        <f>I41*G41</f>
        <v>36.742199999999997</v>
      </c>
    </row>
    <row r="42" spans="2:10">
      <c r="B42" s="7"/>
      <c r="C42" s="7"/>
      <c r="D42" s="7"/>
      <c r="E42" s="7"/>
      <c r="F42" s="8">
        <v>11.06</v>
      </c>
      <c r="G42" s="8">
        <v>25.08</v>
      </c>
      <c r="H42" s="8">
        <v>3.24</v>
      </c>
      <c r="I42" s="8">
        <f t="shared" ref="I42:I46" si="15">H42/2</f>
        <v>1.62</v>
      </c>
      <c r="J42" s="8">
        <f t="shared" ref="J42:J46" si="16">I42*G42</f>
        <v>40.629599999999996</v>
      </c>
    </row>
    <row r="43" spans="2:10">
      <c r="B43" s="7"/>
      <c r="C43" s="7"/>
      <c r="D43" s="7"/>
      <c r="F43" s="8">
        <v>10.91</v>
      </c>
      <c r="G43" s="8">
        <v>26.93</v>
      </c>
      <c r="H43" s="8">
        <v>2.93</v>
      </c>
      <c r="I43" s="8">
        <f t="shared" si="15"/>
        <v>1.4650000000000001</v>
      </c>
      <c r="J43" s="8">
        <f t="shared" si="16"/>
        <v>39.452449999999999</v>
      </c>
    </row>
    <row r="44" spans="2:10">
      <c r="F44" s="8">
        <v>10.75</v>
      </c>
      <c r="G44" s="8">
        <v>25.39</v>
      </c>
      <c r="H44" s="8">
        <v>2.4700000000000002</v>
      </c>
      <c r="I44" s="8">
        <f t="shared" si="15"/>
        <v>1.2350000000000001</v>
      </c>
      <c r="J44" s="8">
        <f t="shared" si="16"/>
        <v>31.356650000000002</v>
      </c>
    </row>
    <row r="45" spans="2:10">
      <c r="F45" s="8">
        <v>9.83</v>
      </c>
      <c r="G45" s="8">
        <v>22.45</v>
      </c>
      <c r="H45" s="8">
        <v>2.3199999999999998</v>
      </c>
      <c r="I45" s="8">
        <f t="shared" si="15"/>
        <v>1.1599999999999999</v>
      </c>
      <c r="J45" s="8">
        <f t="shared" si="16"/>
        <v>26.041999999999998</v>
      </c>
    </row>
    <row r="46" spans="2:10">
      <c r="F46" s="8">
        <v>10.44</v>
      </c>
      <c r="G46" s="8">
        <v>27.08</v>
      </c>
      <c r="H46" s="8">
        <v>2.78</v>
      </c>
      <c r="I46" s="8">
        <f t="shared" si="15"/>
        <v>1.39</v>
      </c>
      <c r="J46" s="8">
        <f t="shared" si="16"/>
        <v>37.641199999999998</v>
      </c>
    </row>
    <row r="47" spans="2:10">
      <c r="E47" s="11" t="s">
        <v>19</v>
      </c>
      <c r="F47" s="11">
        <f>AVERAGE(F39:F46)</f>
        <v>10.4625</v>
      </c>
      <c r="G47" s="11">
        <f t="shared" ref="G47:J47" si="17">AVERAGE(G39:G46)</f>
        <v>24.478749999999998</v>
      </c>
      <c r="H47" s="11">
        <f t="shared" si="17"/>
        <v>2.895</v>
      </c>
      <c r="I47" s="11">
        <f t="shared" si="17"/>
        <v>1.4475</v>
      </c>
      <c r="J47" s="11">
        <f t="shared" si="17"/>
        <v>35.38071875</v>
      </c>
    </row>
    <row r="48" spans="2:10" ht="13.8">
      <c r="E48" s="13" t="s">
        <v>20</v>
      </c>
      <c r="F48" s="12">
        <f>STDEV(F39:F46)</f>
        <v>0.47640768855496618</v>
      </c>
      <c r="G48" s="12">
        <f t="shared" ref="G48:J48" si="18">STDEV(G39:G46)</f>
        <v>2.1455764293741</v>
      </c>
      <c r="H48" s="12">
        <f t="shared" si="18"/>
        <v>0.36625518036317001</v>
      </c>
      <c r="I48" s="12">
        <f t="shared" si="18"/>
        <v>0.183127590181585</v>
      </c>
      <c r="J48" s="12">
        <f t="shared" si="18"/>
        <v>4.896631447881699</v>
      </c>
    </row>
    <row r="49" spans="2:10">
      <c r="E49" s="14" t="s">
        <v>21</v>
      </c>
      <c r="F49" s="16">
        <f>F48/F47</f>
        <v>4.5534785047069648E-2</v>
      </c>
      <c r="G49" s="16">
        <f t="shared" ref="G49:J49" si="19">G48/G47</f>
        <v>8.76505715926712E-2</v>
      </c>
      <c r="H49" s="16">
        <f t="shared" si="19"/>
        <v>0.12651301566948878</v>
      </c>
      <c r="I49" s="16">
        <f t="shared" si="19"/>
        <v>0.12651301566948878</v>
      </c>
      <c r="J49" s="16">
        <f t="shared" si="19"/>
        <v>0.13839830339460527</v>
      </c>
    </row>
    <row r="50" spans="2:10" ht="13.8">
      <c r="B50" s="9" t="s">
        <v>8</v>
      </c>
      <c r="C50" s="9" t="s">
        <v>9</v>
      </c>
      <c r="D50" s="9" t="s">
        <v>10</v>
      </c>
      <c r="E50" s="10" t="s">
        <v>7</v>
      </c>
      <c r="F50" s="10" t="s">
        <v>12</v>
      </c>
      <c r="G50" s="10" t="s">
        <v>13</v>
      </c>
      <c r="H50" s="10" t="s">
        <v>16</v>
      </c>
      <c r="I50" s="10" t="s">
        <v>17</v>
      </c>
      <c r="J50" s="10" t="s">
        <v>18</v>
      </c>
    </row>
    <row r="51" spans="2:10">
      <c r="B51" s="7">
        <v>30</v>
      </c>
      <c r="C51" s="7">
        <v>10.199999999999999</v>
      </c>
      <c r="D51" s="7">
        <f>B51-C51</f>
        <v>19.8</v>
      </c>
      <c r="E51" s="7">
        <f>Оборудование!$I$2</f>
        <v>1</v>
      </c>
      <c r="F51" s="8">
        <v>10.29</v>
      </c>
      <c r="G51" s="8">
        <v>22.92</v>
      </c>
      <c r="H51" s="8">
        <v>2.3199999999999998</v>
      </c>
      <c r="I51" s="8">
        <f>H51/2</f>
        <v>1.1599999999999999</v>
      </c>
      <c r="J51" s="8">
        <f>I51*G51</f>
        <v>26.587199999999999</v>
      </c>
    </row>
    <row r="52" spans="2:10">
      <c r="B52" s="7"/>
      <c r="C52" s="7"/>
      <c r="D52" s="7"/>
      <c r="E52" s="7"/>
      <c r="F52" s="8">
        <v>10.91</v>
      </c>
      <c r="G52" s="8">
        <v>21.53</v>
      </c>
      <c r="H52" s="8">
        <v>2.4700000000000002</v>
      </c>
      <c r="I52" s="8">
        <f>H52/2</f>
        <v>1.2350000000000001</v>
      </c>
      <c r="J52" s="8">
        <f>I52*G52</f>
        <v>26.589550000000003</v>
      </c>
    </row>
    <row r="53" spans="2:10">
      <c r="B53" s="7"/>
      <c r="C53" s="7"/>
      <c r="D53" s="7"/>
      <c r="E53" s="7"/>
      <c r="F53" s="8">
        <v>10.91</v>
      </c>
      <c r="G53" s="8">
        <v>24.15</v>
      </c>
      <c r="H53" s="8">
        <v>2.0099999999999998</v>
      </c>
      <c r="I53" s="8">
        <f>H53/2</f>
        <v>1.0049999999999999</v>
      </c>
      <c r="J53" s="8">
        <f>I53*G53</f>
        <v>24.270749999999996</v>
      </c>
    </row>
    <row r="54" spans="2:10">
      <c r="B54" s="7"/>
      <c r="C54" s="7"/>
      <c r="D54" s="7"/>
      <c r="E54" s="7"/>
      <c r="F54" s="8">
        <v>10.91</v>
      </c>
      <c r="G54" s="8">
        <v>23.38</v>
      </c>
      <c r="H54" s="8">
        <v>2.3199999999999998</v>
      </c>
      <c r="I54" s="8">
        <f t="shared" ref="I54:I56" si="20">H54/2</f>
        <v>1.1599999999999999</v>
      </c>
      <c r="J54" s="8">
        <f t="shared" ref="J54:J56" si="21">I54*G54</f>
        <v>27.120799999999996</v>
      </c>
    </row>
    <row r="55" spans="2:10">
      <c r="B55" s="7"/>
      <c r="C55" s="7"/>
      <c r="D55" s="7"/>
      <c r="F55" s="8">
        <v>9.98</v>
      </c>
      <c r="G55" s="8">
        <v>22.45</v>
      </c>
      <c r="H55" s="8">
        <v>2.63</v>
      </c>
      <c r="I55" s="8">
        <f t="shared" si="20"/>
        <v>1.3149999999999999</v>
      </c>
      <c r="J55" s="8">
        <f t="shared" si="21"/>
        <v>29.521749999999997</v>
      </c>
    </row>
    <row r="56" spans="2:10">
      <c r="F56" s="8">
        <v>9.67</v>
      </c>
      <c r="G56" s="8">
        <v>20.29</v>
      </c>
      <c r="H56" s="8">
        <v>3.24</v>
      </c>
      <c r="I56" s="8">
        <f t="shared" si="20"/>
        <v>1.62</v>
      </c>
      <c r="J56" s="8">
        <f t="shared" si="21"/>
        <v>32.869799999999998</v>
      </c>
    </row>
    <row r="57" spans="2:10">
      <c r="E57" s="11" t="s">
        <v>19</v>
      </c>
      <c r="F57" s="11">
        <f>AVERAGE(F51:F56)</f>
        <v>10.445</v>
      </c>
      <c r="G57" s="11">
        <f t="shared" ref="G57:J57" si="22">AVERAGE(G51:G56)</f>
        <v>22.453333333333333</v>
      </c>
      <c r="H57" s="11">
        <f t="shared" si="22"/>
        <v>2.4983333333333335</v>
      </c>
      <c r="I57" s="11">
        <f t="shared" si="22"/>
        <v>1.2491666666666668</v>
      </c>
      <c r="J57" s="11">
        <f t="shared" si="22"/>
        <v>27.826641666666664</v>
      </c>
    </row>
    <row r="58" spans="2:10" ht="13.8">
      <c r="E58" s="13" t="s">
        <v>20</v>
      </c>
      <c r="F58" s="12">
        <f>STDEV(F51:F56)</f>
        <v>0.54581132271142929</v>
      </c>
      <c r="G58" s="12">
        <f t="shared" ref="G58:J58" si="23">STDEV(G51:G56)</f>
        <v>1.3775146702183123</v>
      </c>
      <c r="H58" s="12">
        <f t="shared" si="23"/>
        <v>0.41720099073068678</v>
      </c>
      <c r="I58" s="12">
        <f t="shared" si="23"/>
        <v>0.20860049536534339</v>
      </c>
      <c r="J58" s="12">
        <f t="shared" si="23"/>
        <v>2.9838239786248559</v>
      </c>
    </row>
    <row r="59" spans="2:10">
      <c r="E59" s="14" t="s">
        <v>21</v>
      </c>
      <c r="F59" s="16">
        <f>F58/F57</f>
        <v>5.2255751336661493E-2</v>
      </c>
      <c r="G59" s="16">
        <f t="shared" ref="G59:J59" si="24">G58/G57</f>
        <v>6.1350118923024596E-2</v>
      </c>
      <c r="H59" s="16">
        <f t="shared" si="24"/>
        <v>0.16699172410834692</v>
      </c>
      <c r="I59" s="16">
        <f t="shared" si="24"/>
        <v>0.16699172410834692</v>
      </c>
      <c r="J59" s="16">
        <f t="shared" si="24"/>
        <v>0.1072290366321552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Оборудование</vt:lpstr>
      <vt:lpstr>Кружка</vt:lpstr>
      <vt:lpstr>Кувшин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Solodilov</dc:creator>
  <cp:lastModifiedBy>Misha Solodilov</cp:lastModifiedBy>
  <cp:revision>3</cp:revision>
  <dcterms:created xsi:type="dcterms:W3CDTF">2024-06-12T15:22:14Z</dcterms:created>
  <dcterms:modified xsi:type="dcterms:W3CDTF">2024-06-14T12:02:46Z</dcterms:modified>
</cp:coreProperties>
</file>