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A93D4078-F14F-4223-8CC0-D26D856A39BA}" xr6:coauthVersionLast="47" xr6:coauthVersionMax="47" xr10:uidLastSave="{00000000-0000-0000-0000-000000000000}"/>
  <bookViews>
    <workbookView xWindow="-103" yWindow="-103" windowWidth="33120" windowHeight="18120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V26" i="1"/>
  <c r="U26" i="1"/>
  <c r="W25" i="1"/>
  <c r="X25" i="1" s="1"/>
  <c r="W24" i="1"/>
  <c r="X24" i="1" s="1"/>
  <c r="Y24" i="1" s="1"/>
  <c r="W23" i="1"/>
  <c r="X23" i="1" s="1"/>
  <c r="W22" i="1"/>
  <c r="W26" i="1" s="1"/>
  <c r="V25" i="1"/>
  <c r="V24" i="1"/>
  <c r="V23" i="1"/>
  <c r="V22" i="1"/>
  <c r="S26" i="1"/>
  <c r="S25" i="1"/>
  <c r="S24" i="1"/>
  <c r="S23" i="1"/>
  <c r="S22" i="1"/>
  <c r="R25" i="1"/>
  <c r="R24" i="1"/>
  <c r="R23" i="1"/>
  <c r="R22" i="1"/>
  <c r="R26" i="1"/>
  <c r="U13" i="1"/>
  <c r="V13" i="1" s="1"/>
  <c r="M13" i="1"/>
  <c r="O13" i="1" s="1"/>
  <c r="P13" i="1" s="1"/>
  <c r="H13" i="1"/>
  <c r="I13" i="1" s="1"/>
  <c r="J13" i="1" s="1"/>
  <c r="U12" i="1"/>
  <c r="V12" i="1" s="1"/>
  <c r="M12" i="1"/>
  <c r="O12" i="1" s="1"/>
  <c r="P12" i="1" s="1"/>
  <c r="H12" i="1"/>
  <c r="I12" i="1" s="1"/>
  <c r="J12" i="1" s="1"/>
  <c r="G19" i="1"/>
  <c r="F19" i="1"/>
  <c r="E19" i="1"/>
  <c r="E54" i="1" s="1"/>
  <c r="G52" i="1"/>
  <c r="H52" i="1"/>
  <c r="F52" i="1"/>
  <c r="U14" i="1"/>
  <c r="V14" i="1" s="1"/>
  <c r="W14" i="1" s="1"/>
  <c r="U11" i="1"/>
  <c r="V11" i="1" s="1"/>
  <c r="U10" i="1"/>
  <c r="V10" i="1" s="1"/>
  <c r="U9" i="1"/>
  <c r="V9" i="1" s="1"/>
  <c r="W9" i="1" s="1"/>
  <c r="U8" i="1"/>
  <c r="V8" i="1" s="1"/>
  <c r="W8" i="1" s="1"/>
  <c r="U7" i="1"/>
  <c r="V7" i="1" s="1"/>
  <c r="W7" i="1" s="1"/>
  <c r="U6" i="1"/>
  <c r="V6" i="1" s="1"/>
  <c r="W6" i="1" s="1"/>
  <c r="U5" i="1"/>
  <c r="V5" i="1" s="1"/>
  <c r="U4" i="1"/>
  <c r="V4" i="1" s="1"/>
  <c r="T19" i="1"/>
  <c r="S19" i="1"/>
  <c r="R19" i="1"/>
  <c r="U18" i="1"/>
  <c r="V18" i="1" s="1"/>
  <c r="T15" i="1"/>
  <c r="S15" i="1"/>
  <c r="R15" i="1"/>
  <c r="N48" i="1"/>
  <c r="K47" i="1"/>
  <c r="K48" i="1" s="1"/>
  <c r="F48" i="1"/>
  <c r="U52" i="1"/>
  <c r="T52" i="1"/>
  <c r="S52" i="1"/>
  <c r="R52" i="1"/>
  <c r="V51" i="1"/>
  <c r="W51" i="1" s="1"/>
  <c r="T48" i="1"/>
  <c r="S48" i="1"/>
  <c r="R48" i="1"/>
  <c r="V47" i="1"/>
  <c r="W47" i="1" s="1"/>
  <c r="X47" i="1" s="1"/>
  <c r="U46" i="1"/>
  <c r="V46" i="1" s="1"/>
  <c r="W46" i="1" s="1"/>
  <c r="X46" i="1" s="1"/>
  <c r="U45" i="1"/>
  <c r="V45" i="1" s="1"/>
  <c r="W45" i="1" s="1"/>
  <c r="X45" i="1" s="1"/>
  <c r="U44" i="1"/>
  <c r="V44" i="1" s="1"/>
  <c r="W44" i="1" s="1"/>
  <c r="X44" i="1" s="1"/>
  <c r="U43" i="1"/>
  <c r="V43" i="1" s="1"/>
  <c r="W43" i="1" s="1"/>
  <c r="X43" i="1" s="1"/>
  <c r="U42" i="1"/>
  <c r="V42" i="1" s="1"/>
  <c r="W42" i="1" s="1"/>
  <c r="X42" i="1" s="1"/>
  <c r="U41" i="1"/>
  <c r="V41" i="1" s="1"/>
  <c r="W41" i="1" s="1"/>
  <c r="X41" i="1" s="1"/>
  <c r="U40" i="1"/>
  <c r="V40" i="1" s="1"/>
  <c r="U39" i="1"/>
  <c r="V39" i="1" s="1"/>
  <c r="W39" i="1" s="1"/>
  <c r="X39" i="1" s="1"/>
  <c r="U38" i="1"/>
  <c r="V38" i="1" s="1"/>
  <c r="W38" i="1" s="1"/>
  <c r="X38" i="1" s="1"/>
  <c r="U37" i="1"/>
  <c r="V37" i="1" s="1"/>
  <c r="W37" i="1" s="1"/>
  <c r="X37" i="1" s="1"/>
  <c r="U36" i="1"/>
  <c r="V36" i="1" s="1"/>
  <c r="W36" i="1" s="1"/>
  <c r="X36" i="1" s="1"/>
  <c r="U35" i="1"/>
  <c r="V35" i="1" s="1"/>
  <c r="W35" i="1" s="1"/>
  <c r="X35" i="1" s="1"/>
  <c r="U34" i="1"/>
  <c r="V34" i="1" s="1"/>
  <c r="W34" i="1" s="1"/>
  <c r="X34" i="1" s="1"/>
  <c r="U33" i="1"/>
  <c r="V33" i="1" s="1"/>
  <c r="W33" i="1" s="1"/>
  <c r="X33" i="1" s="1"/>
  <c r="U32" i="1"/>
  <c r="V32" i="1" s="1"/>
  <c r="W32" i="1" s="1"/>
  <c r="X32" i="1" s="1"/>
  <c r="Y32" i="1" s="1"/>
  <c r="U31" i="1"/>
  <c r="V31" i="1" s="1"/>
  <c r="W31" i="1" s="1"/>
  <c r="U30" i="1"/>
  <c r="V30" i="1" s="1"/>
  <c r="W30" i="1" s="1"/>
  <c r="X30" i="1" s="1"/>
  <c r="U29" i="1"/>
  <c r="V29" i="1" s="1"/>
  <c r="W29" i="1" s="1"/>
  <c r="X29" i="1" s="1"/>
  <c r="D48" i="1"/>
  <c r="G47" i="1"/>
  <c r="I47" i="1" s="1"/>
  <c r="J47" i="1" s="1"/>
  <c r="M25" i="1"/>
  <c r="O25" i="1" s="1"/>
  <c r="P25" i="1" s="1"/>
  <c r="M24" i="1"/>
  <c r="O24" i="1" s="1"/>
  <c r="P24" i="1" s="1"/>
  <c r="M23" i="1"/>
  <c r="O23" i="1" s="1"/>
  <c r="P23" i="1" s="1"/>
  <c r="M22" i="1"/>
  <c r="O22" i="1" s="1"/>
  <c r="N26" i="1"/>
  <c r="K26" i="1"/>
  <c r="D26" i="1"/>
  <c r="H25" i="1"/>
  <c r="I25" i="1" s="1"/>
  <c r="J25" i="1" s="1"/>
  <c r="L25" i="1" s="1"/>
  <c r="Y25" i="1" s="1"/>
  <c r="H24" i="1"/>
  <c r="I24" i="1" s="1"/>
  <c r="J24" i="1" s="1"/>
  <c r="L24" i="1" s="1"/>
  <c r="N52" i="1"/>
  <c r="N19" i="1"/>
  <c r="N15" i="1"/>
  <c r="B54" i="1"/>
  <c r="K19" i="1"/>
  <c r="D19" i="1"/>
  <c r="M18" i="1"/>
  <c r="O18" i="1" s="1"/>
  <c r="P18" i="1" s="1"/>
  <c r="P19" i="1" s="1"/>
  <c r="H18" i="1"/>
  <c r="I18" i="1" s="1"/>
  <c r="J18" i="1" s="1"/>
  <c r="L18" i="1" s="1"/>
  <c r="L19" i="1" s="1"/>
  <c r="M45" i="1"/>
  <c r="H45" i="1"/>
  <c r="I45" i="1" s="1"/>
  <c r="J45" i="1" s="1"/>
  <c r="L45" i="1" s="1"/>
  <c r="M44" i="1"/>
  <c r="O44" i="1" s="1"/>
  <c r="H44" i="1"/>
  <c r="I44" i="1" s="1"/>
  <c r="J44" i="1" s="1"/>
  <c r="L44" i="1" s="1"/>
  <c r="M42" i="1"/>
  <c r="O42" i="1" s="1"/>
  <c r="H42" i="1"/>
  <c r="I42" i="1" s="1"/>
  <c r="J42" i="1" s="1"/>
  <c r="L42" i="1" s="1"/>
  <c r="M38" i="1"/>
  <c r="O38" i="1" s="1"/>
  <c r="H38" i="1"/>
  <c r="I38" i="1" s="1"/>
  <c r="J38" i="1" s="1"/>
  <c r="L38" i="1" s="1"/>
  <c r="M37" i="1"/>
  <c r="O37" i="1" s="1"/>
  <c r="H37" i="1"/>
  <c r="I37" i="1" s="1"/>
  <c r="J37" i="1" s="1"/>
  <c r="L37" i="1" s="1"/>
  <c r="M51" i="1"/>
  <c r="O51" i="1" s="1"/>
  <c r="O52" i="1" s="1"/>
  <c r="E51" i="1"/>
  <c r="M43" i="1"/>
  <c r="M41" i="1"/>
  <c r="M40" i="1"/>
  <c r="O40" i="1" s="1"/>
  <c r="M39" i="1"/>
  <c r="M46" i="1"/>
  <c r="M36" i="1"/>
  <c r="M35" i="1"/>
  <c r="O35" i="1" s="1"/>
  <c r="M34" i="1"/>
  <c r="O34" i="1" s="1"/>
  <c r="M33" i="1"/>
  <c r="M32" i="1"/>
  <c r="O32" i="1" s="1"/>
  <c r="M31" i="1"/>
  <c r="M30" i="1"/>
  <c r="M29" i="1"/>
  <c r="O29" i="1" s="1"/>
  <c r="M14" i="1"/>
  <c r="M11" i="1"/>
  <c r="M10" i="1"/>
  <c r="M9" i="1"/>
  <c r="O9" i="1" s="1"/>
  <c r="M8" i="1"/>
  <c r="M7" i="1"/>
  <c r="O7" i="1" s="1"/>
  <c r="M6" i="1"/>
  <c r="M5" i="1"/>
  <c r="O5" i="1" s="1"/>
  <c r="M4" i="1"/>
  <c r="O4" i="1" s="1"/>
  <c r="H43" i="1"/>
  <c r="I43" i="1" s="1"/>
  <c r="J43" i="1" s="1"/>
  <c r="L43" i="1" s="1"/>
  <c r="H41" i="1"/>
  <c r="I41" i="1" s="1"/>
  <c r="J41" i="1" s="1"/>
  <c r="L41" i="1" s="1"/>
  <c r="K52" i="1"/>
  <c r="D52" i="1"/>
  <c r="H9" i="1"/>
  <c r="I9" i="1" s="1"/>
  <c r="J9" i="1" s="1"/>
  <c r="L9" i="1" s="1"/>
  <c r="K15" i="1"/>
  <c r="D15" i="1"/>
  <c r="G39" i="1"/>
  <c r="H39" i="1" s="1"/>
  <c r="I39" i="1" s="1"/>
  <c r="J39" i="1" s="1"/>
  <c r="L39" i="1" s="1"/>
  <c r="G30" i="1"/>
  <c r="H30" i="1" s="1"/>
  <c r="I30" i="1" s="1"/>
  <c r="J30" i="1" s="1"/>
  <c r="L30" i="1" s="1"/>
  <c r="H36" i="1"/>
  <c r="I36" i="1" s="1"/>
  <c r="J36" i="1" s="1"/>
  <c r="L36" i="1" s="1"/>
  <c r="G29" i="1"/>
  <c r="H29" i="1" s="1"/>
  <c r="I29" i="1" s="1"/>
  <c r="J29" i="1" s="1"/>
  <c r="L29" i="1" s="1"/>
  <c r="H31" i="1"/>
  <c r="I31" i="1" s="1"/>
  <c r="J31" i="1" s="1"/>
  <c r="L31" i="1" s="1"/>
  <c r="G32" i="1"/>
  <c r="H32" i="1" s="1"/>
  <c r="I32" i="1" s="1"/>
  <c r="J32" i="1" s="1"/>
  <c r="L32" i="1" s="1"/>
  <c r="H35" i="1"/>
  <c r="I35" i="1" s="1"/>
  <c r="J35" i="1" s="1"/>
  <c r="L35" i="1" s="1"/>
  <c r="H34" i="1"/>
  <c r="I34" i="1" s="1"/>
  <c r="J34" i="1" s="1"/>
  <c r="L34" i="1" s="1"/>
  <c r="H33" i="1"/>
  <c r="I33" i="1" s="1"/>
  <c r="J33" i="1" s="1"/>
  <c r="L33" i="1" s="1"/>
  <c r="H14" i="1"/>
  <c r="I14" i="1" s="1"/>
  <c r="J14" i="1" s="1"/>
  <c r="L14" i="1" s="1"/>
  <c r="H11" i="1"/>
  <c r="I11" i="1" s="1"/>
  <c r="J11" i="1" s="1"/>
  <c r="L11" i="1" s="1"/>
  <c r="H10" i="1"/>
  <c r="I10" i="1" s="1"/>
  <c r="J10" i="1" s="1"/>
  <c r="L10" i="1" s="1"/>
  <c r="H40" i="1"/>
  <c r="I40" i="1" s="1"/>
  <c r="J40" i="1" s="1"/>
  <c r="L40" i="1" s="1"/>
  <c r="H8" i="1"/>
  <c r="I8" i="1" s="1"/>
  <c r="J8" i="1" s="1"/>
  <c r="L8" i="1" s="1"/>
  <c r="H7" i="1"/>
  <c r="I7" i="1" s="1"/>
  <c r="J7" i="1" s="1"/>
  <c r="L7" i="1" s="1"/>
  <c r="H23" i="1"/>
  <c r="I23" i="1" s="1"/>
  <c r="J23" i="1" s="1"/>
  <c r="L23" i="1" s="1"/>
  <c r="Y23" i="1" s="1"/>
  <c r="H6" i="1"/>
  <c r="I6" i="1" s="1"/>
  <c r="J6" i="1" s="1"/>
  <c r="L6" i="1" s="1"/>
  <c r="H22" i="1"/>
  <c r="I22" i="1" s="1"/>
  <c r="J22" i="1" s="1"/>
  <c r="L22" i="1" s="1"/>
  <c r="H5" i="1"/>
  <c r="I5" i="1" s="1"/>
  <c r="J5" i="1" s="1"/>
  <c r="L5" i="1" s="1"/>
  <c r="H4" i="1"/>
  <c r="I4" i="1" s="1"/>
  <c r="G46" i="1"/>
  <c r="H46" i="1" s="1"/>
  <c r="X22" i="1" l="1"/>
  <c r="X26" i="1" s="1"/>
  <c r="L26" i="1"/>
  <c r="Q13" i="1"/>
  <c r="Q12" i="1"/>
  <c r="W13" i="1"/>
  <c r="X13" i="1" s="1"/>
  <c r="L13" i="1"/>
  <c r="Y33" i="1"/>
  <c r="Y34" i="1"/>
  <c r="Y36" i="1"/>
  <c r="Y37" i="1"/>
  <c r="Y38" i="1"/>
  <c r="Y39" i="1"/>
  <c r="Y44" i="1"/>
  <c r="W12" i="1"/>
  <c r="X12" i="1" s="1"/>
  <c r="L12" i="1"/>
  <c r="F54" i="1"/>
  <c r="Y41" i="1"/>
  <c r="Y35" i="1"/>
  <c r="Y42" i="1"/>
  <c r="Y43" i="1"/>
  <c r="Y45" i="1"/>
  <c r="T54" i="1"/>
  <c r="Y30" i="1"/>
  <c r="Q24" i="1"/>
  <c r="U48" i="1"/>
  <c r="H48" i="1"/>
  <c r="G48" i="1"/>
  <c r="G54" i="1" s="1"/>
  <c r="Q25" i="1"/>
  <c r="H19" i="1"/>
  <c r="W52" i="1"/>
  <c r="X51" i="1"/>
  <c r="X52" i="1" s="1"/>
  <c r="M47" i="1"/>
  <c r="O47" i="1" s="1"/>
  <c r="P47" i="1" s="1"/>
  <c r="Q47" i="1" s="1"/>
  <c r="W40" i="1"/>
  <c r="X40" i="1" s="1"/>
  <c r="Y40" i="1" s="1"/>
  <c r="R54" i="1"/>
  <c r="W18" i="1"/>
  <c r="W11" i="1"/>
  <c r="X11" i="1" s="1"/>
  <c r="Y11" i="1" s="1"/>
  <c r="L47" i="1"/>
  <c r="Y47" i="1" s="1"/>
  <c r="V48" i="1"/>
  <c r="S54" i="1"/>
  <c r="U19" i="1"/>
  <c r="V52" i="1"/>
  <c r="V19" i="1"/>
  <c r="J19" i="1"/>
  <c r="W10" i="1"/>
  <c r="X10" i="1" s="1"/>
  <c r="Y10" i="1" s="1"/>
  <c r="W5" i="1"/>
  <c r="X5" i="1" s="1"/>
  <c r="Y5" i="1" s="1"/>
  <c r="X7" i="1"/>
  <c r="Y7" i="1" s="1"/>
  <c r="X8" i="1"/>
  <c r="Y8" i="1" s="1"/>
  <c r="X9" i="1"/>
  <c r="Y9" i="1" s="1"/>
  <c r="X6" i="1"/>
  <c r="Y6" i="1" s="1"/>
  <c r="X14" i="1"/>
  <c r="Y14" i="1" s="1"/>
  <c r="W4" i="1"/>
  <c r="V15" i="1"/>
  <c r="U15" i="1"/>
  <c r="Y29" i="1"/>
  <c r="X31" i="1"/>
  <c r="Y31" i="1" s="1"/>
  <c r="I26" i="1"/>
  <c r="M26" i="1"/>
  <c r="Q23" i="1"/>
  <c r="O26" i="1"/>
  <c r="P22" i="1"/>
  <c r="M15" i="1"/>
  <c r="N54" i="1"/>
  <c r="M19" i="1"/>
  <c r="O19" i="1"/>
  <c r="M52" i="1"/>
  <c r="K54" i="1"/>
  <c r="P32" i="1"/>
  <c r="Q32" i="1" s="1"/>
  <c r="O36" i="1"/>
  <c r="P36" i="1" s="1"/>
  <c r="Q36" i="1" s="1"/>
  <c r="P34" i="1"/>
  <c r="Q34" i="1" s="1"/>
  <c r="O39" i="1"/>
  <c r="P39" i="1" s="1"/>
  <c r="Q39" i="1" s="1"/>
  <c r="O30" i="1"/>
  <c r="P30" i="1" s="1"/>
  <c r="Q30" i="1" s="1"/>
  <c r="O41" i="1"/>
  <c r="P41" i="1" s="1"/>
  <c r="Q41" i="1" s="1"/>
  <c r="P40" i="1"/>
  <c r="Q40" i="1" s="1"/>
  <c r="P35" i="1"/>
  <c r="Q35" i="1" s="1"/>
  <c r="O43" i="1"/>
  <c r="P43" i="1" s="1"/>
  <c r="Q43" i="1" s="1"/>
  <c r="O45" i="1"/>
  <c r="P45" i="1" s="1"/>
  <c r="Q45" i="1" s="1"/>
  <c r="O31" i="1"/>
  <c r="P31" i="1" s="1"/>
  <c r="Q31" i="1" s="1"/>
  <c r="O46" i="1"/>
  <c r="P46" i="1" s="1"/>
  <c r="O33" i="1"/>
  <c r="P33" i="1" s="1"/>
  <c r="Q33" i="1" s="1"/>
  <c r="P29" i="1"/>
  <c r="P37" i="1"/>
  <c r="Q37" i="1" s="1"/>
  <c r="P42" i="1"/>
  <c r="Q42" i="1" s="1"/>
  <c r="P38" i="1"/>
  <c r="Q38" i="1" s="1"/>
  <c r="P44" i="1"/>
  <c r="Q44" i="1" s="1"/>
  <c r="D54" i="1"/>
  <c r="I19" i="1"/>
  <c r="Q18" i="1"/>
  <c r="Q19" i="1" s="1"/>
  <c r="O6" i="1"/>
  <c r="O8" i="1"/>
  <c r="P8" i="1" s="1"/>
  <c r="Q8" i="1" s="1"/>
  <c r="P5" i="1"/>
  <c r="Q5" i="1" s="1"/>
  <c r="P7" i="1"/>
  <c r="Q7" i="1" s="1"/>
  <c r="O10" i="1"/>
  <c r="P10" i="1" s="1"/>
  <c r="Q10" i="1" s="1"/>
  <c r="O11" i="1"/>
  <c r="P11" i="1" s="1"/>
  <c r="Q11" i="1" s="1"/>
  <c r="O14" i="1"/>
  <c r="P14" i="1" s="1"/>
  <c r="Q14" i="1" s="1"/>
  <c r="P9" i="1"/>
  <c r="Q9" i="1" s="1"/>
  <c r="P4" i="1"/>
  <c r="P51" i="1"/>
  <c r="P52" i="1" s="1"/>
  <c r="I51" i="1"/>
  <c r="I15" i="1"/>
  <c r="I46" i="1"/>
  <c r="J46" i="1" s="1"/>
  <c r="L46" i="1" s="1"/>
  <c r="L48" i="1" s="1"/>
  <c r="J4" i="1"/>
  <c r="L4" i="1" s="1"/>
  <c r="Y22" i="1" l="1"/>
  <c r="Y26" i="1" s="1"/>
  <c r="Y13" i="1"/>
  <c r="Y12" i="1"/>
  <c r="L15" i="1"/>
  <c r="H54" i="1"/>
  <c r="M48" i="1"/>
  <c r="M54" i="1" s="1"/>
  <c r="W48" i="1"/>
  <c r="J48" i="1"/>
  <c r="X18" i="1"/>
  <c r="W19" i="1"/>
  <c r="U54" i="1"/>
  <c r="V54" i="1"/>
  <c r="Y46" i="1"/>
  <c r="X4" i="1"/>
  <c r="W15" i="1"/>
  <c r="W54" i="1" s="1"/>
  <c r="X48" i="1"/>
  <c r="Y48" i="1"/>
  <c r="P26" i="1"/>
  <c r="Q22" i="1"/>
  <c r="Q26" i="1" s="1"/>
  <c r="Q4" i="1"/>
  <c r="Q29" i="1"/>
  <c r="Q48" i="1" s="1"/>
  <c r="P48" i="1"/>
  <c r="P6" i="1"/>
  <c r="Q6" i="1" s="1"/>
  <c r="O15" i="1"/>
  <c r="O48" i="1"/>
  <c r="Q46" i="1"/>
  <c r="I48" i="1"/>
  <c r="Q51" i="1"/>
  <c r="Q52" i="1" s="1"/>
  <c r="J51" i="1"/>
  <c r="I52" i="1"/>
  <c r="Q15" i="1" l="1"/>
  <c r="L51" i="1"/>
  <c r="J52" i="1"/>
  <c r="J54" i="1" s="1"/>
  <c r="Y18" i="1"/>
  <c r="Y19" i="1" s="1"/>
  <c r="X19" i="1"/>
  <c r="Y4" i="1"/>
  <c r="Y15" i="1" s="1"/>
  <c r="X15" i="1"/>
  <c r="X54" i="1" s="1"/>
  <c r="O54" i="1"/>
  <c r="P15" i="1"/>
  <c r="P54" i="1" s="1"/>
  <c r="I54" i="1"/>
  <c r="Q54" i="1"/>
  <c r="L52" i="1" l="1"/>
  <c r="L54" i="1" s="1"/>
  <c r="Y51" i="1"/>
  <c r="Y52" i="1" s="1"/>
  <c r="Y54" i="1" s="1"/>
</calcChain>
</file>

<file path=xl/sharedStrings.xml><?xml version="1.0" encoding="utf-8"?>
<sst xmlns="http://schemas.openxmlformats.org/spreadsheetml/2006/main" count="108" uniqueCount="100">
  <si>
    <t>Laser Tunnel</t>
  </si>
  <si>
    <t>Part</t>
  </si>
  <si>
    <t>Shipping</t>
  </si>
  <si>
    <t>Sales Tax</t>
  </si>
  <si>
    <t>Source</t>
  </si>
  <si>
    <t>5V 5mW 650nm (red) dot laser diode</t>
  </si>
  <si>
    <t>https://www.amazon.com/gp/product/B00KF7MVI2</t>
  </si>
  <si>
    <t>https://www.amazon.com/gp/product/B071FT9HSV</t>
  </si>
  <si>
    <t>https://www.amazon.com/gp/product/B014Q7AVKG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</si>
  <si>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</si>
  <si>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</si>
  <si>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</si>
  <si>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</si>
  <si>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screw terminal block (2-pin)</t>
  </si>
  <si>
    <t>M4 hex nut</t>
  </si>
  <si>
    <t>M4x35mm machine screw</t>
  </si>
  <si>
    <t>12V power adapter</t>
  </si>
  <si>
    <t>https://www.amazon.com/gp/dp/B00FEOB4EI</t>
  </si>
  <si>
    <t>6-quart Sterilite container</t>
  </si>
  <si>
    <t>https://www.homedepot.com/p/Sterilite-6-Qt-Storage-Box-16426A60/308820126</t>
  </si>
  <si>
    <t>2.1mmx5.5mm DC barrel jack</t>
  </si>
  <si>
    <t>https://www.amazon.com/Adhesive-0-78inch-Diameter-Fastener-organizing/dp/B08CL1Y348</t>
  </si>
  <si>
    <t>pair of hook-and-loop dots</t>
  </si>
  <si>
    <t>10 kOhm trimpot</t>
  </si>
  <si>
    <t>Purchase Qty</t>
  </si>
  <si>
    <t>Cost</t>
  </si>
  <si>
    <t>Unit Cost</t>
  </si>
  <si>
    <t>Kit Cost</t>
  </si>
  <si>
    <t>Kit Qty</t>
  </si>
  <si>
    <t>Tariff</t>
  </si>
  <si>
    <t>2N3904 transistor</t>
  </si>
  <si>
    <t>1 kOhm resistor</t>
  </si>
  <si>
    <t>10 kOhm resistor</t>
  </si>
  <si>
    <t>DigiKey</t>
  </si>
  <si>
    <t>audio jack</t>
  </si>
  <si>
    <t>Amazon</t>
  </si>
  <si>
    <t>3D Printed Parts</t>
  </si>
  <si>
    <t>4-pin fan header</t>
  </si>
  <si>
    <t>push button switch</t>
  </si>
  <si>
    <t>Amazon Total:</t>
  </si>
  <si>
    <t>3D Printed Total:</t>
  </si>
  <si>
    <t>DigiKey Total:</t>
  </si>
  <si>
    <t>Grand Totals:</t>
  </si>
  <si>
    <t>PCBway</t>
  </si>
  <si>
    <t>PCBway Total:</t>
  </si>
  <si>
    <t>DFPlayer Mini</t>
  </si>
  <si>
    <t>https://www.amazon.com/dp/B07BDD8BF3</t>
  </si>
  <si>
    <t>PCB fabrication</t>
  </si>
  <si>
    <t>8-pin header socket for DFPlayer</t>
  </si>
  <si>
    <t>12-pin header socket for Pro Mini</t>
  </si>
  <si>
    <t>shunt jumper</t>
  </si>
  <si>
    <t>See Laser-Tunnel list on DigiKey</t>
  </si>
  <si>
    <t>Kits Needed:</t>
  </si>
  <si>
    <t>Extended Qty</t>
  </si>
  <si>
    <t>On Hand</t>
  </si>
  <si>
    <t>Qty Needed</t>
  </si>
  <si>
    <t>10 Ohm resistor</t>
  </si>
  <si>
    <t>1.2kOhm resistor</t>
  </si>
  <si>
    <t>2.2kOhm resistor</t>
  </si>
  <si>
    <t>5-pin header socket for optional outputs</t>
  </si>
  <si>
    <t>Schottky diode</t>
  </si>
  <si>
    <t>0.01uF capacitor</t>
  </si>
  <si>
    <t>Vendor</t>
  </si>
  <si>
    <t>Home Depot</t>
  </si>
  <si>
    <t>Home Depot Total:</t>
  </si>
  <si>
    <t>1" round mirror</t>
  </si>
  <si>
    <t>Estimated Cost</t>
  </si>
  <si>
    <t>Savings</t>
  </si>
  <si>
    <t>Note that the DigiKey price for many parts drops significantly when ordered in modest quantities, so actual cost may be several dollars lower per kit.</t>
  </si>
  <si>
    <t>Noctua NF-R8 redux-1800 fan</t>
  </si>
  <si>
    <t>M3x10mm machine screw</t>
  </si>
  <si>
    <t>M3 hex nut</t>
  </si>
  <si>
    <t>Original Price</t>
  </si>
  <si>
    <t>TB007-508-02BE</t>
  </si>
  <si>
    <t>PJ-102AH</t>
  </si>
  <si>
    <t>SJ1-3533NG</t>
  </si>
  <si>
    <t>2N3904 PBFREE</t>
  </si>
  <si>
    <t>CFR-25JB-52-1K</t>
  </si>
  <si>
    <t>CFR-25JB-52-10K</t>
  </si>
  <si>
    <t>CFR-25JB-52-10R</t>
  </si>
  <si>
    <t>CF1/4CT52R122J</t>
  </si>
  <si>
    <t>CF1/4CT52R222J</t>
  </si>
  <si>
    <t>TS01-66-73-BK-260-D</t>
  </si>
  <si>
    <t>PPTC081LFBN-RC</t>
  </si>
  <si>
    <t>PPTC121LFBN-RC</t>
  </si>
  <si>
    <t>PPTC051LFBN-RC</t>
  </si>
  <si>
    <t>QPC02SXGN-RC</t>
  </si>
  <si>
    <t>SB140TA</t>
  </si>
  <si>
    <t>K103K10X7RF53L2</t>
  </si>
  <si>
    <t>PT6KV-103A2020-PM</t>
  </si>
  <si>
    <t>Bundles</t>
  </si>
  <si>
    <t>Final Orders</t>
  </si>
  <si>
    <t>Quantity</t>
  </si>
  <si>
    <t>bracket (19g PLA)</t>
  </si>
  <si>
    <t>5 degree deflector (1g PLA)</t>
  </si>
  <si>
    <t>10 degree deflector (1g PLA)</t>
  </si>
  <si>
    <t>15 degree deflector (1g PLA)</t>
  </si>
  <si>
    <t>Actual cost of PLA filament was $26.99 plus $2.90 sales tax for a total of $29.89 for a kilogram, so 3D prints are priced as weight in grams times $0.03.</t>
  </si>
  <si>
    <t>Received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</si>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</sst>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3" fillId="0" borderId="0" xfId="2"/>
    <xf numFmtId="44" fontId="0" fillId="0" borderId="0" xfId="0" applyNumberFormat="1"/>
    <xf numFmtId="0" fontId="4" fillId="0" borderId="0" xfId="0" applyFont="1"/>
    <xf numFmtId="0" fontId="0" fillId="0" borderId="0" xfId="0" applyFont="1"/>
    <xf numFmtId="44" fontId="4" fillId="0" borderId="0" xfId="1" applyFont="1"/>
    <xf numFmtId="0" fontId="3" fillId="0" borderId="0" xfId="2" applyFont="1"/>
    <xf numFmtId="44" fontId="4" fillId="0" borderId="0" xfId="0" applyNumberFormat="1" applyFont="1"/>
    <xf numFmtId="0" fontId="4" fillId="0" borderId="0" xfId="0" applyNumberFormat="1" applyFont="1"/>
    <xf numFmtId="0" fontId="4" fillId="0" borderId="0" xfId="1" applyNumberFormat="1" applyFont="1"/>
    <xf numFmtId="0" fontId="5" fillId="0" borderId="0" xfId="0" applyFont="1"/>
    <xf numFmtId="0" fontId="2" fillId="0" borderId="0" xfId="0" applyFont="1" applyAlignment="1">
      <alignment vertical="center"/>
    </xf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2" xfId="0" applyFont="1" applyBorder="1"/>
    <xf numFmtId="0" fontId="4" fillId="0" borderId="0" xfId="0" applyFont="1" applyBorder="1"/>
    <xf numFmtId="1" fontId="4" fillId="0" borderId="0" xfId="1" applyNumberFormat="1" applyFont="1"/>
    <xf numFmtId="44" fontId="0" fillId="0" borderId="2" xfId="1" applyFont="1" applyBorder="1"/>
    <xf numFmtId="44" fontId="4" fillId="0" borderId="2" xfId="1" applyFont="1" applyBorder="1"/>
    <xf numFmtId="44" fontId="4" fillId="0" borderId="2" xfId="0" applyNumberFormat="1" applyFont="1" applyBorder="1"/>
    <xf numFmtId="0" fontId="4" fillId="0" borderId="2" xfId="1" applyNumberFormat="1" applyFont="1" applyBorder="1"/>
    <xf numFmtId="0" fontId="4" fillId="0" borderId="2" xfId="0" applyNumberFormat="1" applyFont="1" applyBorder="1"/>
    <xf numFmtId="0" fontId="0" fillId="0" borderId="2" xfId="0" applyFont="1" applyBorder="1"/>
    <xf numFmtId="0" fontId="0" fillId="0" borderId="0" xfId="0" applyAlignment="1">
      <alignment vertical="top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Sterilite-6-Qt-Storage-Box-16426A60/308820126" TargetMode="External"/><Relationship Id="rId2" Type="http://schemas.openxmlformats.org/officeDocument/2006/relationships/hyperlink" Target="https://www.amazon.com/dp/B07BDD8BF3" TargetMode="External"/><Relationship Id="rId1" Type="http://schemas.openxmlformats.org/officeDocument/2006/relationships/hyperlink" Target="https://www.amazon.com/gp/product/B071FT9HS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Z5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2" sqref="G22:G25"/>
    </sheetView>
  </sheetViews>
  <sheetFormatPr defaultRowHeight="14.6" x14ac:dyDescent="0.4"/>
  <cols>
    <col min="1" max="1" width="10.3828125" customWidth="1"/>
    <col min="2" max="2" width="25.3046875" customWidth="1"/>
    <col min="3" max="3" width="7.3046875" customWidth="1"/>
    <col min="4" max="4" width="12.23046875" customWidth="1"/>
    <col min="5" max="5" width="11.3828125" customWidth="1"/>
    <col min="6" max="7" width="8.69140625" customWidth="1"/>
    <col min="8" max="8" width="9.3046875" customWidth="1"/>
    <col min="9" max="9" width="9.23046875" customWidth="1"/>
    <col min="11" max="11" width="8.3046875" customWidth="1"/>
    <col min="12" max="12" width="10.53515625" customWidth="1"/>
    <col min="13" max="13" width="12.23046875" customWidth="1"/>
    <col min="15" max="15" width="11" customWidth="1"/>
    <col min="16" max="16" width="8.61328125" customWidth="1"/>
    <col min="17" max="17" width="14" customWidth="1"/>
    <col min="18" max="18" width="8.4609375" customWidth="1"/>
    <col min="19" max="19" width="10.4609375" customWidth="1"/>
    <col min="20" max="20" width="9" customWidth="1"/>
    <col min="21" max="21" width="9.4609375" customWidth="1"/>
    <col min="22" max="22" width="10.765625" customWidth="1"/>
    <col min="23" max="23" width="10" customWidth="1"/>
    <col min="24" max="24" width="10.53515625" customWidth="1"/>
  </cols>
  <sheetData>
    <row r="1" spans="1:26" x14ac:dyDescent="0.4">
      <c r="A1" s="4" t="s">
        <v>0</v>
      </c>
      <c r="D1" s="15"/>
      <c r="M1" s="17" t="s">
        <v>52</v>
      </c>
      <c r="N1" s="18">
        <v>20</v>
      </c>
      <c r="R1" s="17" t="s">
        <v>91</v>
      </c>
      <c r="Z1" s="17"/>
    </row>
    <row r="2" spans="1:26" s="14" customFormat="1" ht="15" thickBot="1" x14ac:dyDescent="0.45">
      <c r="A2" s="14" t="s">
        <v>62</v>
      </c>
      <c r="B2" s="14" t="s">
        <v>1</v>
      </c>
      <c r="C2" s="14" t="s">
        <v>4</v>
      </c>
      <c r="D2" s="16" t="s">
        <v>72</v>
      </c>
      <c r="E2" s="14" t="s">
        <v>24</v>
      </c>
      <c r="F2" s="14" t="s">
        <v>2</v>
      </c>
      <c r="G2" s="14" t="s">
        <v>29</v>
      </c>
      <c r="H2" s="14" t="s">
        <v>3</v>
      </c>
      <c r="I2" s="14" t="s">
        <v>25</v>
      </c>
      <c r="J2" s="14" t="s">
        <v>26</v>
      </c>
      <c r="K2" s="14" t="s">
        <v>28</v>
      </c>
      <c r="L2" s="14" t="s">
        <v>27</v>
      </c>
      <c r="M2" s="16" t="s">
        <v>53</v>
      </c>
      <c r="N2" s="14" t="s">
        <v>54</v>
      </c>
      <c r="O2" s="14" t="s">
        <v>55</v>
      </c>
      <c r="P2" s="14" t="s">
        <v>90</v>
      </c>
      <c r="Q2" s="14" t="s">
        <v>66</v>
      </c>
      <c r="R2" s="16" t="s">
        <v>92</v>
      </c>
      <c r="S2" s="14" t="s">
        <v>99</v>
      </c>
      <c r="T2" s="14" t="s">
        <v>29</v>
      </c>
      <c r="U2" s="14" t="s">
        <v>3</v>
      </c>
      <c r="V2" s="14" t="s">
        <v>25</v>
      </c>
      <c r="W2" s="14" t="s">
        <v>26</v>
      </c>
      <c r="X2" s="14" t="s">
        <v>27</v>
      </c>
      <c r="Y2" s="14" t="s">
        <v>67</v>
      </c>
      <c r="Z2" s="16" t="s">
        <v>98</v>
      </c>
    </row>
    <row r="3" spans="1:26" ht="15" thickTop="1" x14ac:dyDescent="0.4">
      <c r="A3" s="4" t="s">
        <v>35</v>
      </c>
      <c r="D3" s="15"/>
      <c r="M3" s="15"/>
      <c r="R3" s="15"/>
      <c r="Z3" s="15"/>
    </row>
    <row r="4" spans="1:26" x14ac:dyDescent="0.4">
      <c r="B4" s="12" t="s">
        <v>69</v>
      </c>
      <c r="C4" t="s">
        <v>6</v>
      </c>
      <c r="D4" s="20">
        <v>9.9499999999999993</v>
      </c>
      <c r="E4">
        <v>1</v>
      </c>
      <c r="F4" s="1">
        <v>0</v>
      </c>
      <c r="G4" s="1">
        <v>0</v>
      </c>
      <c r="H4" s="3">
        <f>(D4+F4+G4)*0.1075</f>
        <v>1.0696249999999998</v>
      </c>
      <c r="I4" s="3">
        <f t="shared" ref="I4:I14" si="0">D4+F4+H4</f>
        <v>11.019625</v>
      </c>
      <c r="J4" s="3">
        <f t="shared" ref="J4:J14" si="1">I4/E4</f>
        <v>11.019625</v>
      </c>
      <c r="K4">
        <v>1</v>
      </c>
      <c r="L4" s="3">
        <f t="shared" ref="L4:L14" si="2">J4*K4</f>
        <v>11.019625</v>
      </c>
      <c r="M4" s="15">
        <f>$N$1*K4</f>
        <v>20</v>
      </c>
      <c r="N4">
        <v>1</v>
      </c>
      <c r="O4">
        <f>MAX(0, M4-N4)</f>
        <v>19</v>
      </c>
      <c r="P4">
        <f>_xlfn.CEILING.MATH(O4/E4)</f>
        <v>19</v>
      </c>
      <c r="Q4" s="3">
        <f>P4*I4</f>
        <v>209.37287499999999</v>
      </c>
      <c r="R4" s="15">
        <v>19</v>
      </c>
      <c r="S4" s="1">
        <v>189.05</v>
      </c>
      <c r="T4" s="1">
        <v>0</v>
      </c>
      <c r="U4" s="3">
        <f>ROUND(S4*0.1075, 2)</f>
        <v>20.32</v>
      </c>
      <c r="V4" s="3">
        <f>SUM(S4:U4)</f>
        <v>209.37</v>
      </c>
      <c r="W4" s="3">
        <f>IF((R4&gt;0), V4/R4, J4)</f>
        <v>11.019473684210526</v>
      </c>
      <c r="X4" s="3">
        <f>K4*W4</f>
        <v>11.019473684210526</v>
      </c>
      <c r="Y4" s="3">
        <f>L4-X4</f>
        <v>1.513157894734718E-4</v>
      </c>
      <c r="Z4" s="15"/>
    </row>
    <row r="5" spans="1:26" x14ac:dyDescent="0.4">
      <c r="B5" t="s">
        <v>5</v>
      </c>
      <c r="C5" s="2" t="s">
        <v>7</v>
      </c>
      <c r="D5" s="20">
        <v>5.99</v>
      </c>
      <c r="E5">
        <v>10</v>
      </c>
      <c r="F5" s="1">
        <v>0</v>
      </c>
      <c r="G5" s="1">
        <v>0</v>
      </c>
      <c r="H5" s="3">
        <f t="shared" ref="H5:H14" si="3">(D5+F5+G5)*0.1075</f>
        <v>0.64392499999999997</v>
      </c>
      <c r="I5" s="3">
        <f t="shared" si="0"/>
        <v>6.6339250000000005</v>
      </c>
      <c r="J5" s="3">
        <f t="shared" si="1"/>
        <v>0.66339250000000005</v>
      </c>
      <c r="K5">
        <v>1</v>
      </c>
      <c r="L5" s="3">
        <f t="shared" si="2"/>
        <v>0.66339250000000005</v>
      </c>
      <c r="M5" s="15">
        <f>$N$1*K5</f>
        <v>20</v>
      </c>
      <c r="N5">
        <v>8</v>
      </c>
      <c r="O5">
        <f t="shared" ref="O5:O14" si="4">MAX(0, M5-N5)</f>
        <v>12</v>
      </c>
      <c r="P5">
        <f>_xlfn.CEILING.MATH(O5/E5)</f>
        <v>2</v>
      </c>
      <c r="Q5" s="3">
        <f>P5*I5</f>
        <v>13.267850000000001</v>
      </c>
      <c r="R5" s="15">
        <v>20</v>
      </c>
      <c r="S5" s="1">
        <v>12.58</v>
      </c>
      <c r="T5" s="1">
        <v>0</v>
      </c>
      <c r="U5" s="3">
        <f t="shared" ref="U5:U14" si="5">ROUND(S5*0.1075, 2)</f>
        <v>1.35</v>
      </c>
      <c r="V5" s="3">
        <f t="shared" ref="V5:V14" si="6">SUM(S5:U5)</f>
        <v>13.93</v>
      </c>
      <c r="W5" s="3">
        <f>IF((R5&gt;0), V5/R5, J5)</f>
        <v>0.69650000000000001</v>
      </c>
      <c r="X5" s="3">
        <f>K5*W5</f>
        <v>0.69650000000000001</v>
      </c>
      <c r="Y5" s="3">
        <f>L5-X5</f>
        <v>-3.3107499999999956E-2</v>
      </c>
      <c r="Z5" s="15"/>
    </row>
    <row r="6" spans="1:26" x14ac:dyDescent="0.4">
      <c r="B6" t="s">
        <v>65</v>
      </c>
      <c r="C6" t="s">
        <v>8</v>
      </c>
      <c r="D6" s="20">
        <v>7.99</v>
      </c>
      <c r="E6">
        <v>50</v>
      </c>
      <c r="F6" s="1">
        <v>0</v>
      </c>
      <c r="G6" s="1">
        <v>0</v>
      </c>
      <c r="H6" s="3">
        <f t="shared" si="3"/>
        <v>0.85892500000000005</v>
      </c>
      <c r="I6" s="3">
        <f t="shared" si="0"/>
        <v>8.8489249999999995</v>
      </c>
      <c r="J6" s="3">
        <f t="shared" si="1"/>
        <v>0.17697849999999998</v>
      </c>
      <c r="K6">
        <v>3</v>
      </c>
      <c r="L6" s="3">
        <f t="shared" si="2"/>
        <v>0.5309355</v>
      </c>
      <c r="M6" s="15">
        <f>$N$1*K6</f>
        <v>60</v>
      </c>
      <c r="N6">
        <v>50</v>
      </c>
      <c r="O6">
        <f t="shared" si="4"/>
        <v>10</v>
      </c>
      <c r="P6">
        <f>_xlfn.CEILING.MATH(O6/E6)</f>
        <v>1</v>
      </c>
      <c r="Q6" s="3">
        <f>P6*I6</f>
        <v>8.8489249999999995</v>
      </c>
      <c r="R6" s="15">
        <v>50</v>
      </c>
      <c r="S6" s="1">
        <v>7.99</v>
      </c>
      <c r="T6" s="1">
        <v>0</v>
      </c>
      <c r="U6" s="3">
        <f t="shared" si="5"/>
        <v>0.86</v>
      </c>
      <c r="V6" s="3">
        <f t="shared" si="6"/>
        <v>8.85</v>
      </c>
      <c r="W6" s="3">
        <f>IF((R6&gt;0), V6/R6, J6)</f>
        <v>0.17699999999999999</v>
      </c>
      <c r="X6" s="3">
        <f>K6*W6</f>
        <v>0.53099999999999992</v>
      </c>
      <c r="Y6" s="3">
        <f>L6-X6</f>
        <v>-6.449999999991185E-5</v>
      </c>
      <c r="Z6" s="15"/>
    </row>
    <row r="7" spans="1:26" x14ac:dyDescent="0.4">
      <c r="B7" t="s">
        <v>22</v>
      </c>
      <c r="C7" t="s">
        <v>21</v>
      </c>
      <c r="D7" s="20">
        <v>5.99</v>
      </c>
      <c r="E7">
        <v>150</v>
      </c>
      <c r="F7" s="1">
        <v>0</v>
      </c>
      <c r="G7" s="1">
        <v>0</v>
      </c>
      <c r="H7" s="3">
        <f t="shared" si="3"/>
        <v>0.64392499999999997</v>
      </c>
      <c r="I7" s="3">
        <f t="shared" si="0"/>
        <v>6.6339250000000005</v>
      </c>
      <c r="J7" s="3">
        <f t="shared" si="1"/>
        <v>4.4226166666666671E-2</v>
      </c>
      <c r="K7">
        <v>3</v>
      </c>
      <c r="L7" s="3">
        <f t="shared" si="2"/>
        <v>0.1326785</v>
      </c>
      <c r="M7" s="15">
        <f>$N$1*K7</f>
        <v>60</v>
      </c>
      <c r="N7">
        <v>0</v>
      </c>
      <c r="O7">
        <f t="shared" si="4"/>
        <v>60</v>
      </c>
      <c r="P7">
        <f>_xlfn.CEILING.MATH(O7/E7)</f>
        <v>1</v>
      </c>
      <c r="Q7" s="3">
        <f>P7*I7</f>
        <v>6.6339250000000005</v>
      </c>
      <c r="R7" s="15">
        <v>150</v>
      </c>
      <c r="S7" s="1">
        <v>5.99</v>
      </c>
      <c r="T7" s="1">
        <v>0</v>
      </c>
      <c r="U7" s="3">
        <f t="shared" si="5"/>
        <v>0.64</v>
      </c>
      <c r="V7" s="3">
        <f t="shared" si="6"/>
        <v>6.63</v>
      </c>
      <c r="W7" s="3">
        <f>IF((R7&gt;0), V7/R7, J7)</f>
        <v>4.4199999999999996E-2</v>
      </c>
      <c r="X7" s="3">
        <f>K7*W7</f>
        <v>0.1326</v>
      </c>
      <c r="Y7" s="3">
        <f>L7-X7</f>
        <v>7.8500000000009118E-5</v>
      </c>
      <c r="Z7" s="15"/>
    </row>
    <row r="8" spans="1:26" x14ac:dyDescent="0.4">
      <c r="B8" t="s">
        <v>10</v>
      </c>
      <c r="C8" t="s">
        <v>9</v>
      </c>
      <c r="D8" s="20">
        <v>18.989999999999998</v>
      </c>
      <c r="E8">
        <v>3</v>
      </c>
      <c r="F8" s="1">
        <v>0</v>
      </c>
      <c r="G8" s="1">
        <v>0</v>
      </c>
      <c r="H8" s="3">
        <f t="shared" si="3"/>
        <v>2.0414249999999998</v>
      </c>
      <c r="I8" s="3">
        <f t="shared" si="0"/>
        <v>21.031424999999999</v>
      </c>
      <c r="J8" s="3">
        <f t="shared" si="1"/>
        <v>7.0104749999999996</v>
      </c>
      <c r="K8">
        <v>1</v>
      </c>
      <c r="L8" s="3">
        <f t="shared" si="2"/>
        <v>7.0104749999999996</v>
      </c>
      <c r="M8" s="15">
        <f>$N$1*K8</f>
        <v>20</v>
      </c>
      <c r="N8">
        <v>3</v>
      </c>
      <c r="O8">
        <f t="shared" si="4"/>
        <v>17</v>
      </c>
      <c r="P8">
        <f>_xlfn.CEILING.MATH(O8/E8)</f>
        <v>6</v>
      </c>
      <c r="Q8" s="3">
        <f>P8*I8</f>
        <v>126.18854999999999</v>
      </c>
      <c r="R8" s="15">
        <v>18</v>
      </c>
      <c r="S8" s="1">
        <v>116.94</v>
      </c>
      <c r="T8" s="1">
        <v>0</v>
      </c>
      <c r="U8" s="3">
        <f t="shared" si="5"/>
        <v>12.57</v>
      </c>
      <c r="V8" s="3">
        <f t="shared" si="6"/>
        <v>129.51</v>
      </c>
      <c r="W8" s="3">
        <f>IF((R8&gt;0), V8/R8, J8)</f>
        <v>7.1949999999999994</v>
      </c>
      <c r="X8" s="3">
        <f>K8*W8</f>
        <v>7.1949999999999994</v>
      </c>
      <c r="Y8" s="3">
        <f>L8-X8</f>
        <v>-0.18452499999999983</v>
      </c>
      <c r="Z8" s="15"/>
    </row>
    <row r="9" spans="1:26" x14ac:dyDescent="0.4">
      <c r="B9" t="s">
        <v>45</v>
      </c>
      <c r="C9" s="2" t="s">
        <v>46</v>
      </c>
      <c r="D9" s="20">
        <v>12.99</v>
      </c>
      <c r="E9">
        <v>5</v>
      </c>
      <c r="F9" s="1">
        <v>0</v>
      </c>
      <c r="G9" s="1">
        <v>0</v>
      </c>
      <c r="H9" s="3">
        <f t="shared" si="3"/>
        <v>1.396425</v>
      </c>
      <c r="I9" s="3">
        <f t="shared" si="0"/>
        <v>14.386425000000001</v>
      </c>
      <c r="J9" s="3">
        <f t="shared" si="1"/>
        <v>2.8772850000000001</v>
      </c>
      <c r="K9">
        <v>1</v>
      </c>
      <c r="L9" s="3">
        <f t="shared" si="2"/>
        <v>2.8772850000000001</v>
      </c>
      <c r="M9" s="15">
        <f>$N$1*K9</f>
        <v>20</v>
      </c>
      <c r="N9">
        <v>6</v>
      </c>
      <c r="O9">
        <f t="shared" si="4"/>
        <v>14</v>
      </c>
      <c r="P9">
        <f>_xlfn.CEILING.MATH(O9/E9)</f>
        <v>3</v>
      </c>
      <c r="Q9" s="3">
        <f>P9*I9</f>
        <v>43.159275000000001</v>
      </c>
      <c r="R9" s="15">
        <v>15</v>
      </c>
      <c r="S9" s="1">
        <v>37.47</v>
      </c>
      <c r="T9" s="1">
        <v>0</v>
      </c>
      <c r="U9" s="3">
        <f t="shared" si="5"/>
        <v>4.03</v>
      </c>
      <c r="V9" s="3">
        <f t="shared" si="6"/>
        <v>41.5</v>
      </c>
      <c r="W9" s="3">
        <f>IF((R9&gt;0), V9/R9, J9)</f>
        <v>2.7666666666666666</v>
      </c>
      <c r="X9" s="3">
        <f>K9*W9</f>
        <v>2.7666666666666666</v>
      </c>
      <c r="Y9" s="3">
        <f>L9-X9</f>
        <v>0.11061833333333349</v>
      </c>
      <c r="Z9" s="15"/>
    </row>
    <row r="10" spans="1:26" x14ac:dyDescent="0.4">
      <c r="B10" t="s">
        <v>15</v>
      </c>
      <c r="C10" t="s">
        <v>11</v>
      </c>
      <c r="D10" s="20">
        <v>14.49</v>
      </c>
      <c r="E10">
        <v>60</v>
      </c>
      <c r="F10" s="1">
        <v>0</v>
      </c>
      <c r="G10" s="1">
        <v>0</v>
      </c>
      <c r="H10" s="3">
        <f t="shared" si="3"/>
        <v>1.5576749999999999</v>
      </c>
      <c r="I10" s="3">
        <f t="shared" si="0"/>
        <v>16.047675000000002</v>
      </c>
      <c r="J10" s="3">
        <f t="shared" si="1"/>
        <v>0.26746125000000004</v>
      </c>
      <c r="K10">
        <v>2</v>
      </c>
      <c r="L10" s="3">
        <f t="shared" si="2"/>
        <v>0.53492250000000008</v>
      </c>
      <c r="M10" s="15">
        <f>$N$1*K10</f>
        <v>40</v>
      </c>
      <c r="N10">
        <v>60</v>
      </c>
      <c r="O10">
        <f t="shared" si="4"/>
        <v>0</v>
      </c>
      <c r="P10">
        <f>_xlfn.CEILING.MATH(O10/E10)</f>
        <v>0</v>
      </c>
      <c r="Q10" s="3">
        <f>P10*I10</f>
        <v>0</v>
      </c>
      <c r="R10" s="15">
        <v>0</v>
      </c>
      <c r="S10" s="1">
        <v>0</v>
      </c>
      <c r="T10" s="1">
        <v>0</v>
      </c>
      <c r="U10" s="3">
        <f t="shared" si="5"/>
        <v>0</v>
      </c>
      <c r="V10" s="3">
        <f t="shared" si="6"/>
        <v>0</v>
      </c>
      <c r="W10" s="3">
        <f>IF((R10&gt;0), V10/R10, J10)</f>
        <v>0.26746125000000004</v>
      </c>
      <c r="X10" s="3">
        <f>K10*W10</f>
        <v>0.53492250000000008</v>
      </c>
      <c r="Y10" s="3">
        <f>L10-X10</f>
        <v>0</v>
      </c>
      <c r="Z10" s="15"/>
    </row>
    <row r="11" spans="1:26" x14ac:dyDescent="0.4">
      <c r="B11" t="s">
        <v>14</v>
      </c>
      <c r="C11" t="s">
        <v>12</v>
      </c>
      <c r="D11" s="20">
        <v>7.49</v>
      </c>
      <c r="E11">
        <v>50</v>
      </c>
      <c r="F11" s="1">
        <v>0</v>
      </c>
      <c r="G11" s="1">
        <v>0</v>
      </c>
      <c r="H11" s="3">
        <f t="shared" si="3"/>
        <v>0.80517499999999997</v>
      </c>
      <c r="I11" s="3">
        <f t="shared" si="0"/>
        <v>8.2951750000000004</v>
      </c>
      <c r="J11" s="3">
        <f t="shared" si="1"/>
        <v>0.16590350000000001</v>
      </c>
      <c r="K11">
        <v>2</v>
      </c>
      <c r="L11" s="3">
        <f t="shared" si="2"/>
        <v>0.33180700000000002</v>
      </c>
      <c r="M11" s="15">
        <f>$N$1*K11</f>
        <v>40</v>
      </c>
      <c r="N11">
        <v>50</v>
      </c>
      <c r="O11">
        <f t="shared" si="4"/>
        <v>0</v>
      </c>
      <c r="P11">
        <f>_xlfn.CEILING.MATH(O11/E11)</f>
        <v>0</v>
      </c>
      <c r="Q11" s="3">
        <f>P11*I11</f>
        <v>0</v>
      </c>
      <c r="R11" s="15">
        <v>0</v>
      </c>
      <c r="S11" s="1">
        <v>0</v>
      </c>
      <c r="T11" s="1">
        <v>0</v>
      </c>
      <c r="U11" s="3">
        <f t="shared" si="5"/>
        <v>0</v>
      </c>
      <c r="V11" s="3">
        <f t="shared" si="6"/>
        <v>0</v>
      </c>
      <c r="W11" s="3">
        <f>IF((R11&gt;0), V11/R11, J11)</f>
        <v>0.16590350000000001</v>
      </c>
      <c r="X11" s="3">
        <f>K11*W11</f>
        <v>0.33180700000000002</v>
      </c>
      <c r="Y11" s="3">
        <f>L11-X11</f>
        <v>0</v>
      </c>
      <c r="Z11" s="15"/>
    </row>
    <row r="12" spans="1:26" x14ac:dyDescent="0.4">
      <c r="B12" t="s">
        <v>70</v>
      </c>
      <c r="C12" t="s">
        <v>11</v>
      </c>
      <c r="D12" s="20">
        <v>10.49</v>
      </c>
      <c r="E12">
        <v>100</v>
      </c>
      <c r="F12" s="1">
        <v>0</v>
      </c>
      <c r="G12" s="1">
        <v>0</v>
      </c>
      <c r="H12" s="3">
        <f t="shared" ref="H12:H13" si="7">(D12+F12+G12)*0.1075</f>
        <v>1.127675</v>
      </c>
      <c r="I12" s="3">
        <f t="shared" ref="I12:I13" si="8">D12+F12+H12</f>
        <v>11.617675</v>
      </c>
      <c r="J12" s="3">
        <f t="shared" ref="J12:J13" si="9">I12/E12</f>
        <v>0.11617675</v>
      </c>
      <c r="K12">
        <v>3</v>
      </c>
      <c r="L12" s="3">
        <f t="shared" ref="L12:L13" si="10">J12*K12</f>
        <v>0.34853024999999999</v>
      </c>
      <c r="M12" s="15">
        <f>$N$1*K12</f>
        <v>60</v>
      </c>
      <c r="N12">
        <v>0</v>
      </c>
      <c r="O12">
        <f t="shared" ref="O12:O13" si="11">MAX(0, M12-N12)</f>
        <v>60</v>
      </c>
      <c r="P12">
        <f>_xlfn.CEILING.MATH(O12/E12)</f>
        <v>1</v>
      </c>
      <c r="Q12" s="3">
        <f>P12*I12</f>
        <v>11.617675</v>
      </c>
      <c r="R12" s="15">
        <v>100</v>
      </c>
      <c r="S12" s="1">
        <v>10.49</v>
      </c>
      <c r="T12" s="1">
        <v>0</v>
      </c>
      <c r="U12" s="3">
        <f t="shared" ref="U12:U13" si="12">ROUND(S12*0.1075, 2)</f>
        <v>1.1299999999999999</v>
      </c>
      <c r="V12" s="3">
        <f t="shared" ref="V12:V13" si="13">SUM(S12:U12)</f>
        <v>11.620000000000001</v>
      </c>
      <c r="W12" s="3">
        <f>IF((R12&gt;0), V12/R12, J12)</f>
        <v>0.11620000000000001</v>
      </c>
      <c r="X12" s="3">
        <f>K12*W12</f>
        <v>0.34860000000000002</v>
      </c>
      <c r="Y12" s="3">
        <f>L12-X12</f>
        <v>-6.9750000000035062E-5</v>
      </c>
      <c r="Z12" s="15"/>
    </row>
    <row r="13" spans="1:26" x14ac:dyDescent="0.4">
      <c r="B13" t="s">
        <v>71</v>
      </c>
      <c r="C13" t="s">
        <v>12</v>
      </c>
      <c r="D13" s="20">
        <v>6.98</v>
      </c>
      <c r="E13">
        <v>100</v>
      </c>
      <c r="F13" s="1">
        <v>0</v>
      </c>
      <c r="G13" s="1">
        <v>0</v>
      </c>
      <c r="H13" s="3">
        <f t="shared" si="7"/>
        <v>0.75035000000000007</v>
      </c>
      <c r="I13" s="3">
        <f t="shared" si="8"/>
        <v>7.7303500000000005</v>
      </c>
      <c r="J13" s="3">
        <f t="shared" si="9"/>
        <v>7.7303500000000011E-2</v>
      </c>
      <c r="K13">
        <v>3</v>
      </c>
      <c r="L13" s="3">
        <f t="shared" si="10"/>
        <v>0.23191050000000002</v>
      </c>
      <c r="M13" s="15">
        <f>$N$1*K13</f>
        <v>60</v>
      </c>
      <c r="N13">
        <v>0</v>
      </c>
      <c r="O13">
        <f t="shared" si="11"/>
        <v>60</v>
      </c>
      <c r="P13">
        <f>_xlfn.CEILING.MATH(O13/E13)</f>
        <v>1</v>
      </c>
      <c r="Q13" s="3">
        <f>P13*I13</f>
        <v>7.7303500000000005</v>
      </c>
      <c r="R13" s="15">
        <v>100</v>
      </c>
      <c r="S13" s="1">
        <v>6.98</v>
      </c>
      <c r="T13" s="1">
        <v>0</v>
      </c>
      <c r="U13" s="3">
        <f t="shared" si="12"/>
        <v>0.75</v>
      </c>
      <c r="V13" s="3">
        <f t="shared" si="13"/>
        <v>7.73</v>
      </c>
      <c r="W13" s="3">
        <f>IF((R13&gt;0), V13/R13, J13)</f>
        <v>7.7300000000000008E-2</v>
      </c>
      <c r="X13" s="3">
        <f>K13*W13</f>
        <v>0.23190000000000002</v>
      </c>
      <c r="Y13" s="3">
        <f>L13-X13</f>
        <v>1.0499999999996623E-5</v>
      </c>
      <c r="Z13" s="15"/>
    </row>
    <row r="14" spans="1:26" x14ac:dyDescent="0.4">
      <c r="B14" t="s">
        <v>16</v>
      </c>
      <c r="C14" t="s">
        <v>17</v>
      </c>
      <c r="D14" s="20">
        <v>18.989999999999998</v>
      </c>
      <c r="E14">
        <v>5</v>
      </c>
      <c r="F14" s="1">
        <v>0</v>
      </c>
      <c r="G14" s="1">
        <v>0</v>
      </c>
      <c r="H14" s="3">
        <f t="shared" si="3"/>
        <v>2.0414249999999998</v>
      </c>
      <c r="I14" s="3">
        <f t="shared" si="0"/>
        <v>21.031424999999999</v>
      </c>
      <c r="J14" s="3">
        <f t="shared" si="1"/>
        <v>4.2062849999999994</v>
      </c>
      <c r="K14">
        <v>1</v>
      </c>
      <c r="L14" s="3">
        <f t="shared" si="2"/>
        <v>4.2062849999999994</v>
      </c>
      <c r="M14" s="15">
        <f>$N$1*K14</f>
        <v>20</v>
      </c>
      <c r="N14">
        <v>0</v>
      </c>
      <c r="O14">
        <f t="shared" si="4"/>
        <v>20</v>
      </c>
      <c r="P14">
        <f>_xlfn.CEILING.MATH(O14/E14)</f>
        <v>4</v>
      </c>
      <c r="Q14" s="3">
        <f>P14*I14</f>
        <v>84.125699999999995</v>
      </c>
      <c r="R14" s="15">
        <v>20</v>
      </c>
      <c r="S14" s="1">
        <v>79.959999999999994</v>
      </c>
      <c r="T14" s="1">
        <v>0</v>
      </c>
      <c r="U14" s="3">
        <f t="shared" si="5"/>
        <v>8.6</v>
      </c>
      <c r="V14" s="3">
        <f t="shared" si="6"/>
        <v>88.559999999999988</v>
      </c>
      <c r="W14" s="3">
        <f>IF((R14&gt;0), V14/R14, J14)</f>
        <v>4.427999999999999</v>
      </c>
      <c r="X14" s="3">
        <f>K14*W14</f>
        <v>4.427999999999999</v>
      </c>
      <c r="Y14" s="3">
        <f>L14-X14</f>
        <v>-0.22171499999999966</v>
      </c>
      <c r="Z14" s="15"/>
    </row>
    <row r="15" spans="1:26" x14ac:dyDescent="0.4">
      <c r="A15" s="4" t="s">
        <v>39</v>
      </c>
      <c r="C15" s="2"/>
      <c r="D15" s="21">
        <f>SUM(D4:D14)</f>
        <v>120.33999999999999</v>
      </c>
      <c r="H15" s="3"/>
      <c r="I15" s="6">
        <f>SUM(I4:I14)</f>
        <v>133.27654999999999</v>
      </c>
      <c r="J15" s="3"/>
      <c r="K15" s="10">
        <f>SUM(K4:K14)</f>
        <v>21</v>
      </c>
      <c r="L15" s="6">
        <f>SUM(L4:L14)</f>
        <v>27.887846750000001</v>
      </c>
      <c r="M15" s="23">
        <f>SUM(M4:M14)</f>
        <v>420</v>
      </c>
      <c r="N15" s="10">
        <f>SUM(N4:N14)</f>
        <v>178</v>
      </c>
      <c r="O15" s="10">
        <f>SUM(O4:O14)</f>
        <v>272</v>
      </c>
      <c r="P15" s="10">
        <f>SUM(P4:P14)</f>
        <v>38</v>
      </c>
      <c r="Q15" s="6">
        <f>SUM(Q4:Q14)</f>
        <v>510.94512500000002</v>
      </c>
      <c r="R15" s="23">
        <f>SUM(R4:R14)</f>
        <v>492</v>
      </c>
      <c r="S15" s="6">
        <f>SUM(S4:S14)</f>
        <v>467.4500000000001</v>
      </c>
      <c r="T15" s="6">
        <f>SUM(T4:T14)</f>
        <v>0</v>
      </c>
      <c r="U15" s="6">
        <f>SUM(U4:U14)</f>
        <v>50.250000000000007</v>
      </c>
      <c r="V15" s="6">
        <f>SUM(V4:V14)</f>
        <v>517.69999999999993</v>
      </c>
      <c r="W15" s="6">
        <f>SUM(W4:W14)</f>
        <v>26.953705100877187</v>
      </c>
      <c r="X15" s="6">
        <f>SUM(X4:X14)</f>
        <v>28.216469850877196</v>
      </c>
      <c r="Y15" s="6">
        <f>SUM(Y4:Y14)</f>
        <v>-0.32862310087719243</v>
      </c>
      <c r="Z15" s="15"/>
    </row>
    <row r="16" spans="1:26" x14ac:dyDescent="0.4">
      <c r="B16" s="4"/>
      <c r="C16" s="2"/>
      <c r="D16" s="21"/>
      <c r="H16" s="3"/>
      <c r="I16" s="6"/>
      <c r="J16" s="3"/>
      <c r="K16" s="10"/>
      <c r="L16" s="6"/>
      <c r="M16" s="15"/>
      <c r="Q16" s="6"/>
      <c r="R16" s="15"/>
      <c r="Z16" s="15"/>
    </row>
    <row r="17" spans="1:26" x14ac:dyDescent="0.4">
      <c r="A17" s="4" t="s">
        <v>63</v>
      </c>
      <c r="D17" s="15"/>
      <c r="M17" s="15"/>
      <c r="R17" s="15"/>
      <c r="Z17" s="15"/>
    </row>
    <row r="18" spans="1:26" x14ac:dyDescent="0.4">
      <c r="B18" t="s">
        <v>18</v>
      </c>
      <c r="C18" s="2" t="s">
        <v>19</v>
      </c>
      <c r="D18" s="20">
        <v>1.78</v>
      </c>
      <c r="E18">
        <v>1</v>
      </c>
      <c r="F18" s="1">
        <v>0</v>
      </c>
      <c r="H18" s="3">
        <f t="shared" ref="H18" si="14">(D18+F18+G18)*0.1075</f>
        <v>0.19134999999999999</v>
      </c>
      <c r="I18" s="3">
        <f t="shared" ref="I18" si="15">D18+F18+H18</f>
        <v>1.9713499999999999</v>
      </c>
      <c r="J18" s="3">
        <f t="shared" ref="J18" si="16">I18/E18</f>
        <v>1.9713499999999999</v>
      </c>
      <c r="K18">
        <v>1</v>
      </c>
      <c r="L18" s="3">
        <f t="shared" ref="L18" si="17">J18*K18</f>
        <v>1.9713499999999999</v>
      </c>
      <c r="M18" s="15">
        <f>$N$1*K18</f>
        <v>20</v>
      </c>
      <c r="N18">
        <v>0</v>
      </c>
      <c r="O18">
        <f t="shared" ref="O18" si="18">MAX(0, M18-N18)</f>
        <v>20</v>
      </c>
      <c r="P18">
        <f>_xlfn.CEILING.MATH(O18/E18)</f>
        <v>20</v>
      </c>
      <c r="Q18" s="3">
        <f>P18*I18</f>
        <v>39.427</v>
      </c>
      <c r="R18" s="15"/>
      <c r="T18" s="1">
        <v>0</v>
      </c>
      <c r="U18" s="3">
        <f>S18*0.1075</f>
        <v>0</v>
      </c>
      <c r="V18" s="3">
        <f>SUM(S18:U18)</f>
        <v>0</v>
      </c>
      <c r="W18" s="3">
        <f>IF((R18&gt;0), V18/R18, J18)</f>
        <v>1.9713499999999999</v>
      </c>
      <c r="X18" s="3">
        <f>K18*W18</f>
        <v>1.9713499999999999</v>
      </c>
      <c r="Y18" s="3">
        <f>L18-X18</f>
        <v>0</v>
      </c>
      <c r="Z18" s="15"/>
    </row>
    <row r="19" spans="1:26" x14ac:dyDescent="0.4">
      <c r="A19" s="4" t="s">
        <v>64</v>
      </c>
      <c r="B19" s="4"/>
      <c r="C19" s="2"/>
      <c r="D19" s="21">
        <f>SUM(D18:D18)</f>
        <v>1.78</v>
      </c>
      <c r="E19" s="19">
        <f t="shared" ref="E19:H19" si="19">SUM(E18:E18)</f>
        <v>1</v>
      </c>
      <c r="F19" s="6">
        <f t="shared" si="19"/>
        <v>0</v>
      </c>
      <c r="G19" s="6">
        <f t="shared" si="19"/>
        <v>0</v>
      </c>
      <c r="H19" s="6">
        <f t="shared" si="19"/>
        <v>0.19134999999999999</v>
      </c>
      <c r="I19" s="6">
        <f>SUM(I18:I18)</f>
        <v>1.9713499999999999</v>
      </c>
      <c r="J19" s="6">
        <f>SUM(J18:J18)</f>
        <v>1.9713499999999999</v>
      </c>
      <c r="K19" s="10">
        <f>SUM(K18:K18)</f>
        <v>1</v>
      </c>
      <c r="L19" s="6">
        <f>SUM(L18:L18)</f>
        <v>1.9713499999999999</v>
      </c>
      <c r="M19" s="23">
        <f t="shared" ref="M19:P19" si="20">SUM(M18:M18)</f>
        <v>20</v>
      </c>
      <c r="N19" s="10">
        <f t="shared" si="20"/>
        <v>0</v>
      </c>
      <c r="O19" s="10">
        <f t="shared" si="20"/>
        <v>20</v>
      </c>
      <c r="P19" s="10">
        <f t="shared" si="20"/>
        <v>20</v>
      </c>
      <c r="Q19" s="6">
        <f>SUM(Q18:Q18)</f>
        <v>39.427</v>
      </c>
      <c r="R19" s="23">
        <f>SUM(R18:R18)</f>
        <v>0</v>
      </c>
      <c r="S19" s="6">
        <f t="shared" ref="S19:Y19" si="21">SUM(S18:S18)</f>
        <v>0</v>
      </c>
      <c r="T19" s="6">
        <f t="shared" si="21"/>
        <v>0</v>
      </c>
      <c r="U19" s="6">
        <f t="shared" si="21"/>
        <v>0</v>
      </c>
      <c r="V19" s="6">
        <f t="shared" si="21"/>
        <v>0</v>
      </c>
      <c r="W19" s="6">
        <f t="shared" si="21"/>
        <v>1.9713499999999999</v>
      </c>
      <c r="X19" s="6">
        <f t="shared" si="21"/>
        <v>1.9713499999999999</v>
      </c>
      <c r="Y19" s="6">
        <f t="shared" si="21"/>
        <v>0</v>
      </c>
      <c r="Z19" s="15"/>
    </row>
    <row r="20" spans="1:26" x14ac:dyDescent="0.4">
      <c r="D20" s="20"/>
      <c r="G20" s="3"/>
      <c r="H20" s="3"/>
      <c r="I20" s="3"/>
      <c r="J20" s="3"/>
      <c r="L20" s="3"/>
      <c r="M20" s="15"/>
      <c r="R20" s="15"/>
      <c r="Z20" s="15"/>
    </row>
    <row r="21" spans="1:26" x14ac:dyDescent="0.4">
      <c r="A21" s="4" t="s">
        <v>36</v>
      </c>
      <c r="C21" s="1">
        <v>0.03</v>
      </c>
      <c r="D21" s="20"/>
      <c r="G21" s="3"/>
      <c r="H21" s="3"/>
      <c r="I21" s="3"/>
      <c r="J21" s="3"/>
      <c r="L21" s="3"/>
      <c r="M21" s="15"/>
      <c r="R21" s="15"/>
      <c r="Z21" s="15"/>
    </row>
    <row r="22" spans="1:26" x14ac:dyDescent="0.4">
      <c r="B22" t="s">
        <v>93</v>
      </c>
      <c r="D22" s="20">
        <v>0</v>
      </c>
      <c r="E22">
        <v>1</v>
      </c>
      <c r="F22" s="1">
        <v>0</v>
      </c>
      <c r="G22" s="1">
        <v>0</v>
      </c>
      <c r="H22" s="3">
        <f>(D22+F22+G22)*0.1075</f>
        <v>0</v>
      </c>
      <c r="I22" s="3">
        <f>D22+F22+H22</f>
        <v>0</v>
      </c>
      <c r="J22" s="3">
        <f>I22/E22</f>
        <v>0</v>
      </c>
      <c r="K22">
        <v>1</v>
      </c>
      <c r="L22" s="3">
        <f>J22*K22</f>
        <v>0</v>
      </c>
      <c r="M22" s="15">
        <f>$N$1*K22</f>
        <v>20</v>
      </c>
      <c r="N22">
        <v>0</v>
      </c>
      <c r="O22">
        <f t="shared" ref="O22:O25" si="22">MAX(0, M22-N22)</f>
        <v>20</v>
      </c>
      <c r="P22">
        <f>_xlfn.CEILING.MATH(O22/E22)</f>
        <v>20</v>
      </c>
      <c r="Q22" s="3">
        <f>P22*I22</f>
        <v>0</v>
      </c>
      <c r="R22" s="15">
        <f>M22</f>
        <v>20</v>
      </c>
      <c r="S22" s="1">
        <f>19*$C$21*R22</f>
        <v>11.399999999999999</v>
      </c>
      <c r="T22" s="1">
        <v>0</v>
      </c>
      <c r="U22" s="1">
        <v>0</v>
      </c>
      <c r="V22" s="3">
        <f t="shared" ref="V22:V25" si="23">SUM(S22:U22)</f>
        <v>11.399999999999999</v>
      </c>
      <c r="W22" s="3">
        <f t="shared" ref="W22:W25" si="24">IF((R22&gt;0), V22/R22, J22)</f>
        <v>0.56999999999999995</v>
      </c>
      <c r="X22" s="3">
        <f t="shared" ref="X22:X25" si="25">K22*W22</f>
        <v>0.56999999999999995</v>
      </c>
      <c r="Y22" s="3">
        <f t="shared" ref="Y22:Y25" si="26">L22-X22</f>
        <v>-0.56999999999999995</v>
      </c>
      <c r="Z22" s="15"/>
    </row>
    <row r="23" spans="1:26" x14ac:dyDescent="0.4">
      <c r="B23" t="s">
        <v>94</v>
      </c>
      <c r="D23" s="20">
        <v>0</v>
      </c>
      <c r="E23">
        <v>1</v>
      </c>
      <c r="F23" s="1">
        <v>0</v>
      </c>
      <c r="G23" s="1">
        <v>0</v>
      </c>
      <c r="H23" s="3">
        <f>(D23+F23+G23)*0.1075</f>
        <v>0</v>
      </c>
      <c r="I23" s="3">
        <f>D23+F23+H23</f>
        <v>0</v>
      </c>
      <c r="J23" s="3">
        <f>I23/E23</f>
        <v>0</v>
      </c>
      <c r="K23">
        <v>1</v>
      </c>
      <c r="L23" s="3">
        <f>J23*K23</f>
        <v>0</v>
      </c>
      <c r="M23" s="15">
        <f>$N$1*K23</f>
        <v>20</v>
      </c>
      <c r="N23">
        <v>0</v>
      </c>
      <c r="O23">
        <f t="shared" si="22"/>
        <v>20</v>
      </c>
      <c r="P23">
        <f>_xlfn.CEILING.MATH(O23/E23)</f>
        <v>20</v>
      </c>
      <c r="Q23" s="3">
        <f>P23*I23</f>
        <v>0</v>
      </c>
      <c r="R23" s="15">
        <f t="shared" ref="R23:R25" si="27">M23</f>
        <v>20</v>
      </c>
      <c r="S23" s="1">
        <f>1*$C$21*R23</f>
        <v>0.6</v>
      </c>
      <c r="T23" s="1">
        <v>0</v>
      </c>
      <c r="U23" s="1">
        <v>0</v>
      </c>
      <c r="V23" s="3">
        <f t="shared" si="23"/>
        <v>0.6</v>
      </c>
      <c r="W23" s="3">
        <f t="shared" si="24"/>
        <v>0.03</v>
      </c>
      <c r="X23" s="3">
        <f t="shared" si="25"/>
        <v>0.03</v>
      </c>
      <c r="Y23" s="3">
        <f t="shared" si="26"/>
        <v>-0.03</v>
      </c>
      <c r="Z23" s="15"/>
    </row>
    <row r="24" spans="1:26" x14ac:dyDescent="0.4">
      <c r="B24" t="s">
        <v>95</v>
      </c>
      <c r="D24" s="20">
        <v>0</v>
      </c>
      <c r="E24">
        <v>1</v>
      </c>
      <c r="F24" s="1">
        <v>0</v>
      </c>
      <c r="G24" s="1">
        <v>0</v>
      </c>
      <c r="H24" s="3">
        <f>(D24+F24+G24)*0.1075</f>
        <v>0</v>
      </c>
      <c r="I24" s="3">
        <f>D24+F24+H24</f>
        <v>0</v>
      </c>
      <c r="J24" s="3">
        <f>I24/E24</f>
        <v>0</v>
      </c>
      <c r="K24">
        <v>1</v>
      </c>
      <c r="L24" s="3">
        <f>J24*K24</f>
        <v>0</v>
      </c>
      <c r="M24" s="15">
        <f>$N$1*K24</f>
        <v>20</v>
      </c>
      <c r="N24">
        <v>0</v>
      </c>
      <c r="O24">
        <f t="shared" si="22"/>
        <v>20</v>
      </c>
      <c r="P24">
        <f>_xlfn.CEILING.MATH(O24/E24)</f>
        <v>20</v>
      </c>
      <c r="Q24" s="3">
        <f>P24*I24</f>
        <v>0</v>
      </c>
      <c r="R24" s="15">
        <f t="shared" si="27"/>
        <v>20</v>
      </c>
      <c r="S24" s="1">
        <f t="shared" ref="S24:S26" si="28">1*$C$21*R24</f>
        <v>0.6</v>
      </c>
      <c r="T24" s="1">
        <v>0</v>
      </c>
      <c r="U24" s="1">
        <v>0</v>
      </c>
      <c r="V24" s="3">
        <f t="shared" si="23"/>
        <v>0.6</v>
      </c>
      <c r="W24" s="3">
        <f t="shared" si="24"/>
        <v>0.03</v>
      </c>
      <c r="X24" s="3">
        <f t="shared" si="25"/>
        <v>0.03</v>
      </c>
      <c r="Y24" s="3">
        <f t="shared" si="26"/>
        <v>-0.03</v>
      </c>
      <c r="Z24" s="15"/>
    </row>
    <row r="25" spans="1:26" x14ac:dyDescent="0.4">
      <c r="B25" t="s">
        <v>96</v>
      </c>
      <c r="D25" s="20">
        <v>0</v>
      </c>
      <c r="E25">
        <v>1</v>
      </c>
      <c r="F25" s="1">
        <v>0</v>
      </c>
      <c r="G25" s="1">
        <v>0</v>
      </c>
      <c r="H25" s="3">
        <f>(D25+F25+G25)*0.1075</f>
        <v>0</v>
      </c>
      <c r="I25" s="3">
        <f>D25+F25+H25</f>
        <v>0</v>
      </c>
      <c r="J25" s="3">
        <f>I25/E25</f>
        <v>0</v>
      </c>
      <c r="K25">
        <v>1</v>
      </c>
      <c r="L25" s="3">
        <f>J25*K25</f>
        <v>0</v>
      </c>
      <c r="M25" s="15">
        <f>$N$1*K25</f>
        <v>20</v>
      </c>
      <c r="N25">
        <v>0</v>
      </c>
      <c r="O25">
        <f t="shared" si="22"/>
        <v>20</v>
      </c>
      <c r="P25">
        <f>_xlfn.CEILING.MATH(O25/E25)</f>
        <v>20</v>
      </c>
      <c r="Q25" s="3">
        <f>P25*I25</f>
        <v>0</v>
      </c>
      <c r="R25" s="15">
        <f t="shared" si="27"/>
        <v>20</v>
      </c>
      <c r="S25" s="1">
        <f t="shared" si="28"/>
        <v>0.6</v>
      </c>
      <c r="T25" s="1">
        <v>0</v>
      </c>
      <c r="U25" s="1">
        <v>0</v>
      </c>
      <c r="V25" s="3">
        <f t="shared" si="23"/>
        <v>0.6</v>
      </c>
      <c r="W25" s="3">
        <f t="shared" si="24"/>
        <v>0.03</v>
      </c>
      <c r="X25" s="3">
        <f t="shared" si="25"/>
        <v>0.03</v>
      </c>
      <c r="Y25" s="3">
        <f t="shared" si="26"/>
        <v>-0.03</v>
      </c>
      <c r="Z25" s="15"/>
    </row>
    <row r="26" spans="1:26" x14ac:dyDescent="0.4">
      <c r="A26" s="4" t="s">
        <v>40</v>
      </c>
      <c r="D26" s="21">
        <f>SUM(D22:D25)</f>
        <v>0</v>
      </c>
      <c r="H26" s="3"/>
      <c r="I26" s="6">
        <f>SUM(I22:I25)</f>
        <v>0</v>
      </c>
      <c r="J26" s="3"/>
      <c r="K26" s="10">
        <f>SUM(K22:K25)</f>
        <v>4</v>
      </c>
      <c r="L26" s="6">
        <f>SUM(L22:L25)</f>
        <v>0</v>
      </c>
      <c r="M26" s="23">
        <f t="shared" ref="M26:P26" si="29">SUM(M22:M25)</f>
        <v>80</v>
      </c>
      <c r="N26" s="10">
        <f t="shared" si="29"/>
        <v>0</v>
      </c>
      <c r="O26" s="10">
        <f t="shared" si="29"/>
        <v>80</v>
      </c>
      <c r="P26" s="10">
        <f t="shared" si="29"/>
        <v>80</v>
      </c>
      <c r="Q26" s="6">
        <f>SUM(Q22:Q25)</f>
        <v>0</v>
      </c>
      <c r="R26" s="23">
        <f t="shared" ref="R26" si="30">SUM(R22:R25)</f>
        <v>80</v>
      </c>
      <c r="S26" s="1">
        <f>SUM(S22:S25)</f>
        <v>13.199999999999998</v>
      </c>
      <c r="T26" s="6">
        <f>SUM(T22:T25)</f>
        <v>0</v>
      </c>
      <c r="U26" s="6">
        <f>SUM(U22:U25)</f>
        <v>0</v>
      </c>
      <c r="V26" s="6">
        <f t="shared" ref="V26:Y26" si="31">SUM(V22:V25)</f>
        <v>13.199999999999998</v>
      </c>
      <c r="W26" s="6">
        <f t="shared" si="31"/>
        <v>0.66</v>
      </c>
      <c r="X26" s="6">
        <f t="shared" si="31"/>
        <v>0.66</v>
      </c>
      <c r="Y26" s="6">
        <f t="shared" si="31"/>
        <v>-0.66</v>
      </c>
      <c r="Z26" s="15"/>
    </row>
    <row r="27" spans="1:26" x14ac:dyDescent="0.4">
      <c r="D27" s="20"/>
      <c r="G27" s="3"/>
      <c r="H27" s="3"/>
      <c r="I27" s="3"/>
      <c r="J27" s="3"/>
      <c r="L27" s="3"/>
      <c r="M27" s="15"/>
      <c r="R27" s="15"/>
      <c r="Z27" s="15"/>
    </row>
    <row r="28" spans="1:26" x14ac:dyDescent="0.4">
      <c r="A28" s="4" t="s">
        <v>33</v>
      </c>
      <c r="C28" t="s">
        <v>51</v>
      </c>
      <c r="D28" s="20"/>
      <c r="G28" s="3"/>
      <c r="H28" s="3"/>
      <c r="I28" s="3"/>
      <c r="J28" s="3"/>
      <c r="L28" s="3"/>
      <c r="M28" s="15"/>
      <c r="R28" s="15"/>
      <c r="Z28" s="15"/>
    </row>
    <row r="29" spans="1:26" x14ac:dyDescent="0.4">
      <c r="B29" t="s">
        <v>37</v>
      </c>
      <c r="C29" s="13">
        <v>470531000</v>
      </c>
      <c r="D29" s="20">
        <v>0.53</v>
      </c>
      <c r="E29">
        <v>1</v>
      </c>
      <c r="F29" s="1">
        <v>0</v>
      </c>
      <c r="G29" s="3">
        <f>D29*0.1</f>
        <v>5.3000000000000005E-2</v>
      </c>
      <c r="H29" s="3">
        <f t="shared" ref="H29" si="32">(D29+F29+G29)*0.1075</f>
        <v>6.2672500000000006E-2</v>
      </c>
      <c r="I29" s="3">
        <f t="shared" ref="I29" si="33">D29+F29+H29</f>
        <v>0.59267250000000005</v>
      </c>
      <c r="J29" s="3">
        <f t="shared" ref="J29" si="34">I29/E29</f>
        <v>0.59267250000000005</v>
      </c>
      <c r="K29">
        <v>1</v>
      </c>
      <c r="L29" s="3">
        <f t="shared" ref="L29" si="35">J29*K29</f>
        <v>0.59267250000000005</v>
      </c>
      <c r="M29" s="15">
        <f>$N$1*K29</f>
        <v>20</v>
      </c>
      <c r="N29">
        <v>20</v>
      </c>
      <c r="O29">
        <f t="shared" ref="O29:O47" si="36">MAX(0, M29-N29)</f>
        <v>0</v>
      </c>
      <c r="P29">
        <f>_xlfn.CEILING.MATH(O29/E29)</f>
        <v>0</v>
      </c>
      <c r="Q29" s="3">
        <f>P29*I29</f>
        <v>0</v>
      </c>
      <c r="R29" s="15">
        <v>10</v>
      </c>
      <c r="S29" s="1">
        <v>4.45</v>
      </c>
      <c r="T29" s="1">
        <v>0.45</v>
      </c>
      <c r="U29" s="3">
        <f>S29*0.1075</f>
        <v>0.47837499999999999</v>
      </c>
      <c r="V29" s="3">
        <f>SUM(S29:U29)</f>
        <v>5.3783750000000001</v>
      </c>
      <c r="W29" s="3">
        <f>IF((R29&gt;0), V29/R29, J29)</f>
        <v>0.53783749999999997</v>
      </c>
      <c r="X29" s="3">
        <f>K29*W29</f>
        <v>0.53783749999999997</v>
      </c>
      <c r="Y29" s="3">
        <f>L29-X29</f>
        <v>5.4835000000000078E-2</v>
      </c>
      <c r="Z29" s="15"/>
    </row>
    <row r="30" spans="1:26" x14ac:dyDescent="0.4">
      <c r="B30" t="s">
        <v>13</v>
      </c>
      <c r="C30" t="s">
        <v>73</v>
      </c>
      <c r="D30" s="20">
        <v>1.7</v>
      </c>
      <c r="E30">
        <v>2</v>
      </c>
      <c r="F30" s="1">
        <v>0</v>
      </c>
      <c r="G30" s="3">
        <f>D30*0.1</f>
        <v>0.17</v>
      </c>
      <c r="H30" s="3">
        <f>(D30+F30+G30)*0.1075</f>
        <v>0.20102499999999998</v>
      </c>
      <c r="I30" s="3">
        <f>D30+F30+H30</f>
        <v>1.901025</v>
      </c>
      <c r="J30" s="3">
        <f>I30/E30</f>
        <v>0.95051249999999998</v>
      </c>
      <c r="K30">
        <v>2</v>
      </c>
      <c r="L30" s="3">
        <f>J30*K30</f>
        <v>1.901025</v>
      </c>
      <c r="M30" s="15">
        <f>$N$1*K30</f>
        <v>40</v>
      </c>
      <c r="N30">
        <v>0</v>
      </c>
      <c r="O30">
        <f t="shared" si="36"/>
        <v>40</v>
      </c>
      <c r="P30">
        <f>_xlfn.CEILING.MATH(O30/E30)</f>
        <v>20</v>
      </c>
      <c r="Q30" s="3">
        <f>P30*I30</f>
        <v>38.020499999999998</v>
      </c>
      <c r="R30" s="15">
        <v>50</v>
      </c>
      <c r="S30" s="1">
        <v>15.53</v>
      </c>
      <c r="T30" s="1">
        <v>1.55</v>
      </c>
      <c r="U30" s="3">
        <f t="shared" ref="U30:U46" si="37">S30*0.1075</f>
        <v>1.6694749999999998</v>
      </c>
      <c r="V30" s="3">
        <f t="shared" ref="V30:V47" si="38">SUM(S30:U30)</f>
        <v>18.749474999999997</v>
      </c>
      <c r="W30" s="3">
        <f>IF((R30&gt;0), V30/R30, J30)</f>
        <v>0.37498949999999992</v>
      </c>
      <c r="X30" s="3">
        <f>K30*W30</f>
        <v>0.74997899999999984</v>
      </c>
      <c r="Y30" s="3">
        <f>L30-X30</f>
        <v>1.151046</v>
      </c>
      <c r="Z30" s="15"/>
    </row>
    <row r="31" spans="1:26" x14ac:dyDescent="0.4">
      <c r="B31" t="s">
        <v>20</v>
      </c>
      <c r="C31" t="s">
        <v>74</v>
      </c>
      <c r="D31" s="20">
        <v>0.81</v>
      </c>
      <c r="E31">
        <v>1</v>
      </c>
      <c r="F31" s="1">
        <v>0</v>
      </c>
      <c r="G31" s="3">
        <v>0</v>
      </c>
      <c r="H31" s="3">
        <f>(D31+F31+G31)*0.1075</f>
        <v>8.7075E-2</v>
      </c>
      <c r="I31" s="3">
        <f>D31+F31+H31</f>
        <v>0.89707500000000007</v>
      </c>
      <c r="J31" s="3">
        <f>I31/E31</f>
        <v>0.89707500000000007</v>
      </c>
      <c r="K31">
        <v>1</v>
      </c>
      <c r="L31" s="3">
        <f>J31*K31</f>
        <v>0.89707500000000007</v>
      </c>
      <c r="M31" s="15">
        <f>$N$1*K31</f>
        <v>20</v>
      </c>
      <c r="N31">
        <v>10</v>
      </c>
      <c r="O31">
        <f t="shared" si="36"/>
        <v>10</v>
      </c>
      <c r="P31">
        <f>_xlfn.CEILING.MATH(O31/E31)</f>
        <v>10</v>
      </c>
      <c r="Q31" s="3">
        <f>P31*I31</f>
        <v>8.9707500000000007</v>
      </c>
      <c r="R31" s="15">
        <v>10</v>
      </c>
      <c r="S31" s="1">
        <v>6.86</v>
      </c>
      <c r="T31" s="1"/>
      <c r="U31" s="3">
        <f t="shared" si="37"/>
        <v>0.73745000000000005</v>
      </c>
      <c r="V31" s="3">
        <f t="shared" si="38"/>
        <v>7.5974500000000003</v>
      </c>
      <c r="W31" s="3">
        <f>IF((R31&gt;0), V31/R31, J31)</f>
        <v>0.759745</v>
      </c>
      <c r="X31" s="3">
        <f>K31*W31</f>
        <v>0.759745</v>
      </c>
      <c r="Y31" s="3">
        <f>L31-X31</f>
        <v>0.13733000000000006</v>
      </c>
      <c r="Z31" s="15"/>
    </row>
    <row r="32" spans="1:26" x14ac:dyDescent="0.4">
      <c r="B32" t="s">
        <v>34</v>
      </c>
      <c r="C32" t="s">
        <v>75</v>
      </c>
      <c r="D32" s="20">
        <v>1.38</v>
      </c>
      <c r="E32">
        <v>1</v>
      </c>
      <c r="F32" s="1">
        <v>0</v>
      </c>
      <c r="G32" s="3">
        <f>D35*0.1</f>
        <v>0.03</v>
      </c>
      <c r="H32" s="3">
        <f t="shared" ref="H32" si="39">(D32+F32+G32)*0.1075</f>
        <v>0.15157499999999999</v>
      </c>
      <c r="I32" s="3">
        <f t="shared" ref="I32" si="40">D32+F32+H32</f>
        <v>1.5315749999999999</v>
      </c>
      <c r="J32" s="3">
        <f t="shared" ref="J32" si="41">I32/E32</f>
        <v>1.5315749999999999</v>
      </c>
      <c r="K32">
        <v>1</v>
      </c>
      <c r="L32" s="3">
        <f t="shared" ref="L32" si="42">J32*K32</f>
        <v>1.5315749999999999</v>
      </c>
      <c r="M32" s="15">
        <f>$N$1*K32</f>
        <v>20</v>
      </c>
      <c r="N32">
        <v>10</v>
      </c>
      <c r="O32">
        <f t="shared" si="36"/>
        <v>10</v>
      </c>
      <c r="P32">
        <f>_xlfn.CEILING.MATH(O32/E32)</f>
        <v>10</v>
      </c>
      <c r="Q32" s="3">
        <f>P32*I32</f>
        <v>15.31575</v>
      </c>
      <c r="R32" s="15">
        <v>15</v>
      </c>
      <c r="S32" s="1">
        <v>17.54</v>
      </c>
      <c r="T32" s="1">
        <v>1.75</v>
      </c>
      <c r="U32" s="3">
        <f t="shared" si="37"/>
        <v>1.8855499999999998</v>
      </c>
      <c r="V32" s="3">
        <f t="shared" si="38"/>
        <v>21.175549999999998</v>
      </c>
      <c r="W32" s="3">
        <f>IF((R32&gt;0), V32/R32, J32)</f>
        <v>1.4117033333333331</v>
      </c>
      <c r="X32" s="3">
        <f>K32*W32</f>
        <v>1.4117033333333331</v>
      </c>
      <c r="Y32" s="3">
        <f>L32-X32</f>
        <v>0.11987166666666682</v>
      </c>
      <c r="Z32" s="15"/>
    </row>
    <row r="33" spans="1:26" x14ac:dyDescent="0.4">
      <c r="B33" t="s">
        <v>30</v>
      </c>
      <c r="C33" t="s">
        <v>76</v>
      </c>
      <c r="D33" s="20">
        <v>0.44</v>
      </c>
      <c r="E33">
        <v>1</v>
      </c>
      <c r="F33" s="1">
        <v>0</v>
      </c>
      <c r="G33" s="3">
        <v>0</v>
      </c>
      <c r="H33" s="3">
        <f t="shared" ref="H33:H36" si="43">(D33+F33+G33)*0.1075</f>
        <v>4.7300000000000002E-2</v>
      </c>
      <c r="I33" s="3">
        <f t="shared" ref="I33:I36" si="44">D33+F33+H33</f>
        <v>0.48730000000000001</v>
      </c>
      <c r="J33" s="3">
        <f t="shared" ref="J33:J36" si="45">I33/E33</f>
        <v>0.48730000000000001</v>
      </c>
      <c r="K33">
        <v>1</v>
      </c>
      <c r="L33" s="3">
        <f t="shared" ref="L33:L36" si="46">J33*K33</f>
        <v>0.48730000000000001</v>
      </c>
      <c r="M33" s="15">
        <f>$N$1*K33</f>
        <v>20</v>
      </c>
      <c r="N33">
        <v>0</v>
      </c>
      <c r="O33">
        <f t="shared" si="36"/>
        <v>20</v>
      </c>
      <c r="P33">
        <f>_xlfn.CEILING.MATH(O33/E33)</f>
        <v>20</v>
      </c>
      <c r="Q33" s="3">
        <f>P33*I33</f>
        <v>9.7460000000000004</v>
      </c>
      <c r="R33" s="15">
        <v>20</v>
      </c>
      <c r="S33" s="1">
        <v>6.66</v>
      </c>
      <c r="T33" s="1"/>
      <c r="U33" s="3">
        <f t="shared" si="37"/>
        <v>0.71594999999999998</v>
      </c>
      <c r="V33" s="3">
        <f t="shared" si="38"/>
        <v>7.3759500000000005</v>
      </c>
      <c r="W33" s="3">
        <f>IF((R33&gt;0), V33/R33, J33)</f>
        <v>0.3687975</v>
      </c>
      <c r="X33" s="3">
        <f>K33*W33</f>
        <v>0.3687975</v>
      </c>
      <c r="Y33" s="3">
        <f>L33-X33</f>
        <v>0.11850250000000001</v>
      </c>
      <c r="Z33" s="15"/>
    </row>
    <row r="34" spans="1:26" x14ac:dyDescent="0.4">
      <c r="B34" t="s">
        <v>31</v>
      </c>
      <c r="C34" t="s">
        <v>77</v>
      </c>
      <c r="D34" s="20">
        <v>0.1</v>
      </c>
      <c r="E34">
        <v>1</v>
      </c>
      <c r="F34" s="1">
        <v>0</v>
      </c>
      <c r="G34" s="3">
        <v>0</v>
      </c>
      <c r="H34" s="3">
        <f t="shared" si="43"/>
        <v>1.0750000000000001E-2</v>
      </c>
      <c r="I34" s="3">
        <f t="shared" si="44"/>
        <v>0.11075</v>
      </c>
      <c r="J34" s="3">
        <f t="shared" si="45"/>
        <v>0.11075</v>
      </c>
      <c r="K34">
        <v>9</v>
      </c>
      <c r="L34" s="3">
        <f t="shared" si="46"/>
        <v>0.99675000000000002</v>
      </c>
      <c r="M34" s="15">
        <f>$N$1*K34</f>
        <v>180</v>
      </c>
      <c r="N34">
        <v>0</v>
      </c>
      <c r="O34">
        <f t="shared" si="36"/>
        <v>180</v>
      </c>
      <c r="P34">
        <f>_xlfn.CEILING.MATH(O34/E34)</f>
        <v>180</v>
      </c>
      <c r="Q34" s="3">
        <f>P34*I34</f>
        <v>19.934999999999999</v>
      </c>
      <c r="R34" s="15">
        <v>250</v>
      </c>
      <c r="S34" s="1">
        <v>5.0199999999999996</v>
      </c>
      <c r="T34" s="1"/>
      <c r="U34" s="3">
        <f t="shared" si="37"/>
        <v>0.53964999999999996</v>
      </c>
      <c r="V34" s="3">
        <f t="shared" si="38"/>
        <v>5.5596499999999995</v>
      </c>
      <c r="W34" s="3">
        <f>IF((R34&gt;0), V34/R34, J34)</f>
        <v>2.2238599999999997E-2</v>
      </c>
      <c r="X34" s="3">
        <f>K34*W34</f>
        <v>0.20014739999999998</v>
      </c>
      <c r="Y34" s="3">
        <f>L34-X34</f>
        <v>0.79660260000000005</v>
      </c>
      <c r="Z34" s="15"/>
    </row>
    <row r="35" spans="1:26" x14ac:dyDescent="0.4">
      <c r="B35" t="s">
        <v>32</v>
      </c>
      <c r="C35" t="s">
        <v>78</v>
      </c>
      <c r="D35" s="20">
        <v>0.3</v>
      </c>
      <c r="E35">
        <v>3</v>
      </c>
      <c r="F35" s="1">
        <v>0</v>
      </c>
      <c r="G35" s="3">
        <v>0</v>
      </c>
      <c r="H35" s="3">
        <f t="shared" si="43"/>
        <v>3.2250000000000001E-2</v>
      </c>
      <c r="I35" s="3">
        <f t="shared" si="44"/>
        <v>0.33224999999999999</v>
      </c>
      <c r="J35" s="3">
        <f t="shared" si="45"/>
        <v>0.11075</v>
      </c>
      <c r="K35">
        <v>2</v>
      </c>
      <c r="L35" s="3">
        <f t="shared" si="46"/>
        <v>0.2215</v>
      </c>
      <c r="M35" s="15">
        <f>$N$1*K35</f>
        <v>40</v>
      </c>
      <c r="N35">
        <v>0</v>
      </c>
      <c r="O35">
        <f t="shared" si="36"/>
        <v>40</v>
      </c>
      <c r="P35">
        <f>_xlfn.CEILING.MATH(O35/E35)</f>
        <v>14</v>
      </c>
      <c r="Q35" s="3">
        <f>P35*I35</f>
        <v>4.6514999999999995</v>
      </c>
      <c r="R35" s="15">
        <v>50</v>
      </c>
      <c r="S35" s="1">
        <v>1.82</v>
      </c>
      <c r="T35" s="1"/>
      <c r="U35" s="3">
        <f t="shared" si="37"/>
        <v>0.19564999999999999</v>
      </c>
      <c r="V35" s="3">
        <f t="shared" si="38"/>
        <v>2.0156499999999999</v>
      </c>
      <c r="W35" s="3">
        <f>IF((R35&gt;0), V35/R35, J35)</f>
        <v>4.0313000000000002E-2</v>
      </c>
      <c r="X35" s="3">
        <f>K35*W35</f>
        <v>8.0626000000000003E-2</v>
      </c>
      <c r="Y35" s="3">
        <f>L35-X35</f>
        <v>0.140874</v>
      </c>
      <c r="Z35" s="15"/>
    </row>
    <row r="36" spans="1:26" x14ac:dyDescent="0.4">
      <c r="B36" t="s">
        <v>56</v>
      </c>
      <c r="C36" t="s">
        <v>79</v>
      </c>
      <c r="D36" s="20">
        <v>0.5</v>
      </c>
      <c r="E36">
        <v>5</v>
      </c>
      <c r="F36" s="1">
        <v>0</v>
      </c>
      <c r="G36" s="3">
        <v>0</v>
      </c>
      <c r="H36" s="3">
        <f t="shared" si="43"/>
        <v>5.3749999999999999E-2</v>
      </c>
      <c r="I36" s="3">
        <f t="shared" si="44"/>
        <v>0.55374999999999996</v>
      </c>
      <c r="J36" s="3">
        <f t="shared" si="45"/>
        <v>0.11074999999999999</v>
      </c>
      <c r="K36">
        <v>5</v>
      </c>
      <c r="L36" s="3">
        <f t="shared" si="46"/>
        <v>0.55374999999999996</v>
      </c>
      <c r="M36" s="15">
        <f>$N$1*K36</f>
        <v>100</v>
      </c>
      <c r="N36">
        <v>0</v>
      </c>
      <c r="O36">
        <f t="shared" si="36"/>
        <v>100</v>
      </c>
      <c r="P36">
        <f>_xlfn.CEILING.MATH(O36/E36)</f>
        <v>20</v>
      </c>
      <c r="Q36" s="3">
        <f>P36*I36</f>
        <v>11.074999999999999</v>
      </c>
      <c r="R36" s="15">
        <v>100</v>
      </c>
      <c r="S36" s="1">
        <v>2.58</v>
      </c>
      <c r="T36" s="1"/>
      <c r="U36" s="3">
        <f t="shared" si="37"/>
        <v>0.27734999999999999</v>
      </c>
      <c r="V36" s="3">
        <f t="shared" si="38"/>
        <v>2.8573500000000003</v>
      </c>
      <c r="W36" s="3">
        <f>IF((R36&gt;0), V36/R36, J36)</f>
        <v>2.8573500000000002E-2</v>
      </c>
      <c r="X36" s="3">
        <f>K36*W36</f>
        <v>0.14286750000000001</v>
      </c>
      <c r="Y36" s="3">
        <f>L36-X36</f>
        <v>0.41088249999999993</v>
      </c>
      <c r="Z36" s="15"/>
    </row>
    <row r="37" spans="1:26" x14ac:dyDescent="0.4">
      <c r="B37" t="s">
        <v>57</v>
      </c>
      <c r="C37" t="s">
        <v>80</v>
      </c>
      <c r="D37" s="20">
        <v>0.1</v>
      </c>
      <c r="E37">
        <v>1</v>
      </c>
      <c r="F37" s="1">
        <v>0</v>
      </c>
      <c r="G37" s="3">
        <v>0</v>
      </c>
      <c r="H37" s="3">
        <f t="shared" ref="H37" si="47">(D37+F37+G37)*0.1075</f>
        <v>1.0750000000000001E-2</v>
      </c>
      <c r="I37" s="3">
        <f t="shared" ref="I37" si="48">D37+F37+H37</f>
        <v>0.11075</v>
      </c>
      <c r="J37" s="3">
        <f t="shared" ref="J37" si="49">I37/E37</f>
        <v>0.11075</v>
      </c>
      <c r="K37">
        <v>5</v>
      </c>
      <c r="L37" s="3">
        <f t="shared" ref="L37" si="50">J37*K37</f>
        <v>0.55374999999999996</v>
      </c>
      <c r="M37" s="15">
        <f>$N$1*K37</f>
        <v>100</v>
      </c>
      <c r="N37">
        <v>0</v>
      </c>
      <c r="O37">
        <f t="shared" si="36"/>
        <v>100</v>
      </c>
      <c r="P37">
        <f>_xlfn.CEILING.MATH(O37/E37)</f>
        <v>100</v>
      </c>
      <c r="Q37" s="3">
        <f>P37*I37</f>
        <v>11.074999999999999</v>
      </c>
      <c r="R37" s="15">
        <v>25</v>
      </c>
      <c r="S37" s="1">
        <v>1.59</v>
      </c>
      <c r="T37" s="1">
        <v>0.16</v>
      </c>
      <c r="U37" s="3">
        <f t="shared" si="37"/>
        <v>0.17092499999999999</v>
      </c>
      <c r="V37" s="3">
        <f t="shared" si="38"/>
        <v>1.920925</v>
      </c>
      <c r="W37" s="3">
        <f>IF((R37&gt;0), V37/R37, J37)</f>
        <v>7.6837000000000003E-2</v>
      </c>
      <c r="X37" s="3">
        <f>K37*W37</f>
        <v>0.384185</v>
      </c>
      <c r="Y37" s="3">
        <f>L37-X37</f>
        <v>0.16956499999999997</v>
      </c>
      <c r="Z37" s="15"/>
    </row>
    <row r="38" spans="1:26" x14ac:dyDescent="0.4">
      <c r="B38" t="s">
        <v>58</v>
      </c>
      <c r="C38" t="s">
        <v>81</v>
      </c>
      <c r="D38" s="20">
        <v>0.1</v>
      </c>
      <c r="E38">
        <v>1</v>
      </c>
      <c r="F38" s="1">
        <v>0</v>
      </c>
      <c r="G38" s="3">
        <v>0</v>
      </c>
      <c r="H38" s="3">
        <f t="shared" ref="H38" si="51">(D38+F38+G38)*0.1075</f>
        <v>1.0750000000000001E-2</v>
      </c>
      <c r="I38" s="3">
        <f t="shared" ref="I38" si="52">D38+F38+H38</f>
        <v>0.11075</v>
      </c>
      <c r="J38" s="3">
        <f t="shared" ref="J38" si="53">I38/E38</f>
        <v>0.11075</v>
      </c>
      <c r="K38">
        <v>5</v>
      </c>
      <c r="L38" s="3">
        <f t="shared" ref="L38" si="54">J38*K38</f>
        <v>0.55374999999999996</v>
      </c>
      <c r="M38" s="15">
        <f>$N$1*K38</f>
        <v>100</v>
      </c>
      <c r="N38">
        <v>0</v>
      </c>
      <c r="O38">
        <f t="shared" si="36"/>
        <v>100</v>
      </c>
      <c r="P38">
        <f>_xlfn.CEILING.MATH(O38/E38)</f>
        <v>100</v>
      </c>
      <c r="Q38" s="3">
        <f>P38*I38</f>
        <v>11.074999999999999</v>
      </c>
      <c r="R38" s="15">
        <v>25</v>
      </c>
      <c r="S38" s="1">
        <v>1.59</v>
      </c>
      <c r="T38" s="1">
        <v>0.16</v>
      </c>
      <c r="U38" s="3">
        <f t="shared" si="37"/>
        <v>0.17092499999999999</v>
      </c>
      <c r="V38" s="3">
        <f t="shared" si="38"/>
        <v>1.920925</v>
      </c>
      <c r="W38" s="3">
        <f>IF((R38&gt;0), V38/R38, J38)</f>
        <v>7.6837000000000003E-2</v>
      </c>
      <c r="X38" s="3">
        <f>K38*W38</f>
        <v>0.384185</v>
      </c>
      <c r="Y38" s="3">
        <f>L38-X38</f>
        <v>0.16956499999999997</v>
      </c>
      <c r="Z38" s="15"/>
    </row>
    <row r="39" spans="1:26" x14ac:dyDescent="0.4">
      <c r="B39" t="s">
        <v>38</v>
      </c>
      <c r="C39" s="2" t="s">
        <v>82</v>
      </c>
      <c r="D39" s="20">
        <v>0.13</v>
      </c>
      <c r="E39">
        <v>1</v>
      </c>
      <c r="F39" s="1">
        <v>0</v>
      </c>
      <c r="G39" s="3">
        <f>D39*0.1</f>
        <v>1.3000000000000001E-2</v>
      </c>
      <c r="H39" s="3">
        <f>(D39+F39+G39)*0.1075</f>
        <v>1.5372500000000001E-2</v>
      </c>
      <c r="I39" s="3">
        <f>D39+F39+H39</f>
        <v>0.14537250000000002</v>
      </c>
      <c r="J39" s="3">
        <f>I39/E39</f>
        <v>0.14537250000000002</v>
      </c>
      <c r="K39">
        <v>1</v>
      </c>
      <c r="L39" s="3">
        <f>J39*K39</f>
        <v>0.14537250000000002</v>
      </c>
      <c r="M39" s="15">
        <f>$N$1*K39</f>
        <v>20</v>
      </c>
      <c r="N39">
        <v>10</v>
      </c>
      <c r="O39">
        <f t="shared" si="36"/>
        <v>10</v>
      </c>
      <c r="P39">
        <f>_xlfn.CEILING.MATH(O39/E39)</f>
        <v>10</v>
      </c>
      <c r="Q39" s="3">
        <f>P39*I39</f>
        <v>1.4537250000000002</v>
      </c>
      <c r="R39" s="15">
        <v>25</v>
      </c>
      <c r="S39" s="1">
        <v>2.99</v>
      </c>
      <c r="T39" s="1">
        <v>0.3</v>
      </c>
      <c r="U39" s="3">
        <f t="shared" si="37"/>
        <v>0.32142500000000002</v>
      </c>
      <c r="V39" s="3">
        <f t="shared" si="38"/>
        <v>3.6114250000000001</v>
      </c>
      <c r="W39" s="3">
        <f>IF((R39&gt;0), V39/R39, J39)</f>
        <v>0.144457</v>
      </c>
      <c r="X39" s="3">
        <f>K39*W39</f>
        <v>0.144457</v>
      </c>
      <c r="Y39" s="3">
        <f>L39-X39</f>
        <v>9.1550000000001353E-4</v>
      </c>
      <c r="Z39" s="15"/>
    </row>
    <row r="40" spans="1:26" x14ac:dyDescent="0.4">
      <c r="B40" t="s">
        <v>49</v>
      </c>
      <c r="C40" t="s">
        <v>84</v>
      </c>
      <c r="D40" s="20">
        <v>1.56</v>
      </c>
      <c r="E40">
        <v>2</v>
      </c>
      <c r="F40" s="1">
        <v>0</v>
      </c>
      <c r="G40" s="3">
        <v>0</v>
      </c>
      <c r="H40" s="3">
        <f>(D40+F40+G40)*0.1075</f>
        <v>0.16770000000000002</v>
      </c>
      <c r="I40" s="3">
        <f>D40+F40+H40</f>
        <v>1.7277</v>
      </c>
      <c r="J40" s="3">
        <f>I40/E40</f>
        <v>0.86385000000000001</v>
      </c>
      <c r="K40">
        <v>2</v>
      </c>
      <c r="L40" s="3">
        <f>J40*K40</f>
        <v>1.7277</v>
      </c>
      <c r="M40" s="15">
        <f>$N$1*K40</f>
        <v>40</v>
      </c>
      <c r="N40">
        <v>50</v>
      </c>
      <c r="O40">
        <f t="shared" si="36"/>
        <v>0</v>
      </c>
      <c r="P40">
        <f>_xlfn.CEILING.MATH(O40/E40)</f>
        <v>0</v>
      </c>
      <c r="Q40" s="3">
        <f>P40*I40</f>
        <v>0</v>
      </c>
      <c r="R40" s="15">
        <v>0</v>
      </c>
      <c r="S40" s="1">
        <v>0</v>
      </c>
      <c r="T40" s="1"/>
      <c r="U40" s="3">
        <f t="shared" si="37"/>
        <v>0</v>
      </c>
      <c r="V40" s="3">
        <f t="shared" si="38"/>
        <v>0</v>
      </c>
      <c r="W40" s="3">
        <f>IF((R40&gt;0), V40/R40, J40)</f>
        <v>0.86385000000000001</v>
      </c>
      <c r="X40" s="3">
        <f>K40*W40</f>
        <v>1.7277</v>
      </c>
      <c r="Y40" s="3">
        <f>L40-X40</f>
        <v>0</v>
      </c>
      <c r="Z40" s="15"/>
    </row>
    <row r="41" spans="1:26" x14ac:dyDescent="0.4">
      <c r="B41" t="s">
        <v>48</v>
      </c>
      <c r="C41" s="2" t="s">
        <v>83</v>
      </c>
      <c r="D41" s="20">
        <v>1.3</v>
      </c>
      <c r="E41">
        <v>2</v>
      </c>
      <c r="F41" s="1">
        <v>0</v>
      </c>
      <c r="G41" s="3">
        <v>0</v>
      </c>
      <c r="H41" s="3">
        <f t="shared" ref="H41" si="55">(D41+F41+G41)*0.1075</f>
        <v>0.13975000000000001</v>
      </c>
      <c r="I41" s="3">
        <f t="shared" ref="I41" si="56">D41+F41+H41</f>
        <v>1.4397500000000001</v>
      </c>
      <c r="J41" s="3">
        <f t="shared" ref="J41" si="57">I41/E41</f>
        <v>0.71987500000000004</v>
      </c>
      <c r="K41">
        <v>2</v>
      </c>
      <c r="L41" s="3">
        <f t="shared" ref="L41" si="58">J41*K41</f>
        <v>1.4397500000000001</v>
      </c>
      <c r="M41" s="15">
        <f>$N$1*K41</f>
        <v>40</v>
      </c>
      <c r="N41">
        <v>0</v>
      </c>
      <c r="O41">
        <f t="shared" si="36"/>
        <v>40</v>
      </c>
      <c r="P41">
        <f>_xlfn.CEILING.MATH(O41/E41)</f>
        <v>20</v>
      </c>
      <c r="Q41" s="3">
        <f>P41*I41</f>
        <v>28.795000000000002</v>
      </c>
      <c r="R41" s="15">
        <v>40</v>
      </c>
      <c r="S41" s="1">
        <v>22.6</v>
      </c>
      <c r="T41" s="1"/>
      <c r="U41" s="3">
        <f t="shared" si="37"/>
        <v>2.4295</v>
      </c>
      <c r="V41" s="3">
        <f t="shared" si="38"/>
        <v>25.029500000000002</v>
      </c>
      <c r="W41" s="3">
        <f>IF((R41&gt;0), V41/R41, J41)</f>
        <v>0.62573750000000006</v>
      </c>
      <c r="X41" s="3">
        <f>K41*W41</f>
        <v>1.2514750000000001</v>
      </c>
      <c r="Y41" s="3">
        <f>L41-X41</f>
        <v>0.18827499999999997</v>
      </c>
      <c r="Z41" s="15"/>
    </row>
    <row r="42" spans="1:26" x14ac:dyDescent="0.4">
      <c r="B42" t="s">
        <v>59</v>
      </c>
      <c r="C42" s="2" t="s">
        <v>85</v>
      </c>
      <c r="D42" s="20">
        <v>0.47</v>
      </c>
      <c r="E42">
        <v>1</v>
      </c>
      <c r="F42" s="1">
        <v>0</v>
      </c>
      <c r="G42" s="3">
        <v>0</v>
      </c>
      <c r="H42" s="3">
        <f t="shared" ref="H42" si="59">(D42+F42+G42)*0.1075</f>
        <v>5.0524999999999994E-2</v>
      </c>
      <c r="I42" s="3">
        <f t="shared" ref="I42" si="60">D42+F42+H42</f>
        <v>0.52052500000000002</v>
      </c>
      <c r="J42" s="3">
        <f t="shared" ref="J42" si="61">I42/E42</f>
        <v>0.52052500000000002</v>
      </c>
      <c r="K42">
        <v>1</v>
      </c>
      <c r="L42" s="3">
        <f t="shared" ref="L42" si="62">J42*K42</f>
        <v>0.52052500000000002</v>
      </c>
      <c r="M42" s="15">
        <f>$N$1*K42</f>
        <v>20</v>
      </c>
      <c r="N42">
        <v>0</v>
      </c>
      <c r="O42">
        <f t="shared" si="36"/>
        <v>20</v>
      </c>
      <c r="P42">
        <f>_xlfn.CEILING.MATH(O42/E42)</f>
        <v>20</v>
      </c>
      <c r="Q42" s="3">
        <f>P42*I42</f>
        <v>10.410500000000001</v>
      </c>
      <c r="R42" s="15">
        <v>20</v>
      </c>
      <c r="S42" s="1">
        <v>8.24</v>
      </c>
      <c r="T42" s="1"/>
      <c r="U42" s="3">
        <f t="shared" si="37"/>
        <v>0.88580000000000003</v>
      </c>
      <c r="V42" s="3">
        <f t="shared" si="38"/>
        <v>9.1257999999999999</v>
      </c>
      <c r="W42" s="3">
        <f>IF((R42&gt;0), V42/R42, J42)</f>
        <v>0.45628999999999997</v>
      </c>
      <c r="X42" s="3">
        <f>K42*W42</f>
        <v>0.45628999999999997</v>
      </c>
      <c r="Y42" s="3">
        <f>L42-X42</f>
        <v>6.4235000000000042E-2</v>
      </c>
      <c r="Z42" s="15"/>
    </row>
    <row r="43" spans="1:26" x14ac:dyDescent="0.4">
      <c r="B43" t="s">
        <v>50</v>
      </c>
      <c r="C43" s="2" t="s">
        <v>86</v>
      </c>
      <c r="D43" s="20">
        <v>0.1</v>
      </c>
      <c r="E43">
        <v>1</v>
      </c>
      <c r="F43" s="1">
        <v>0</v>
      </c>
      <c r="G43" s="3">
        <v>0</v>
      </c>
      <c r="H43" s="3">
        <f t="shared" ref="H43:H44" si="63">(D43+F43+G43)*0.1075</f>
        <v>1.0750000000000001E-2</v>
      </c>
      <c r="I43" s="3">
        <f t="shared" ref="I43:I44" si="64">D43+F43+H43</f>
        <v>0.11075</v>
      </c>
      <c r="J43" s="3">
        <f t="shared" ref="J43:J44" si="65">I43/E43</f>
        <v>0.11075</v>
      </c>
      <c r="K43">
        <v>1</v>
      </c>
      <c r="L43" s="3">
        <f t="shared" ref="L43:L44" si="66">J43*K43</f>
        <v>0.11075</v>
      </c>
      <c r="M43" s="15">
        <f>$N$1*K43</f>
        <v>20</v>
      </c>
      <c r="N43">
        <v>10</v>
      </c>
      <c r="O43">
        <f t="shared" si="36"/>
        <v>10</v>
      </c>
      <c r="P43">
        <f>_xlfn.CEILING.MATH(O43/E43)</f>
        <v>10</v>
      </c>
      <c r="Q43" s="3">
        <f>P43*I43</f>
        <v>1.1074999999999999</v>
      </c>
      <c r="R43" s="15">
        <v>25</v>
      </c>
      <c r="S43" s="1">
        <v>1.02</v>
      </c>
      <c r="T43" s="1"/>
      <c r="U43" s="3">
        <f t="shared" si="37"/>
        <v>0.10965</v>
      </c>
      <c r="V43" s="3">
        <f t="shared" si="38"/>
        <v>1.12965</v>
      </c>
      <c r="W43" s="3">
        <f>IF((R43&gt;0), V43/R43, J43)</f>
        <v>4.5186000000000004E-2</v>
      </c>
      <c r="X43" s="3">
        <f>K43*W43</f>
        <v>4.5186000000000004E-2</v>
      </c>
      <c r="Y43" s="3">
        <f>L43-X43</f>
        <v>6.5563999999999997E-2</v>
      </c>
      <c r="Z43" s="15"/>
    </row>
    <row r="44" spans="1:26" x14ac:dyDescent="0.4">
      <c r="B44" t="s">
        <v>60</v>
      </c>
      <c r="C44" t="s">
        <v>87</v>
      </c>
      <c r="D44" s="20">
        <v>2.14</v>
      </c>
      <c r="E44">
        <v>10</v>
      </c>
      <c r="F44" s="1">
        <v>0</v>
      </c>
      <c r="G44" s="3">
        <v>0</v>
      </c>
      <c r="H44" s="3">
        <f t="shared" si="63"/>
        <v>0.23005</v>
      </c>
      <c r="I44" s="3">
        <f t="shared" si="64"/>
        <v>2.37005</v>
      </c>
      <c r="J44" s="3">
        <f t="shared" si="65"/>
        <v>0.23700499999999999</v>
      </c>
      <c r="K44">
        <v>10</v>
      </c>
      <c r="L44" s="3">
        <f t="shared" si="66"/>
        <v>2.37005</v>
      </c>
      <c r="M44" s="15">
        <f>$N$1*K44</f>
        <v>200</v>
      </c>
      <c r="N44">
        <v>0</v>
      </c>
      <c r="O44">
        <f t="shared" si="36"/>
        <v>200</v>
      </c>
      <c r="P44">
        <f>_xlfn.CEILING.MATH(O44/E44)</f>
        <v>20</v>
      </c>
      <c r="Q44" s="3">
        <f>P44*I44</f>
        <v>47.400999999999996</v>
      </c>
      <c r="R44" s="15">
        <v>200</v>
      </c>
      <c r="S44" s="1">
        <v>22.7</v>
      </c>
      <c r="T44" s="1">
        <v>2.27</v>
      </c>
      <c r="U44" s="3">
        <f t="shared" si="37"/>
        <v>2.4402499999999998</v>
      </c>
      <c r="V44" s="3">
        <f t="shared" si="38"/>
        <v>27.410249999999998</v>
      </c>
      <c r="W44" s="3">
        <f>IF((R44&gt;0), V44/R44, J44)</f>
        <v>0.13705124999999999</v>
      </c>
      <c r="X44" s="3">
        <f>K44*W44</f>
        <v>1.3705124999999998</v>
      </c>
      <c r="Y44" s="3">
        <f>L44-X44</f>
        <v>0.99953750000000019</v>
      </c>
      <c r="Z44" s="15"/>
    </row>
    <row r="45" spans="1:26" x14ac:dyDescent="0.4">
      <c r="B45" t="s">
        <v>61</v>
      </c>
      <c r="C45" t="s">
        <v>88</v>
      </c>
      <c r="D45" s="20">
        <v>1.1499999999999999</v>
      </c>
      <c r="E45">
        <v>5</v>
      </c>
      <c r="F45" s="1">
        <v>0</v>
      </c>
      <c r="G45" s="3">
        <v>0</v>
      </c>
      <c r="H45" s="3">
        <f t="shared" ref="H45" si="67">(D45+F45+G45)*0.1075</f>
        <v>0.12362499999999998</v>
      </c>
      <c r="I45" s="3">
        <f t="shared" ref="I45" si="68">D45+F45+H45</f>
        <v>1.273625</v>
      </c>
      <c r="J45" s="3">
        <f t="shared" ref="J45" si="69">I45/E45</f>
        <v>0.25472499999999998</v>
      </c>
      <c r="K45">
        <v>5</v>
      </c>
      <c r="L45" s="3">
        <f t="shared" ref="L45" si="70">J45*K45</f>
        <v>1.273625</v>
      </c>
      <c r="M45" s="15">
        <f>$N$1*K45</f>
        <v>100</v>
      </c>
      <c r="N45">
        <v>10</v>
      </c>
      <c r="O45">
        <f t="shared" si="36"/>
        <v>90</v>
      </c>
      <c r="P45">
        <f>_xlfn.CEILING.MATH(O45/E45)</f>
        <v>18</v>
      </c>
      <c r="Q45" s="3">
        <f>P45*I45</f>
        <v>22.925249999999998</v>
      </c>
      <c r="R45" s="15">
        <v>110</v>
      </c>
      <c r="S45" s="1">
        <v>8.73</v>
      </c>
      <c r="T45" s="1">
        <v>0.87</v>
      </c>
      <c r="U45" s="3">
        <f t="shared" si="37"/>
        <v>0.93847500000000006</v>
      </c>
      <c r="V45" s="3">
        <f t="shared" si="38"/>
        <v>10.538475</v>
      </c>
      <c r="W45" s="3">
        <f>IF((R45&gt;0), V45/R45, J45)</f>
        <v>9.5804318181818185E-2</v>
      </c>
      <c r="X45" s="3">
        <f>K45*W45</f>
        <v>0.47902159090909091</v>
      </c>
      <c r="Y45" s="3">
        <f>L45-X45</f>
        <v>0.7946034090909091</v>
      </c>
      <c r="Z45" s="15"/>
    </row>
    <row r="46" spans="1:26" x14ac:dyDescent="0.4">
      <c r="B46" t="s">
        <v>23</v>
      </c>
      <c r="C46" s="2" t="s">
        <v>89</v>
      </c>
      <c r="D46" s="20">
        <v>1.42</v>
      </c>
      <c r="E46">
        <v>2</v>
      </c>
      <c r="F46" s="1">
        <v>0</v>
      </c>
      <c r="G46" s="3">
        <f>D46*0.1</f>
        <v>0.14199999999999999</v>
      </c>
      <c r="H46" s="3">
        <f>(D46+F46+G46)*0.1075</f>
        <v>0.16791499999999998</v>
      </c>
      <c r="I46" s="3">
        <f>D46+F46+H46</f>
        <v>1.587915</v>
      </c>
      <c r="J46" s="3">
        <f>I46/E46</f>
        <v>0.79395749999999998</v>
      </c>
      <c r="K46">
        <v>2</v>
      </c>
      <c r="L46" s="3">
        <f>J46*K46</f>
        <v>1.587915</v>
      </c>
      <c r="M46" s="15">
        <f>$N$1*K46</f>
        <v>40</v>
      </c>
      <c r="N46">
        <v>0</v>
      </c>
      <c r="O46">
        <f t="shared" si="36"/>
        <v>40</v>
      </c>
      <c r="P46">
        <f>_xlfn.CEILING.MATH(O46/E46)</f>
        <v>20</v>
      </c>
      <c r="Q46" s="3">
        <f>P46*I46</f>
        <v>31.758299999999998</v>
      </c>
      <c r="R46" s="15">
        <v>50</v>
      </c>
      <c r="S46" s="1">
        <v>28.3</v>
      </c>
      <c r="T46" s="1"/>
      <c r="U46" s="3">
        <f t="shared" si="37"/>
        <v>3.0422500000000001</v>
      </c>
      <c r="V46" s="3">
        <f t="shared" si="38"/>
        <v>31.34225</v>
      </c>
      <c r="W46" s="3">
        <f>IF((R46&gt;0), V46/R46, J46)</f>
        <v>0.62684499999999999</v>
      </c>
      <c r="X46" s="3">
        <f>K46*W46</f>
        <v>1.25369</v>
      </c>
      <c r="Y46" s="3">
        <f>L46-X46</f>
        <v>0.33422499999999999</v>
      </c>
      <c r="Z46" s="15"/>
    </row>
    <row r="47" spans="1:26" x14ac:dyDescent="0.4">
      <c r="B47" s="11" t="s">
        <v>2</v>
      </c>
      <c r="D47" s="20">
        <v>0</v>
      </c>
      <c r="E47">
        <v>1</v>
      </c>
      <c r="F47" s="1">
        <v>4.99</v>
      </c>
      <c r="G47" s="3">
        <f>D47*0.1</f>
        <v>0</v>
      </c>
      <c r="H47" s="3">
        <v>0</v>
      </c>
      <c r="I47" s="3">
        <f>D47+F47+H47</f>
        <v>4.99</v>
      </c>
      <c r="J47" s="3">
        <f>I47/E47</f>
        <v>4.99</v>
      </c>
      <c r="K47">
        <f>1/$N$1</f>
        <v>0.05</v>
      </c>
      <c r="L47" s="3">
        <f>J47*K47</f>
        <v>0.24950000000000003</v>
      </c>
      <c r="M47" s="15">
        <f>$N$1*K47</f>
        <v>1</v>
      </c>
      <c r="N47">
        <v>0</v>
      </c>
      <c r="O47">
        <f t="shared" si="36"/>
        <v>1</v>
      </c>
      <c r="P47">
        <f>_xlfn.CEILING.MATH(O47/E47)</f>
        <v>1</v>
      </c>
      <c r="Q47" s="3">
        <f>P47*I47</f>
        <v>4.99</v>
      </c>
      <c r="R47" s="15">
        <v>1</v>
      </c>
      <c r="S47" s="1">
        <v>6.99</v>
      </c>
      <c r="T47" s="1">
        <v>0</v>
      </c>
      <c r="U47" s="1">
        <v>0</v>
      </c>
      <c r="V47" s="3">
        <f t="shared" si="38"/>
        <v>6.99</v>
      </c>
      <c r="W47" s="3">
        <f>IF((R47&gt;0), V47/R47, J47)</f>
        <v>6.99</v>
      </c>
      <c r="X47" s="3">
        <f>W47/$N$1</f>
        <v>0.34950000000000003</v>
      </c>
      <c r="Y47" s="3">
        <f>L47-X47</f>
        <v>-0.1</v>
      </c>
      <c r="Z47" s="15"/>
    </row>
    <row r="48" spans="1:26" s="5" customFormat="1" x14ac:dyDescent="0.4">
      <c r="A48" s="4" t="s">
        <v>41</v>
      </c>
      <c r="C48" s="7"/>
      <c r="D48" s="21">
        <f>SUM(D29:D47)</f>
        <v>14.23</v>
      </c>
      <c r="F48" s="6">
        <f>SUM(F29:F47)</f>
        <v>4.99</v>
      </c>
      <c r="G48" s="6">
        <f>SUM(G29:G46)</f>
        <v>0.40800000000000003</v>
      </c>
      <c r="H48" s="6">
        <f>SUM(H29:H46)</f>
        <v>1.5735850000000002</v>
      </c>
      <c r="I48" s="6">
        <f>SUM(I29:I46)</f>
        <v>15.803585</v>
      </c>
      <c r="J48" s="6">
        <f>SUM(J29:J47)</f>
        <v>13.648945000000003</v>
      </c>
      <c r="K48" s="4">
        <f>TRUNC(SUM(K29:K47))</f>
        <v>56</v>
      </c>
      <c r="L48" s="8">
        <f>SUM(L29:L46)</f>
        <v>17.464834999999997</v>
      </c>
      <c r="M48" s="17">
        <f>SUM(M29:M47)</f>
        <v>1121</v>
      </c>
      <c r="N48" s="4">
        <f>SUM(N29:N47)</f>
        <v>120</v>
      </c>
      <c r="O48" s="4">
        <f t="shared" ref="O48:P48" si="71">SUM(O29:O46)</f>
        <v>1010</v>
      </c>
      <c r="P48" s="4">
        <f t="shared" si="71"/>
        <v>592</v>
      </c>
      <c r="Q48" s="8">
        <f>SUM(Q29:Q46)</f>
        <v>273.71577500000001</v>
      </c>
      <c r="R48" s="17">
        <f>SUM(R29:R47)</f>
        <v>1026</v>
      </c>
      <c r="S48" s="6">
        <f t="shared" ref="S48:Y48" si="72">SUM(S29:S47)</f>
        <v>165.21</v>
      </c>
      <c r="T48" s="6">
        <f t="shared" si="72"/>
        <v>7.5100000000000007</v>
      </c>
      <c r="U48" s="6">
        <f t="shared" si="72"/>
        <v>17.008649999999999</v>
      </c>
      <c r="V48" s="6">
        <f t="shared" si="72"/>
        <v>189.72864999999999</v>
      </c>
      <c r="W48" s="6">
        <f t="shared" si="72"/>
        <v>13.68309300151515</v>
      </c>
      <c r="X48" s="6">
        <f t="shared" si="72"/>
        <v>12.097905324242422</v>
      </c>
      <c r="Y48" s="6">
        <f t="shared" si="72"/>
        <v>5.6164296757575771</v>
      </c>
      <c r="Z48" s="25"/>
    </row>
    <row r="49" spans="1:26" x14ac:dyDescent="0.4">
      <c r="B49" s="4"/>
      <c r="C49" s="2"/>
      <c r="D49" s="20"/>
      <c r="G49" s="3"/>
      <c r="H49" s="3"/>
      <c r="I49" s="1"/>
      <c r="J49" s="3"/>
      <c r="L49" s="3"/>
      <c r="M49" s="15"/>
      <c r="R49" s="15"/>
      <c r="Z49" s="15"/>
    </row>
    <row r="50" spans="1:26" x14ac:dyDescent="0.4">
      <c r="A50" s="4" t="s">
        <v>43</v>
      </c>
      <c r="C50" s="2"/>
      <c r="D50" s="20"/>
      <c r="G50" s="3"/>
      <c r="H50" s="3"/>
      <c r="I50" s="1"/>
      <c r="J50" s="3"/>
      <c r="L50" s="3"/>
      <c r="M50" s="15"/>
      <c r="R50" s="15"/>
      <c r="Z50" s="15"/>
    </row>
    <row r="51" spans="1:26" x14ac:dyDescent="0.4">
      <c r="B51" s="5" t="s">
        <v>47</v>
      </c>
      <c r="C51" s="2"/>
      <c r="D51" s="20">
        <v>30.66</v>
      </c>
      <c r="E51">
        <f>$N$1</f>
        <v>20</v>
      </c>
      <c r="F51" s="1">
        <v>29.89</v>
      </c>
      <c r="G51" s="3">
        <v>0</v>
      </c>
      <c r="H51" s="3">
        <v>0</v>
      </c>
      <c r="I51" s="3">
        <f t="shared" ref="I51" si="73">D51+F51+H51</f>
        <v>60.55</v>
      </c>
      <c r="J51" s="3">
        <f t="shared" ref="J51" si="74">I51/E51</f>
        <v>3.0274999999999999</v>
      </c>
      <c r="K51">
        <v>1</v>
      </c>
      <c r="L51" s="3">
        <f t="shared" ref="L51" si="75">J51*K51</f>
        <v>3.0274999999999999</v>
      </c>
      <c r="M51" s="15">
        <f>$N$1*K51</f>
        <v>20</v>
      </c>
      <c r="N51">
        <v>0</v>
      </c>
      <c r="O51">
        <f>MAX(0, M51-N51)</f>
        <v>20</v>
      </c>
      <c r="P51">
        <f>_xlfn.CEILING.MATH(O51/E51)</f>
        <v>1</v>
      </c>
      <c r="Q51" s="3">
        <f>P51*I51</f>
        <v>60.55</v>
      </c>
      <c r="R51" s="15">
        <v>20</v>
      </c>
      <c r="S51" s="1">
        <v>60.55</v>
      </c>
      <c r="T51" s="1">
        <v>0</v>
      </c>
      <c r="U51" s="1">
        <v>0</v>
      </c>
      <c r="V51" s="1">
        <f t="shared" ref="V51" si="76">SUM(S51:U51)</f>
        <v>60.55</v>
      </c>
      <c r="W51" s="1">
        <f t="shared" ref="W51" si="77">V51/R51</f>
        <v>3.0274999999999999</v>
      </c>
      <c r="X51" s="1">
        <f>K51*W51</f>
        <v>3.0274999999999999</v>
      </c>
      <c r="Y51" s="1">
        <f>L51-X51</f>
        <v>0</v>
      </c>
      <c r="Z51" s="15"/>
    </row>
    <row r="52" spans="1:26" x14ac:dyDescent="0.4">
      <c r="A52" s="4" t="s">
        <v>44</v>
      </c>
      <c r="D52" s="21">
        <f>SUM(D51:D51)</f>
        <v>30.66</v>
      </c>
      <c r="F52" s="6">
        <f t="shared" ref="F52:L52" si="78">SUM(F51:F51)</f>
        <v>29.89</v>
      </c>
      <c r="G52" s="6">
        <f t="shared" si="78"/>
        <v>0</v>
      </c>
      <c r="H52" s="6">
        <f t="shared" si="78"/>
        <v>0</v>
      </c>
      <c r="I52" s="6">
        <f t="shared" si="78"/>
        <v>60.55</v>
      </c>
      <c r="J52" s="6">
        <f t="shared" si="78"/>
        <v>3.0274999999999999</v>
      </c>
      <c r="K52" s="4">
        <f t="shared" si="78"/>
        <v>1</v>
      </c>
      <c r="L52" s="6">
        <f t="shared" si="78"/>
        <v>3.0274999999999999</v>
      </c>
      <c r="M52" s="17">
        <f t="shared" ref="M52:R52" si="79">SUM(M51:M51)</f>
        <v>20</v>
      </c>
      <c r="N52" s="4">
        <f t="shared" si="79"/>
        <v>0</v>
      </c>
      <c r="O52" s="4">
        <f t="shared" si="79"/>
        <v>20</v>
      </c>
      <c r="P52" s="4">
        <f t="shared" si="79"/>
        <v>1</v>
      </c>
      <c r="Q52" s="6">
        <f t="shared" si="79"/>
        <v>60.55</v>
      </c>
      <c r="R52" s="17">
        <f t="shared" si="79"/>
        <v>20</v>
      </c>
      <c r="S52" s="6">
        <f t="shared" ref="S52:Y52" si="80">SUM(S51:S51)</f>
        <v>60.55</v>
      </c>
      <c r="T52" s="6">
        <f t="shared" si="80"/>
        <v>0</v>
      </c>
      <c r="U52" s="6">
        <f t="shared" si="80"/>
        <v>0</v>
      </c>
      <c r="V52" s="6">
        <f t="shared" si="80"/>
        <v>60.55</v>
      </c>
      <c r="W52" s="6">
        <f t="shared" si="80"/>
        <v>3.0274999999999999</v>
      </c>
      <c r="X52" s="6">
        <f t="shared" si="80"/>
        <v>3.0274999999999999</v>
      </c>
      <c r="Y52" s="6">
        <f t="shared" si="80"/>
        <v>0</v>
      </c>
      <c r="Z52" s="15"/>
    </row>
    <row r="53" spans="1:26" x14ac:dyDescent="0.4">
      <c r="B53" s="4"/>
      <c r="D53" s="20"/>
      <c r="G53" s="3"/>
      <c r="H53" s="3"/>
      <c r="I53" s="3"/>
      <c r="J53" s="3"/>
      <c r="L53" s="3"/>
      <c r="M53" s="15"/>
      <c r="R53" s="15"/>
      <c r="Z53" s="15"/>
    </row>
    <row r="54" spans="1:26" x14ac:dyDescent="0.4">
      <c r="A54" s="4" t="s">
        <v>42</v>
      </c>
      <c r="B54">
        <f>COUNTA(B3:B53)</f>
        <v>36</v>
      </c>
      <c r="D54" s="22">
        <f t="shared" ref="D54:L54" si="81">D15+D19+D26+D48+D52</f>
        <v>167.01</v>
      </c>
      <c r="E54" s="8">
        <f t="shared" si="81"/>
        <v>1</v>
      </c>
      <c r="F54" s="8">
        <f t="shared" si="81"/>
        <v>34.880000000000003</v>
      </c>
      <c r="G54" s="8">
        <f t="shared" si="81"/>
        <v>0.40800000000000003</v>
      </c>
      <c r="H54" s="8">
        <f t="shared" si="81"/>
        <v>1.7649350000000001</v>
      </c>
      <c r="I54" s="8">
        <f t="shared" si="81"/>
        <v>211.60148499999997</v>
      </c>
      <c r="J54" s="8">
        <f t="shared" si="81"/>
        <v>18.647795000000002</v>
      </c>
      <c r="K54" s="9">
        <f t="shared" si="81"/>
        <v>83</v>
      </c>
      <c r="L54" s="8">
        <f t="shared" si="81"/>
        <v>50.351531750000007</v>
      </c>
      <c r="M54" s="24">
        <f t="shared" ref="M54:P54" si="82">M15+M19+M26+M48+M52</f>
        <v>1661</v>
      </c>
      <c r="N54" s="9">
        <f t="shared" si="82"/>
        <v>298</v>
      </c>
      <c r="O54" s="9">
        <f t="shared" si="82"/>
        <v>1402</v>
      </c>
      <c r="P54" s="9">
        <f t="shared" si="82"/>
        <v>731</v>
      </c>
      <c r="Q54" s="8">
        <f>Q15+Q19+Q26+Q48+Q52</f>
        <v>884.63789999999995</v>
      </c>
      <c r="R54" s="24">
        <f t="shared" ref="R54:Y54" si="83">R15+R19+R26+R48+R52</f>
        <v>1618</v>
      </c>
      <c r="S54" s="8">
        <f t="shared" si="83"/>
        <v>706.41000000000008</v>
      </c>
      <c r="T54" s="8">
        <f t="shared" si="83"/>
        <v>7.5100000000000007</v>
      </c>
      <c r="U54" s="8">
        <f t="shared" si="83"/>
        <v>67.258650000000003</v>
      </c>
      <c r="V54" s="8">
        <f t="shared" si="83"/>
        <v>781.17864999999995</v>
      </c>
      <c r="W54" s="8">
        <f t="shared" si="83"/>
        <v>46.295648102392335</v>
      </c>
      <c r="X54" s="8">
        <f t="shared" si="83"/>
        <v>45.973225175119623</v>
      </c>
      <c r="Y54" s="8">
        <f t="shared" si="83"/>
        <v>4.6278065748803847</v>
      </c>
      <c r="Z54" s="15"/>
    </row>
    <row r="56" spans="1:26" ht="69.900000000000006" customHeight="1" x14ac:dyDescent="0.4">
      <c r="A56" s="26" t="s">
        <v>68</v>
      </c>
      <c r="B56" s="26"/>
    </row>
    <row r="57" spans="1:26" ht="67.75" customHeight="1" x14ac:dyDescent="0.4">
      <c r="A57" s="26" t="s">
        <v>97</v>
      </c>
      <c r="B57" s="26"/>
    </row>
  </sheetData>
  <mergeCells count="2">
    <mergeCell ref="A56:B56"/>
    <mergeCell ref="A57:B57"/>
  </mergeCells>
  <hyperlinks>
    <hyperlink ref="C5" r:id="rId1" xr:uid="{ACAC5234-DDA0-4969-B5FE-D166D7000F40}"/>
    <hyperlink ref="C9" r:id="rId2" xr:uid="{AED873F4-67F0-430A-8DE3-7AABA9CDF44E}"/>
    <hyperlink ref="C18" r:id="rId3" xr:uid="{0FEF45BF-45A4-4B48-81CD-48A372ED4F1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2022-02-20T15:55:30Z</dcterms:modified>
</cp:coreProperties>
</file>