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Ubuntu\home\anabanana\Promotion\gpaper\Replication-kit-Perspective-of-SE-Researchers-on-ML-Practices\Data\Initial_tagging_subjects\"/>
    </mc:Choice>
  </mc:AlternateContent>
  <xr:revisionPtr revIDLastSave="0" documentId="13_ncr:1_{24C4B650-6577-4CD4-AAE4-EC4BB7C3AE6F}" xr6:coauthVersionLast="47" xr6:coauthVersionMax="47" xr10:uidLastSave="{00000000-0000-0000-0000-000000000000}"/>
  <bookViews>
    <workbookView xWindow="21480" yWindow="7425" windowWidth="38640" windowHeight="21120" xr2:uid="{00000000-000D-0000-FFFF-FFFF00000000}"/>
  </bookViews>
  <sheets>
    <sheet name="merged_taggers" sheetId="4" r:id="rId1"/>
    <sheet name="Tags_assigned_per_tagger" sheetId="5" r:id="rId2"/>
    <sheet name="Hoja 2" sheetId="3" state="hidden" r:id="rId3"/>
  </sheets>
  <definedNames>
    <definedName name="_xlnm._FilterDatabase" localSheetId="0" hidden="1">merged_taggers!$A$1:$G$1</definedName>
    <definedName name="_xlnm._FilterDatabase" localSheetId="1" hidden="1">Tags_assigned_per_tagger!$A$1:$G$1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5" i="3" l="1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G323" i="3"/>
  <c r="D323" i="3"/>
  <c r="G322" i="3"/>
  <c r="D322" i="3"/>
  <c r="G321" i="3"/>
  <c r="D321" i="3"/>
  <c r="G320" i="3"/>
  <c r="D320" i="3"/>
  <c r="G319" i="3"/>
  <c r="D319" i="3"/>
  <c r="G318" i="3"/>
  <c r="D318" i="3"/>
  <c r="G317" i="3"/>
  <c r="D317" i="3"/>
  <c r="G316" i="3"/>
  <c r="D316" i="3"/>
  <c r="G315" i="3"/>
  <c r="D315" i="3"/>
  <c r="G314" i="3"/>
  <c r="D314" i="3"/>
  <c r="G313" i="3"/>
  <c r="D313" i="3"/>
  <c r="G312" i="3"/>
  <c r="D312" i="3"/>
  <c r="G311" i="3"/>
  <c r="D311" i="3"/>
  <c r="G310" i="3"/>
  <c r="D310" i="3"/>
  <c r="G309" i="3"/>
  <c r="D309" i="3"/>
  <c r="G308" i="3"/>
  <c r="D308" i="3"/>
  <c r="G307" i="3"/>
  <c r="D307" i="3"/>
  <c r="G306" i="3"/>
  <c r="D306" i="3"/>
  <c r="G305" i="3"/>
  <c r="D305" i="3"/>
  <c r="G304" i="3"/>
  <c r="D304" i="3"/>
  <c r="G303" i="3"/>
  <c r="D303" i="3"/>
  <c r="G302" i="3"/>
  <c r="D302" i="3"/>
  <c r="G301" i="3"/>
  <c r="D301" i="3"/>
  <c r="G300" i="3"/>
  <c r="D300" i="3"/>
  <c r="G299" i="3"/>
  <c r="D299" i="3"/>
  <c r="G298" i="3"/>
  <c r="D298" i="3"/>
  <c r="G297" i="3"/>
  <c r="D297" i="3"/>
  <c r="G296" i="3"/>
  <c r="D296" i="3"/>
  <c r="G295" i="3"/>
  <c r="D295" i="3"/>
  <c r="G294" i="3"/>
  <c r="D294" i="3"/>
  <c r="G293" i="3"/>
  <c r="D293" i="3"/>
  <c r="G292" i="3"/>
  <c r="D292" i="3"/>
  <c r="G291" i="3"/>
  <c r="D291" i="3"/>
  <c r="G290" i="3"/>
  <c r="D290" i="3"/>
  <c r="G289" i="3"/>
  <c r="D289" i="3"/>
  <c r="G288" i="3"/>
  <c r="D288" i="3"/>
  <c r="G287" i="3"/>
  <c r="D287" i="3"/>
  <c r="G286" i="3"/>
  <c r="D286" i="3"/>
  <c r="G285" i="3"/>
  <c r="D285" i="3"/>
  <c r="G284" i="3"/>
  <c r="D284" i="3"/>
  <c r="G283" i="3"/>
  <c r="D283" i="3"/>
  <c r="G282" i="3"/>
  <c r="D282" i="3"/>
  <c r="G281" i="3"/>
  <c r="D281" i="3"/>
  <c r="G280" i="3"/>
  <c r="D280" i="3"/>
  <c r="G279" i="3"/>
  <c r="D279" i="3"/>
  <c r="G278" i="3"/>
  <c r="D278" i="3"/>
  <c r="G277" i="3"/>
  <c r="D277" i="3"/>
  <c r="G276" i="3"/>
  <c r="D276" i="3"/>
  <c r="G275" i="3"/>
  <c r="D275" i="3"/>
  <c r="G274" i="3"/>
  <c r="D274" i="3"/>
  <c r="G273" i="3"/>
  <c r="D273" i="3"/>
  <c r="G272" i="3"/>
  <c r="D272" i="3"/>
  <c r="G271" i="3"/>
  <c r="D271" i="3"/>
  <c r="G270" i="3"/>
  <c r="D270" i="3"/>
  <c r="G269" i="3"/>
  <c r="D269" i="3"/>
  <c r="G268" i="3"/>
  <c r="D268" i="3"/>
  <c r="G267" i="3"/>
  <c r="D267" i="3"/>
  <c r="G266" i="3"/>
  <c r="D266" i="3"/>
  <c r="G265" i="3"/>
  <c r="D265" i="3"/>
  <c r="G264" i="3"/>
  <c r="D264" i="3"/>
  <c r="G263" i="3"/>
  <c r="D263" i="3"/>
  <c r="G262" i="3"/>
  <c r="D262" i="3"/>
  <c r="G261" i="3"/>
  <c r="D261" i="3"/>
  <c r="G260" i="3"/>
  <c r="D260" i="3"/>
  <c r="G259" i="3"/>
  <c r="D259" i="3"/>
  <c r="G258" i="3"/>
  <c r="D258" i="3"/>
  <c r="G257" i="3"/>
  <c r="D257" i="3"/>
  <c r="G256" i="3"/>
  <c r="D256" i="3"/>
  <c r="G255" i="3"/>
  <c r="D255" i="3"/>
  <c r="G254" i="3"/>
  <c r="D254" i="3"/>
  <c r="G253" i="3"/>
  <c r="D253" i="3"/>
  <c r="G252" i="3"/>
  <c r="D252" i="3"/>
  <c r="G251" i="3"/>
  <c r="D251" i="3"/>
  <c r="G250" i="3"/>
  <c r="D250" i="3"/>
  <c r="G249" i="3"/>
  <c r="D249" i="3"/>
  <c r="G248" i="3"/>
  <c r="D248" i="3"/>
  <c r="G247" i="3"/>
  <c r="D247" i="3"/>
  <c r="G246" i="3"/>
  <c r="D246" i="3"/>
  <c r="G245" i="3"/>
  <c r="D245" i="3"/>
  <c r="G244" i="3"/>
  <c r="D244" i="3"/>
  <c r="G243" i="3"/>
  <c r="D243" i="3"/>
  <c r="G242" i="3"/>
  <c r="D242" i="3"/>
  <c r="G241" i="3"/>
  <c r="D241" i="3"/>
  <c r="G240" i="3"/>
  <c r="D240" i="3"/>
  <c r="G239" i="3"/>
  <c r="D239" i="3"/>
  <c r="G238" i="3"/>
  <c r="D238" i="3"/>
  <c r="G237" i="3"/>
  <c r="D237" i="3"/>
  <c r="G236" i="3"/>
  <c r="D236" i="3"/>
  <c r="G235" i="3"/>
  <c r="D235" i="3"/>
  <c r="G234" i="3"/>
  <c r="D234" i="3"/>
  <c r="G233" i="3"/>
  <c r="D233" i="3"/>
  <c r="G232" i="3"/>
  <c r="D232" i="3"/>
  <c r="G231" i="3"/>
  <c r="D231" i="3"/>
  <c r="G230" i="3"/>
  <c r="D230" i="3"/>
  <c r="G229" i="3"/>
  <c r="D229" i="3"/>
  <c r="G228" i="3"/>
  <c r="D228" i="3"/>
  <c r="G227" i="3"/>
  <c r="D227" i="3"/>
  <c r="G226" i="3"/>
  <c r="D226" i="3"/>
  <c r="G225" i="3"/>
  <c r="D225" i="3"/>
  <c r="G224" i="3"/>
  <c r="D224" i="3"/>
  <c r="G223" i="3"/>
  <c r="D223" i="3"/>
  <c r="G222" i="3"/>
  <c r="D222" i="3"/>
  <c r="G221" i="3"/>
  <c r="D221" i="3"/>
  <c r="G220" i="3"/>
  <c r="D220" i="3"/>
  <c r="G219" i="3"/>
  <c r="D219" i="3"/>
  <c r="G218" i="3"/>
  <c r="D218" i="3"/>
  <c r="G217" i="3"/>
  <c r="D217" i="3"/>
  <c r="G216" i="3"/>
  <c r="D216" i="3"/>
  <c r="G215" i="3"/>
  <c r="D215" i="3"/>
  <c r="G214" i="3"/>
  <c r="D214" i="3"/>
  <c r="G213" i="3"/>
  <c r="D213" i="3"/>
  <c r="G212" i="3"/>
  <c r="D212" i="3"/>
  <c r="G211" i="3"/>
  <c r="D211" i="3"/>
  <c r="G210" i="3"/>
  <c r="D210" i="3"/>
  <c r="G209" i="3"/>
  <c r="D209" i="3"/>
  <c r="G208" i="3"/>
  <c r="D208" i="3"/>
  <c r="G207" i="3"/>
  <c r="D207" i="3"/>
  <c r="G206" i="3"/>
  <c r="D206" i="3"/>
  <c r="G205" i="3"/>
  <c r="D205" i="3"/>
  <c r="G204" i="3"/>
  <c r="D204" i="3"/>
  <c r="G203" i="3"/>
  <c r="D203" i="3"/>
  <c r="G202" i="3"/>
  <c r="D202" i="3"/>
  <c r="G201" i="3"/>
  <c r="D201" i="3"/>
  <c r="G200" i="3"/>
  <c r="D200" i="3"/>
  <c r="G199" i="3"/>
  <c r="D199" i="3"/>
  <c r="G198" i="3"/>
  <c r="D198" i="3"/>
  <c r="G197" i="3"/>
  <c r="D197" i="3"/>
  <c r="G196" i="3"/>
  <c r="D196" i="3"/>
  <c r="G195" i="3"/>
  <c r="D195" i="3"/>
  <c r="G194" i="3"/>
  <c r="D194" i="3"/>
  <c r="G193" i="3"/>
  <c r="D193" i="3"/>
  <c r="G192" i="3"/>
  <c r="D192" i="3"/>
  <c r="G191" i="3"/>
  <c r="D191" i="3"/>
  <c r="G190" i="3"/>
  <c r="D190" i="3"/>
  <c r="G189" i="3"/>
  <c r="D189" i="3"/>
  <c r="G188" i="3"/>
  <c r="D188" i="3"/>
  <c r="G187" i="3"/>
  <c r="D187" i="3"/>
  <c r="G186" i="3"/>
  <c r="D186" i="3"/>
  <c r="G185" i="3"/>
  <c r="D185" i="3"/>
  <c r="G184" i="3"/>
  <c r="D184" i="3"/>
  <c r="G183" i="3"/>
  <c r="D183" i="3"/>
  <c r="G182" i="3"/>
  <c r="D182" i="3"/>
  <c r="G181" i="3"/>
  <c r="D181" i="3"/>
  <c r="G180" i="3"/>
  <c r="D180" i="3"/>
  <c r="G179" i="3"/>
  <c r="D179" i="3"/>
  <c r="G178" i="3"/>
  <c r="D178" i="3"/>
  <c r="G177" i="3"/>
  <c r="D177" i="3"/>
  <c r="G176" i="3"/>
  <c r="D176" i="3"/>
  <c r="G175" i="3"/>
  <c r="D175" i="3"/>
  <c r="G174" i="3"/>
  <c r="D174" i="3"/>
  <c r="G173" i="3"/>
  <c r="D173" i="3"/>
  <c r="G172" i="3"/>
  <c r="D172" i="3"/>
  <c r="G171" i="3"/>
  <c r="D171" i="3"/>
  <c r="G170" i="3"/>
  <c r="D170" i="3"/>
  <c r="G169" i="3"/>
  <c r="D169" i="3"/>
  <c r="G168" i="3"/>
  <c r="D168" i="3"/>
  <c r="G167" i="3"/>
  <c r="D167" i="3"/>
  <c r="G166" i="3"/>
  <c r="D166" i="3"/>
  <c r="G165" i="3"/>
  <c r="D165" i="3"/>
  <c r="G164" i="3"/>
  <c r="D164" i="3"/>
  <c r="G163" i="3"/>
  <c r="D163" i="3"/>
  <c r="G162" i="3"/>
  <c r="D162" i="3"/>
  <c r="G161" i="3"/>
  <c r="D161" i="3"/>
  <c r="G160" i="3"/>
  <c r="D160" i="3"/>
  <c r="G159" i="3"/>
  <c r="D159" i="3"/>
  <c r="G158" i="3"/>
  <c r="D158" i="3"/>
  <c r="G157" i="3"/>
  <c r="D157" i="3"/>
  <c r="G156" i="3"/>
  <c r="D156" i="3"/>
  <c r="G155" i="3"/>
  <c r="D155" i="3"/>
  <c r="G154" i="3"/>
  <c r="D154" i="3"/>
  <c r="G153" i="3"/>
  <c r="D153" i="3"/>
  <c r="G152" i="3"/>
  <c r="D152" i="3"/>
  <c r="G151" i="3"/>
  <c r="D151" i="3"/>
  <c r="G150" i="3"/>
  <c r="D150" i="3"/>
  <c r="G149" i="3"/>
  <c r="D149" i="3"/>
  <c r="G148" i="3"/>
  <c r="D148" i="3"/>
  <c r="G147" i="3"/>
  <c r="D147" i="3"/>
  <c r="G146" i="3"/>
  <c r="D146" i="3"/>
  <c r="G145" i="3"/>
  <c r="D145" i="3"/>
  <c r="G144" i="3"/>
  <c r="D144" i="3"/>
  <c r="G143" i="3"/>
  <c r="D143" i="3"/>
  <c r="G142" i="3"/>
  <c r="D142" i="3"/>
  <c r="G141" i="3"/>
  <c r="D141" i="3"/>
  <c r="G140" i="3"/>
  <c r="D140" i="3"/>
  <c r="G139" i="3"/>
  <c r="D139" i="3"/>
  <c r="G138" i="3"/>
  <c r="D138" i="3"/>
  <c r="G137" i="3"/>
  <c r="D137" i="3"/>
  <c r="G136" i="3"/>
  <c r="D136" i="3"/>
  <c r="G135" i="3"/>
  <c r="D135" i="3"/>
  <c r="G134" i="3"/>
  <c r="D134" i="3"/>
  <c r="G133" i="3"/>
  <c r="D133" i="3"/>
  <c r="G132" i="3"/>
  <c r="D132" i="3"/>
  <c r="G131" i="3"/>
  <c r="D131" i="3"/>
  <c r="G130" i="3"/>
  <c r="D130" i="3"/>
  <c r="G129" i="3"/>
  <c r="D129" i="3"/>
  <c r="G128" i="3"/>
  <c r="D128" i="3"/>
  <c r="G127" i="3"/>
  <c r="D127" i="3"/>
  <c r="G126" i="3"/>
  <c r="D126" i="3"/>
  <c r="G125" i="3"/>
  <c r="D125" i="3"/>
  <c r="G124" i="3"/>
  <c r="D124" i="3"/>
  <c r="G123" i="3"/>
  <c r="D123" i="3"/>
  <c r="G122" i="3"/>
  <c r="D122" i="3"/>
  <c r="G121" i="3"/>
  <c r="D121" i="3"/>
  <c r="G120" i="3"/>
  <c r="D120" i="3"/>
  <c r="G119" i="3"/>
  <c r="D119" i="3"/>
  <c r="G118" i="3"/>
  <c r="D118" i="3"/>
  <c r="G117" i="3"/>
  <c r="D117" i="3"/>
  <c r="G116" i="3"/>
  <c r="D116" i="3"/>
  <c r="G115" i="3"/>
  <c r="D115" i="3"/>
  <c r="G114" i="3"/>
  <c r="D114" i="3"/>
  <c r="G113" i="3"/>
  <c r="D113" i="3"/>
  <c r="G112" i="3"/>
  <c r="D112" i="3"/>
  <c r="G111" i="3"/>
  <c r="D111" i="3"/>
  <c r="G110" i="3"/>
  <c r="D110" i="3"/>
  <c r="G109" i="3"/>
  <c r="D109" i="3"/>
  <c r="G108" i="3"/>
  <c r="D108" i="3"/>
  <c r="G107" i="3"/>
  <c r="D107" i="3"/>
  <c r="G106" i="3"/>
  <c r="D106" i="3"/>
  <c r="G105" i="3"/>
  <c r="D105" i="3"/>
  <c r="G104" i="3"/>
  <c r="D104" i="3"/>
  <c r="G103" i="3"/>
  <c r="D103" i="3"/>
  <c r="G102" i="3"/>
  <c r="D102" i="3"/>
  <c r="G101" i="3"/>
  <c r="D101" i="3"/>
  <c r="G100" i="3"/>
  <c r="D100" i="3"/>
  <c r="G99" i="3"/>
  <c r="D99" i="3"/>
  <c r="G98" i="3"/>
  <c r="D98" i="3"/>
  <c r="G97" i="3"/>
  <c r="D97" i="3"/>
  <c r="G96" i="3"/>
  <c r="D96" i="3"/>
  <c r="G95" i="3"/>
  <c r="D95" i="3"/>
  <c r="G94" i="3"/>
  <c r="D94" i="3"/>
  <c r="G93" i="3"/>
  <c r="D93" i="3"/>
  <c r="G92" i="3"/>
  <c r="D92" i="3"/>
  <c r="G91" i="3"/>
  <c r="D91" i="3"/>
  <c r="G90" i="3"/>
  <c r="D90" i="3"/>
  <c r="G89" i="3"/>
  <c r="D89" i="3"/>
  <c r="G88" i="3"/>
  <c r="D88" i="3"/>
  <c r="G87" i="3"/>
  <c r="D87" i="3"/>
  <c r="G86" i="3"/>
  <c r="D86" i="3"/>
  <c r="G85" i="3"/>
  <c r="D85" i="3"/>
  <c r="G84" i="3"/>
  <c r="D84" i="3"/>
  <c r="G83" i="3"/>
  <c r="D83" i="3"/>
  <c r="G82" i="3"/>
  <c r="D82" i="3"/>
  <c r="G81" i="3"/>
  <c r="D81" i="3"/>
  <c r="G80" i="3"/>
  <c r="D80" i="3"/>
  <c r="G79" i="3"/>
  <c r="D79" i="3"/>
  <c r="G78" i="3"/>
  <c r="D78" i="3"/>
  <c r="G77" i="3"/>
  <c r="D77" i="3"/>
  <c r="G76" i="3"/>
  <c r="D76" i="3"/>
  <c r="G75" i="3"/>
  <c r="D75" i="3"/>
  <c r="G74" i="3"/>
  <c r="D74" i="3"/>
  <c r="G73" i="3"/>
  <c r="D73" i="3"/>
  <c r="G72" i="3"/>
  <c r="D72" i="3"/>
  <c r="G71" i="3"/>
  <c r="D71" i="3"/>
  <c r="G70" i="3"/>
  <c r="D70" i="3"/>
  <c r="A70" i="3"/>
  <c r="G69" i="3"/>
  <c r="D69" i="3"/>
  <c r="A69" i="3"/>
  <c r="G68" i="3"/>
  <c r="D68" i="3"/>
  <c r="A68" i="3"/>
  <c r="G67" i="3"/>
  <c r="D67" i="3"/>
  <c r="A67" i="3"/>
  <c r="G66" i="3"/>
  <c r="D66" i="3"/>
  <c r="A66" i="3"/>
  <c r="G65" i="3"/>
  <c r="D65" i="3"/>
  <c r="A65" i="3"/>
  <c r="G64" i="3"/>
  <c r="D64" i="3"/>
  <c r="A64" i="3"/>
  <c r="G63" i="3"/>
  <c r="D63" i="3"/>
  <c r="A63" i="3"/>
  <c r="G62" i="3"/>
  <c r="D62" i="3"/>
  <c r="A62" i="3"/>
  <c r="G61" i="3"/>
  <c r="D61" i="3"/>
  <c r="A61" i="3"/>
  <c r="G60" i="3"/>
  <c r="D60" i="3"/>
  <c r="A60" i="3"/>
  <c r="G59" i="3"/>
  <c r="D59" i="3"/>
  <c r="A59" i="3"/>
  <c r="G58" i="3"/>
  <c r="D58" i="3"/>
  <c r="A58" i="3"/>
  <c r="G57" i="3"/>
  <c r="D57" i="3"/>
  <c r="A57" i="3"/>
  <c r="G56" i="3"/>
  <c r="D56" i="3"/>
  <c r="A56" i="3"/>
  <c r="G55" i="3"/>
  <c r="D55" i="3"/>
  <c r="A55" i="3"/>
  <c r="G54" i="3"/>
  <c r="D54" i="3"/>
  <c r="A54" i="3"/>
  <c r="G53" i="3"/>
  <c r="D53" i="3"/>
  <c r="A53" i="3"/>
  <c r="G52" i="3"/>
  <c r="D52" i="3"/>
  <c r="A52" i="3"/>
  <c r="G51" i="3"/>
  <c r="D51" i="3"/>
  <c r="A51" i="3"/>
  <c r="G50" i="3"/>
  <c r="D50" i="3"/>
  <c r="A50" i="3"/>
  <c r="G49" i="3"/>
  <c r="D49" i="3"/>
  <c r="A49" i="3"/>
  <c r="G48" i="3"/>
  <c r="D48" i="3"/>
  <c r="A48" i="3"/>
  <c r="G47" i="3"/>
  <c r="D47" i="3"/>
  <c r="A47" i="3"/>
  <c r="G46" i="3"/>
  <c r="D46" i="3"/>
  <c r="A46" i="3"/>
  <c r="G45" i="3"/>
  <c r="D45" i="3"/>
  <c r="A45" i="3"/>
  <c r="G44" i="3"/>
  <c r="D44" i="3"/>
  <c r="A44" i="3"/>
  <c r="G43" i="3"/>
  <c r="D43" i="3"/>
  <c r="A43" i="3"/>
  <c r="G42" i="3"/>
  <c r="D42" i="3"/>
  <c r="A42" i="3"/>
  <c r="G41" i="3"/>
  <c r="D41" i="3"/>
  <c r="A41" i="3"/>
  <c r="G40" i="3"/>
  <c r="D40" i="3"/>
  <c r="A40" i="3"/>
  <c r="G39" i="3"/>
  <c r="D39" i="3"/>
  <c r="A39" i="3"/>
  <c r="G38" i="3"/>
  <c r="D38" i="3"/>
  <c r="A38" i="3"/>
  <c r="G37" i="3"/>
  <c r="D37" i="3"/>
  <c r="A37" i="3"/>
  <c r="G36" i="3"/>
  <c r="D36" i="3"/>
  <c r="A36" i="3"/>
  <c r="G35" i="3"/>
  <c r="D35" i="3"/>
  <c r="A35" i="3"/>
  <c r="G34" i="3"/>
  <c r="D34" i="3"/>
  <c r="A34" i="3"/>
  <c r="G33" i="3"/>
  <c r="D33" i="3"/>
  <c r="A33" i="3"/>
  <c r="G32" i="3"/>
  <c r="D32" i="3"/>
  <c r="A32" i="3"/>
  <c r="G31" i="3"/>
  <c r="D31" i="3"/>
  <c r="A31" i="3"/>
  <c r="G30" i="3"/>
  <c r="D30" i="3"/>
  <c r="A30" i="3"/>
  <c r="G29" i="3"/>
  <c r="D29" i="3"/>
  <c r="A29" i="3"/>
  <c r="G28" i="3"/>
  <c r="D28" i="3"/>
  <c r="A28" i="3"/>
  <c r="J27" i="3"/>
  <c r="G27" i="3"/>
  <c r="D27" i="3"/>
  <c r="A27" i="3"/>
  <c r="J26" i="3"/>
  <c r="G26" i="3"/>
  <c r="D26" i="3"/>
  <c r="A26" i="3"/>
  <c r="J25" i="3"/>
  <c r="G25" i="3"/>
  <c r="D25" i="3"/>
  <c r="A25" i="3"/>
  <c r="J24" i="3"/>
  <c r="G24" i="3"/>
  <c r="D24" i="3"/>
  <c r="A24" i="3"/>
  <c r="J23" i="3"/>
  <c r="G23" i="3"/>
  <c r="D23" i="3"/>
  <c r="A23" i="3"/>
  <c r="J22" i="3"/>
  <c r="G22" i="3"/>
  <c r="D22" i="3"/>
  <c r="A22" i="3"/>
  <c r="J21" i="3"/>
  <c r="G21" i="3"/>
  <c r="D21" i="3"/>
  <c r="A21" i="3"/>
  <c r="J20" i="3"/>
  <c r="G20" i="3"/>
  <c r="D20" i="3"/>
  <c r="A20" i="3"/>
  <c r="J19" i="3"/>
  <c r="G19" i="3"/>
  <c r="D19" i="3"/>
  <c r="A19" i="3"/>
  <c r="J18" i="3"/>
  <c r="G18" i="3"/>
  <c r="D18" i="3"/>
  <c r="A18" i="3"/>
  <c r="J17" i="3"/>
  <c r="G17" i="3"/>
  <c r="D17" i="3"/>
  <c r="A17" i="3"/>
  <c r="J16" i="3"/>
  <c r="G16" i="3"/>
  <c r="D16" i="3"/>
  <c r="A16" i="3"/>
  <c r="J15" i="3"/>
  <c r="G15" i="3"/>
  <c r="D15" i="3"/>
  <c r="A15" i="3"/>
  <c r="J14" i="3"/>
  <c r="G14" i="3"/>
  <c r="D14" i="3"/>
  <c r="A14" i="3"/>
  <c r="J13" i="3"/>
  <c r="G13" i="3"/>
  <c r="D13" i="3"/>
  <c r="A13" i="3"/>
  <c r="J12" i="3"/>
  <c r="G12" i="3"/>
  <c r="D12" i="3"/>
  <c r="A12" i="3"/>
  <c r="J11" i="3"/>
  <c r="G11" i="3"/>
  <c r="D11" i="3"/>
  <c r="A11" i="3"/>
  <c r="J10" i="3"/>
  <c r="G10" i="3"/>
  <c r="D10" i="3"/>
  <c r="A10" i="3"/>
  <c r="J9" i="3"/>
  <c r="G9" i="3"/>
  <c r="D9" i="3"/>
  <c r="A9" i="3"/>
  <c r="J8" i="3"/>
  <c r="G8" i="3"/>
  <c r="D8" i="3"/>
  <c r="A8" i="3"/>
  <c r="J7" i="3"/>
  <c r="G7" i="3"/>
  <c r="D7" i="3"/>
  <c r="A7" i="3"/>
  <c r="J6" i="3"/>
  <c r="G6" i="3"/>
  <c r="D6" i="3"/>
  <c r="A6" i="3"/>
  <c r="J5" i="3"/>
  <c r="G5" i="3"/>
  <c r="D5" i="3"/>
  <c r="A5" i="3"/>
  <c r="J4" i="3"/>
  <c r="G4" i="3"/>
  <c r="D4" i="3"/>
  <c r="A4" i="3"/>
  <c r="J3" i="3"/>
  <c r="G3" i="3"/>
  <c r="D3" i="3"/>
  <c r="A3" i="3"/>
  <c r="J2" i="3"/>
  <c r="G2" i="3"/>
  <c r="D2" i="3"/>
  <c r="A2" i="3"/>
</calcChain>
</file>

<file path=xl/sharedStrings.xml><?xml version="1.0" encoding="utf-8"?>
<sst xmlns="http://schemas.openxmlformats.org/spreadsheetml/2006/main" count="3768" uniqueCount="752">
  <si>
    <t>Tagger/merge</t>
  </si>
  <si>
    <t>Survey</t>
  </si>
  <si>
    <t>ID - Survey</t>
  </si>
  <si>
    <t>ML Practice Input (Data, models,..)</t>
  </si>
  <si>
    <t>ML Practice What/How (technique/method,..)</t>
  </si>
  <si>
    <t>ML Practice output AND/OR purpose (if it is mentioned)</t>
  </si>
  <si>
    <t>ML pipeline Stage</t>
  </si>
  <si>
    <t>61f78c898e1adf9ee380c9aa</t>
  </si>
  <si>
    <t>A1</t>
  </si>
  <si>
    <t>data</t>
  </si>
  <si>
    <t>manual validation</t>
  </si>
  <si>
    <t>to check its quality</t>
  </si>
  <si>
    <t>Data Cleaning</t>
  </si>
  <si>
    <t>manual sample inspection</t>
  </si>
  <si>
    <t>to evaluate data quality</t>
  </si>
  <si>
    <t>HM</t>
  </si>
  <si>
    <t>A2</t>
  </si>
  <si>
    <t>data cleaning pipeline</t>
  </si>
  <si>
    <t>to automate cleaning based on manual insights</t>
  </si>
  <si>
    <t>design a data cleaning workflow</t>
  </si>
  <si>
    <t>to automate the cleaning process of the data based on the issues found</t>
  </si>
  <si>
    <t>A3</t>
  </si>
  <si>
    <t>disjunct train/test sets</t>
  </si>
  <si>
    <t>to avoid data snooping</t>
  </si>
  <si>
    <t>Model Training</t>
  </si>
  <si>
    <t>split data into train and test data, avoiding overlapping</t>
  </si>
  <si>
    <t>A4</t>
  </si>
  <si>
    <t>deduplication</t>
  </si>
  <si>
    <t>data deduplication</t>
  </si>
  <si>
    <t>A5</t>
  </si>
  <si>
    <t>hyperparameter tuning</t>
  </si>
  <si>
    <t>A6</t>
  </si>
  <si>
    <t>combine qualitative and quantitative metrics</t>
  </si>
  <si>
    <t>to better understand results</t>
  </si>
  <si>
    <t>Model Evaluation</t>
  </si>
  <si>
    <t>model output</t>
  </si>
  <si>
    <t>use qualitative analysis not only quantitative</t>
  </si>
  <si>
    <t>to understand the problem as a whole</t>
  </si>
  <si>
    <t>A7</t>
  </si>
  <si>
    <t>training data</t>
  </si>
  <si>
    <t>Use oversampling or undersampling</t>
  </si>
  <si>
    <t>to balance data</t>
  </si>
  <si>
    <t>data (training set)</t>
  </si>
  <si>
    <t>balance data (i.e., undersampling or oversampling)</t>
  </si>
  <si>
    <t>to balance the data</t>
  </si>
  <si>
    <t>Data Collection</t>
  </si>
  <si>
    <t>A8</t>
  </si>
  <si>
    <t>use cross-validation</t>
  </si>
  <si>
    <t>cross validation</t>
  </si>
  <si>
    <t>Model Training, Model Evaluation</t>
  </si>
  <si>
    <t>A9</t>
  </si>
  <si>
    <t>select model based on own experiments</t>
  </si>
  <si>
    <t>Model Requirements (?)</t>
  </si>
  <si>
    <t>select model based on performance in own experiements (e.g., different models or same model different hyperparameters)</t>
  </si>
  <si>
    <t>to select a model</t>
  </si>
  <si>
    <t>Model Requirement</t>
  </si>
  <si>
    <t>A10</t>
  </si>
  <si>
    <t>repeat experiments multiple times</t>
  </si>
  <si>
    <t>to account for randomness</t>
  </si>
  <si>
    <t>multiple runs/experiments</t>
  </si>
  <si>
    <t>to account randomeness</t>
  </si>
  <si>
    <t>to account randomeness of nondeterministic process</t>
  </si>
  <si>
    <t>61f7a47a525bcdb321369205</t>
  </si>
  <si>
    <t>B1</t>
  </si>
  <si>
    <t>use RNNs</t>
  </si>
  <si>
    <t>use recurrent neural networks</t>
  </si>
  <si>
    <t>Model Requirement, Model Training</t>
  </si>
  <si>
    <t>61fa98f4f89008f4b082f18f</t>
  </si>
  <si>
    <t>C1</t>
  </si>
  <si>
    <t>use dimensionality reducation</t>
  </si>
  <si>
    <t>Feature Engineering</t>
  </si>
  <si>
    <t>use dimensionality reduction</t>
  </si>
  <si>
    <t>C2</t>
  </si>
  <si>
    <t>create training, validation and test sets</t>
  </si>
  <si>
    <t>split data into train, validation and test</t>
  </si>
  <si>
    <t>C3</t>
  </si>
  <si>
    <t>model</t>
  </si>
  <si>
    <t>interpret model</t>
  </si>
  <si>
    <t>to make debugging easier</t>
  </si>
  <si>
    <t>model(s)</t>
  </si>
  <si>
    <t>start with interpretable models</t>
  </si>
  <si>
    <t>to facilitate the debugging of the models</t>
  </si>
  <si>
    <t>C4</t>
  </si>
  <si>
    <t>remove unused features</t>
  </si>
  <si>
    <t>66657e0a7532d5c6279ff862</t>
  </si>
  <si>
    <t>D1</t>
  </si>
  <si>
    <t>ethical considerations</t>
  </si>
  <si>
    <t>??</t>
  </si>
  <si>
    <t>consider ethical issues</t>
  </si>
  <si>
    <t>cross cutting</t>
  </si>
  <si>
    <t>Other</t>
  </si>
  <si>
    <t>D2</t>
  </si>
  <si>
    <t>define problem</t>
  </si>
  <si>
    <t>Model Requirements</t>
  </si>
  <si>
    <t>define the problem</t>
  </si>
  <si>
    <t>D3</t>
  </si>
  <si>
    <t>prepare data</t>
  </si>
  <si>
    <t>data preparation</t>
  </si>
  <si>
    <t>D4</t>
  </si>
  <si>
    <t>Feature engineering</t>
  </si>
  <si>
    <t>feature engineering</t>
  </si>
  <si>
    <t>D5</t>
  </si>
  <si>
    <t>split data</t>
  </si>
  <si>
    <t>D6</t>
  </si>
  <si>
    <t>choose model</t>
  </si>
  <si>
    <t>select a model</t>
  </si>
  <si>
    <t>D7</t>
  </si>
  <si>
    <t>D8</t>
  </si>
  <si>
    <t>D9</t>
  </si>
  <si>
    <t>use regularization</t>
  </si>
  <si>
    <t>D10</t>
  </si>
  <si>
    <t>monitor metrics</t>
  </si>
  <si>
    <t>D11</t>
  </si>
  <si>
    <t>deploy incrementally</t>
  </si>
  <si>
    <t>Model Deployment</t>
  </si>
  <si>
    <t>do incremental deployments</t>
  </si>
  <si>
    <t>to deploy a model</t>
  </si>
  <si>
    <t>D12</t>
  </si>
  <si>
    <t>track experiments</t>
  </si>
  <si>
    <t>keep track of the experiments</t>
  </si>
  <si>
    <t>D13</t>
  </si>
  <si>
    <t>interprete the model(s)</t>
  </si>
  <si>
    <t>D14</t>
  </si>
  <si>
    <t>monitor continuously</t>
  </si>
  <si>
    <t>continuous monitoring</t>
  </si>
  <si>
    <t>D15</t>
  </si>
  <si>
    <t>document</t>
  </si>
  <si>
    <t>documentation</t>
  </si>
  <si>
    <t>Implementation</t>
  </si>
  <si>
    <t>666d12c1f7a9e029eda29209</t>
  </si>
  <si>
    <t>E1</t>
  </si>
  <si>
    <t>use version control (i.e., git)</t>
  </si>
  <si>
    <t>keep track of versions (e.g., data, models)</t>
  </si>
  <si>
    <t>E2</t>
  </si>
  <si>
    <t>write code with low coupling</t>
  </si>
  <si>
    <t>666d9337f7a9e029eda9528c</t>
  </si>
  <si>
    <t>F1</t>
  </si>
  <si>
    <t>multiple runs/experiments with different models</t>
  </si>
  <si>
    <t>consider different models</t>
  </si>
  <si>
    <t>try different models to achive a specific task</t>
  </si>
  <si>
    <t>F2</t>
  </si>
  <si>
    <t>F3</t>
  </si>
  <si>
    <t>create training and test sets</t>
  </si>
  <si>
    <t>ensure train set is not contained in test set</t>
  </si>
  <si>
    <t>F4</t>
  </si>
  <si>
    <t>667c81db80c2bc57688bdeba</t>
  </si>
  <si>
    <t>G1</t>
  </si>
  <si>
    <t>use transformers</t>
  </si>
  <si>
    <t>use transformer models</t>
  </si>
  <si>
    <t>667c824d80c2bc57688be8d9</t>
  </si>
  <si>
    <t>H1</t>
  </si>
  <si>
    <t>668cf0a496f28a545cac3b8c</t>
  </si>
  <si>
    <t>I1</t>
  </si>
  <si>
    <t>to reduce impact caused by nondeterminism</t>
  </si>
  <si>
    <t>61acfe568746768b169b9752</t>
  </si>
  <si>
    <t>J1</t>
  </si>
  <si>
    <t>conduct sanity check</t>
  </si>
  <si>
    <t>ensure data quality</t>
  </si>
  <si>
    <t>do sanity checks</t>
  </si>
  <si>
    <t>to ensure data quality</t>
  </si>
  <si>
    <t>J2</t>
  </si>
  <si>
    <t>disjunct training/test sets</t>
  </si>
  <si>
    <t>to avoid data snoopping</t>
  </si>
  <si>
    <t>J3</t>
  </si>
  <si>
    <t>unit testing</t>
  </si>
  <si>
    <t>unit-testing</t>
  </si>
  <si>
    <t>----</t>
  </si>
  <si>
    <t>do unit-testing</t>
  </si>
  <si>
    <t>J4</t>
  </si>
  <si>
    <t>other testing</t>
  </si>
  <si>
    <t>do other testing</t>
  </si>
  <si>
    <t>J5</t>
  </si>
  <si>
    <t>code review</t>
  </si>
  <si>
    <t>do code reviews</t>
  </si>
  <si>
    <t>J6</t>
  </si>
  <si>
    <t>comment code</t>
  </si>
  <si>
    <t>J7</t>
  </si>
  <si>
    <t>use version control software</t>
  </si>
  <si>
    <t>J8</t>
  </si>
  <si>
    <t>store hyperparameters and training logs</t>
  </si>
  <si>
    <t>keep track of used parameters</t>
  </si>
  <si>
    <t>keep track of the experiments (i.e., parameters used)</t>
  </si>
  <si>
    <t>logging of the model (i.e., performance) during training</t>
  </si>
  <si>
    <t>J9</t>
  </si>
  <si>
    <t>use containers</t>
  </si>
  <si>
    <t>J10</t>
  </si>
  <si>
    <t>use checkpointing</t>
  </si>
  <si>
    <t>use checkpoints</t>
  </si>
  <si>
    <t>J11</t>
  </si>
  <si>
    <t>use IDE</t>
  </si>
  <si>
    <t>61acfec7cb40e396fab9763e</t>
  </si>
  <si>
    <t>K1</t>
  </si>
  <si>
    <t>create artificial data with known distribution</t>
  </si>
  <si>
    <t>to sanity check and debug model code</t>
  </si>
  <si>
    <t>model(s)' code</t>
  </si>
  <si>
    <t>create their own data with known distribution</t>
  </si>
  <si>
    <t>to sanity check and debug model(s)' code</t>
  </si>
  <si>
    <t>Model Training, Implementation</t>
  </si>
  <si>
    <t>collect own data with known distribution</t>
  </si>
  <si>
    <t>to do sanity checks and debug model(s)' code</t>
  </si>
  <si>
    <t>K2</t>
  </si>
  <si>
    <t>reuse existing data</t>
  </si>
  <si>
    <t>to allow comparison with others</t>
  </si>
  <si>
    <t>use existing datasets</t>
  </si>
  <si>
    <t>to facilitate the comparizion with other approaches</t>
  </si>
  <si>
    <t>to sanity check results</t>
  </si>
  <si>
    <t>data + model(s) + metrics</t>
  </si>
  <si>
    <t>to do sanity checks on the results</t>
  </si>
  <si>
    <t>K3</t>
  </si>
  <si>
    <t>select features manually</t>
  </si>
  <si>
    <t>feature selection</t>
  </si>
  <si>
    <t>exploratory data analysis</t>
  </si>
  <si>
    <t>to understand important propertiers</t>
  </si>
  <si>
    <t>perform exploratory data analysis</t>
  </si>
  <si>
    <t>K4</t>
  </si>
  <si>
    <t>ablation study</t>
  </si>
  <si>
    <t>to understand impact of different components</t>
  </si>
  <si>
    <t>ablation study (removing parts of data and components)</t>
  </si>
  <si>
    <t>to understand how different components and/or data affect the model results</t>
  </si>
  <si>
    <t>K5</t>
  </si>
  <si>
    <t>version control</t>
  </si>
  <si>
    <t>61ad08c4f80df1fc79d5ff66</t>
  </si>
  <si>
    <t>L1</t>
  </si>
  <si>
    <t>use random forest</t>
  </si>
  <si>
    <t>L2</t>
  </si>
  <si>
    <t>use logistic regression</t>
  </si>
  <si>
    <t>61ad227be7afc482601d11f1</t>
  </si>
  <si>
    <t>M1</t>
  </si>
  <si>
    <t>M2</t>
  </si>
  <si>
    <t>use effect sizes</t>
  </si>
  <si>
    <t>to augment reporting of performance metrics and p-values</t>
  </si>
  <si>
    <t>to report a more complete performance evaluation, than only metrics and p-values</t>
  </si>
  <si>
    <t>M3</t>
  </si>
  <si>
    <t>consider feature overlap</t>
  </si>
  <si>
    <t>M4</t>
  </si>
  <si>
    <t>consider representativeness of data</t>
  </si>
  <si>
    <t>to avoid overgeneralization of results</t>
  </si>
  <si>
    <t>ensure the representativeness of data</t>
  </si>
  <si>
    <t>to be able to draw correct conclusions from the results, avoiding overgeneralization of results</t>
  </si>
  <si>
    <t>61ad456c67c81e4f86288192</t>
  </si>
  <si>
    <t>N1</t>
  </si>
  <si>
    <t>define research question</t>
  </si>
  <si>
    <t>define research questions</t>
  </si>
  <si>
    <t>when researching</t>
  </si>
  <si>
    <t>N2</t>
  </si>
  <si>
    <t>select data set suitable for SE task</t>
  </si>
  <si>
    <t>select dataset based on the type of problem/goal</t>
  </si>
  <si>
    <t>N3</t>
  </si>
  <si>
    <t>data cleaning</t>
  </si>
  <si>
    <t>N4</t>
  </si>
  <si>
    <t>select state-of-the-art models</t>
  </si>
  <si>
    <t>to observe results</t>
  </si>
  <si>
    <t>consider state-of-the-art models and evaluate them</t>
  </si>
  <si>
    <t>to observe the results, research</t>
  </si>
  <si>
    <t>to decide if a new approach is needed</t>
  </si>
  <si>
    <t>N5</t>
  </si>
  <si>
    <t>test models</t>
  </si>
  <si>
    <t>to provide insights how to improve</t>
  </si>
  <si>
    <t>evaluate a model</t>
  </si>
  <si>
    <t>to provide insights how to improve, research</t>
  </si>
  <si>
    <t>to provide insights on how to make improvements, research</t>
  </si>
  <si>
    <t>N6</t>
  </si>
  <si>
    <t>defy (challenge vrb) the current state-of-the-art</t>
  </si>
  <si>
    <t>to identify a better model for a specific task</t>
  </si>
  <si>
    <t>develop new models</t>
  </si>
  <si>
    <t>to improve state-of-the-art</t>
  </si>
  <si>
    <t>N7</t>
  </si>
  <si>
    <t>source code</t>
  </si>
  <si>
    <t>introduce new embedding methods</t>
  </si>
  <si>
    <t>code data</t>
  </si>
  <si>
    <t>N8</t>
  </si>
  <si>
    <t>to train a model for classification problems</t>
  </si>
  <si>
    <t>N9</t>
  </si>
  <si>
    <t>use oversampling or undersampling</t>
  </si>
  <si>
    <t>use ensemble models</t>
  </si>
  <si>
    <t>ensemble models</t>
  </si>
  <si>
    <t>use interpretability techniques (i.e., SHAP)</t>
  </si>
  <si>
    <t>to interpret the model</t>
  </si>
  <si>
    <t>to interpret models</t>
  </si>
  <si>
    <t>interprete the model(s) using SHAP</t>
  </si>
  <si>
    <t>61ad6a16f80df1366dd67775</t>
  </si>
  <si>
    <t>O1</t>
  </si>
  <si>
    <t>random sample distribution inspection against whole distribution</t>
  </si>
  <si>
    <t>to understand if sample has the same distribution as full population</t>
  </si>
  <si>
    <t>check distributions of samples</t>
  </si>
  <si>
    <t>to understand if it the same of full population</t>
  </si>
  <si>
    <t>compare the distribution between a random sample and the whole population</t>
  </si>
  <si>
    <t>to understand the data (i.e., if a sample mantains the distribution of the full population)</t>
  </si>
  <si>
    <t>O2</t>
  </si>
  <si>
    <t>analysis of biases</t>
  </si>
  <si>
    <t>to understand dominant categories</t>
  </si>
  <si>
    <t>consider the prominent features/factors identified during EDA</t>
  </si>
  <si>
    <t>to analyze data bias</t>
  </si>
  <si>
    <t>to identify biases</t>
  </si>
  <si>
    <t>O3</t>
  </si>
  <si>
    <t>data+model</t>
  </si>
  <si>
    <t>evaluate model for different subpopulations</t>
  </si>
  <si>
    <t>to understand their performance on subpopulations</t>
  </si>
  <si>
    <t>data + model(s)</t>
  </si>
  <si>
    <t>evaluate a model taking into account subgroups</t>
  </si>
  <si>
    <t>to evaluate model(s) for different subgroups</t>
  </si>
  <si>
    <t>consider the metrics for the different subgroups</t>
  </si>
  <si>
    <t>O4</t>
  </si>
  <si>
    <t>to evaluate model performance</t>
  </si>
  <si>
    <t>to evaluate model(s)</t>
  </si>
  <si>
    <t>O5</t>
  </si>
  <si>
    <t>analysis of which aspects of data were used by model</t>
  </si>
  <si>
    <t>to understand how output is generated</t>
  </si>
  <si>
    <t>analyze to which data aspects the model is using</t>
  </si>
  <si>
    <t>to understand the model(s) behaviour(s), how the output is generated</t>
  </si>
  <si>
    <t>analyze which data aspects is the model using</t>
  </si>
  <si>
    <t>O6</t>
  </si>
  <si>
    <t>O7</t>
  </si>
  <si>
    <t>explore different models</t>
  </si>
  <si>
    <t>to understand how they work for a problem</t>
  </si>
  <si>
    <t>to understand how different approaches work for a task</t>
  </si>
  <si>
    <t>61adbe97bf80ad26767b41b0</t>
  </si>
  <si>
    <t>Q1</t>
  </si>
  <si>
    <t>use AIC to pick suitable model</t>
  </si>
  <si>
    <t>to balance model performance and model complexity</t>
  </si>
  <si>
    <t>select model based on commplexity vs. goodness of fit (i.e., AIC criterion)</t>
  </si>
  <si>
    <t>Q2</t>
  </si>
  <si>
    <t>report confusion matrix</t>
  </si>
  <si>
    <t>report confusion matrix separetely from precision, recall and F-meassure</t>
  </si>
  <si>
    <t>Q3</t>
  </si>
  <si>
    <t>Q4</t>
  </si>
  <si>
    <t>compare to state-of-the-art</t>
  </si>
  <si>
    <t>61adda7b640ad3075fc6bf7c</t>
  </si>
  <si>
    <t>R1</t>
  </si>
  <si>
    <t>use multilayer perceptron</t>
  </si>
  <si>
    <t>use multi-layer perceptron</t>
  </si>
  <si>
    <t>61addd941d1694fae7e3a555</t>
  </si>
  <si>
    <t>S1</t>
  </si>
  <si>
    <t>use current training data</t>
  </si>
  <si>
    <t>to ensure data is not outdated</t>
  </si>
  <si>
    <t>ensure that the data is up-to-date</t>
  </si>
  <si>
    <t>S2</t>
  </si>
  <si>
    <t>ensure sufficient size of test set (i.e., at least 20% of training data)</t>
  </si>
  <si>
    <t>ensure that the amount of data in the test set is sufficient (i.e., at least 20% of training data)</t>
  </si>
  <si>
    <t>S3</t>
  </si>
  <si>
    <t>ensure sufficient amount of data per class</t>
  </si>
  <si>
    <t>ensure that the size of samples per class is similar</t>
  </si>
  <si>
    <t>ensure data are balance (i.e., number of samples per class)</t>
  </si>
  <si>
    <t>S4</t>
  </si>
  <si>
    <t>use feature engineering, even when using deep learning</t>
  </si>
  <si>
    <t>to extract features, even when using deep learning</t>
  </si>
  <si>
    <t>to extract features, when using deep learning</t>
  </si>
  <si>
    <t>61ae1a3f2606cf90f67a4ad8</t>
  </si>
  <si>
    <t>T1</t>
  </si>
  <si>
    <t>use representation learning</t>
  </si>
  <si>
    <t>61ae3b3f377c8e7dc689dc7c</t>
  </si>
  <si>
    <t>U1</t>
  </si>
  <si>
    <t>use support vector machine</t>
  </si>
  <si>
    <t>use support vector machines</t>
  </si>
  <si>
    <t>U2</t>
  </si>
  <si>
    <t>use bayesian network</t>
  </si>
  <si>
    <t>use Bayesian network</t>
  </si>
  <si>
    <t>U3</t>
  </si>
  <si>
    <t>use association rule mining</t>
  </si>
  <si>
    <t>U4</t>
  </si>
  <si>
    <t>U5</t>
  </si>
  <si>
    <t>use k-nearest neighbor</t>
  </si>
  <si>
    <t>use k-nearest neighbors</t>
  </si>
  <si>
    <t>U6</t>
  </si>
  <si>
    <t>U7</t>
  </si>
  <si>
    <t>use recursive partitioning</t>
  </si>
  <si>
    <t>U8</t>
  </si>
  <si>
    <t>use tree bagging</t>
  </si>
  <si>
    <t>ensemble models, tree bagging</t>
  </si>
  <si>
    <t>61aeb4a3f80df10813d8d366</t>
  </si>
  <si>
    <t>V1</t>
  </si>
  <si>
    <t>reuse existing data sets</t>
  </si>
  <si>
    <t>reuse existing models</t>
  </si>
  <si>
    <t>re-use existing model(s)</t>
  </si>
  <si>
    <t>reuse existing model(s)</t>
  </si>
  <si>
    <t>61b073dcbeab8c7c82aab3c8</t>
  </si>
  <si>
    <t>W1</t>
  </si>
  <si>
    <t>select model based on state-of-the-art</t>
  </si>
  <si>
    <t>W2</t>
  </si>
  <si>
    <t>W3</t>
  </si>
  <si>
    <t>use random seeds</t>
  </si>
  <si>
    <t>control random seed</t>
  </si>
  <si>
    <t>61b09167f72faa058229d97f</t>
  </si>
  <si>
    <t>X1</t>
  </si>
  <si>
    <t>use disjunct training and test data</t>
  </si>
  <si>
    <t>test in independent dataset(s) from training and validation</t>
  </si>
  <si>
    <t>train in independent dataset(s) from validation and testing</t>
  </si>
  <si>
    <t>X2</t>
  </si>
  <si>
    <t>use disjunct training, validation, and test data</t>
  </si>
  <si>
    <t>evaluate a model during training and testing</t>
  </si>
  <si>
    <t>X3</t>
  </si>
  <si>
    <t>X4</t>
  </si>
  <si>
    <t>X5</t>
  </si>
  <si>
    <t>check related papers</t>
  </si>
  <si>
    <t>consider related literature for the problem</t>
  </si>
  <si>
    <t>X6</t>
  </si>
  <si>
    <t>use multiple metrics</t>
  </si>
  <si>
    <t>compute multiple metrics not only one</t>
  </si>
  <si>
    <t>X7</t>
  </si>
  <si>
    <t>carefully report details</t>
  </si>
  <si>
    <t>to be accurate when generalising and to report fine-grained results</t>
  </si>
  <si>
    <t>report details of the generalisability of the fine-grained results and general trends</t>
  </si>
  <si>
    <t>report on the generalizability of detailed results and general trends.</t>
  </si>
  <si>
    <t>X8</t>
  </si>
  <si>
    <t>share dataset</t>
  </si>
  <si>
    <t>publish dataset used</t>
  </si>
  <si>
    <t>share code</t>
  </si>
  <si>
    <t>publish code used</t>
  </si>
  <si>
    <t>X9</t>
  </si>
  <si>
    <t>consider relationship between projects</t>
  </si>
  <si>
    <t>to account for using data from same of different projects during training and evaluation</t>
  </si>
  <si>
    <t>evaluate within own project and datasets and with external projects and datasets</t>
  </si>
  <si>
    <t>evaluate the model within its own project and datasets and with external projects and datasets</t>
  </si>
  <si>
    <t>61b0d467a6a6c23d3c3a08dd</t>
  </si>
  <si>
    <t>Y1</t>
  </si>
  <si>
    <t>perform EDA</t>
  </si>
  <si>
    <t>Y2</t>
  </si>
  <si>
    <t>text data</t>
  </si>
  <si>
    <t>pre-processing</t>
  </si>
  <si>
    <t>Data Processing</t>
  </si>
  <si>
    <t>textual data (i.e., code or NLP)</t>
  </si>
  <si>
    <t>textual pre-processing</t>
  </si>
  <si>
    <t>Y3</t>
  </si>
  <si>
    <t>select baselines</t>
  </si>
  <si>
    <t>for comparison</t>
  </si>
  <si>
    <t>compare with simpler baseline models (Occam's razor)</t>
  </si>
  <si>
    <t>Y4</t>
  </si>
  <si>
    <t>test generalizability of approach</t>
  </si>
  <si>
    <t>evaluate model generalizability</t>
  </si>
  <si>
    <t>Y5</t>
  </si>
  <si>
    <t>check for sampling bias</t>
  </si>
  <si>
    <t>check for data snooping</t>
  </si>
  <si>
    <t>Y6</t>
  </si>
  <si>
    <t>check for over- and underfitting</t>
  </si>
  <si>
    <t>evaluate over-/under fitting</t>
  </si>
  <si>
    <t>61b1b9872d5ef65fe937e676</t>
  </si>
  <si>
    <t>Z1</t>
  </si>
  <si>
    <t>use normalization</t>
  </si>
  <si>
    <t>Z2</t>
  </si>
  <si>
    <t>prune outliers</t>
  </si>
  <si>
    <t>Z3</t>
  </si>
  <si>
    <t>61b1d5045c9f2f185d67c117</t>
  </si>
  <si>
    <t>AA1</t>
  </si>
  <si>
    <t>statistical test</t>
  </si>
  <si>
    <t>use statistical tests</t>
  </si>
  <si>
    <t>61c003b2054f47b215f5fcfb</t>
  </si>
  <si>
    <t>AB1</t>
  </si>
  <si>
    <t>Use transformer architecutere</t>
  </si>
  <si>
    <t>AB2</t>
  </si>
  <si>
    <t>use BERT</t>
  </si>
  <si>
    <t>Use BERT model</t>
  </si>
  <si>
    <t>AB3</t>
  </si>
  <si>
    <t>Use GPT model</t>
  </si>
  <si>
    <t>use GPT</t>
  </si>
  <si>
    <t>61c03f7b40b2ec5d1d53d06d</t>
  </si>
  <si>
    <t>AC1</t>
  </si>
  <si>
    <t>create training, validation, and test data</t>
  </si>
  <si>
    <t>AC2</t>
  </si>
  <si>
    <t>remove outliers</t>
  </si>
  <si>
    <t>to understand the data (i.e., outliers)</t>
  </si>
  <si>
    <t>AC3</t>
  </si>
  <si>
    <t>repeat data collection</t>
  </si>
  <si>
    <t>AC4</t>
  </si>
  <si>
    <t>compare with multiple models to avoid bias</t>
  </si>
  <si>
    <t>compare multiple approaches for bias avoidance</t>
  </si>
  <si>
    <t>consider different approaches and evaluate them</t>
  </si>
  <si>
    <t>to avoid biases</t>
  </si>
  <si>
    <t>AC5</t>
  </si>
  <si>
    <t>use experts to analyze results</t>
  </si>
  <si>
    <t>consult multiple experts</t>
  </si>
  <si>
    <t>to analyze results</t>
  </si>
  <si>
    <t>consult a machine learning expert</t>
  </si>
  <si>
    <t>AC6</t>
  </si>
  <si>
    <t>use statistical tests and effect sizes</t>
  </si>
  <si>
    <t>to judge the results</t>
  </si>
  <si>
    <t>statistical test and effect sizes</t>
  </si>
  <si>
    <t>to be able to draw correct conclusions from the results.</t>
  </si>
  <si>
    <t>AC7</t>
  </si>
  <si>
    <t>Hyperparameter tuning</t>
  </si>
  <si>
    <t>61c2ee38ef4e7491aaea4d23</t>
  </si>
  <si>
    <t>AD1</t>
  </si>
  <si>
    <t>AD2</t>
  </si>
  <si>
    <t>create a model of the required data</t>
  </si>
  <si>
    <t>create a model of the data</t>
  </si>
  <si>
    <t>data modeling</t>
  </si>
  <si>
    <t>61ccd83c60d79066d144934d</t>
  </si>
  <si>
    <t>AE1</t>
  </si>
  <si>
    <t>AE2</t>
  </si>
  <si>
    <t>manual data annotation</t>
  </si>
  <si>
    <t>to create ground truth</t>
  </si>
  <si>
    <t>manual labeling</t>
  </si>
  <si>
    <t>to assign a label to the instances</t>
  </si>
  <si>
    <t>Data Labeling</t>
  </si>
  <si>
    <t>AE3</t>
  </si>
  <si>
    <t>data exploration</t>
  </si>
  <si>
    <t>AE4</t>
  </si>
  <si>
    <t>AE5</t>
  </si>
  <si>
    <t>AE6</t>
  </si>
  <si>
    <t>model design</t>
  </si>
  <si>
    <t>AE7</t>
  </si>
  <si>
    <t>model selection</t>
  </si>
  <si>
    <t>AE8</t>
  </si>
  <si>
    <t>AE9</t>
  </si>
  <si>
    <t>61d5faa92ae6c7c6a7688b4e</t>
  </si>
  <si>
    <t>AF1</t>
  </si>
  <si>
    <t>use machine learning</t>
  </si>
  <si>
    <t>to solve classification tasks in software engineering</t>
  </si>
  <si>
    <t>Model Requirement, cross cutting</t>
  </si>
  <si>
    <t>to solve recommendation tasks in software engineering</t>
  </si>
  <si>
    <t>61d5fbc88c4df80bc581c80b</t>
  </si>
  <si>
    <t>AG1</t>
  </si>
  <si>
    <t>use validation that is different from test set</t>
  </si>
  <si>
    <t>to tune hyperparameters</t>
  </si>
  <si>
    <t>hyperparameter tuning evaluation on validation set, independent dataset(s) from validation and testing</t>
  </si>
  <si>
    <t>AG2</t>
  </si>
  <si>
    <t>conduct ablations with simpler models</t>
  </si>
  <si>
    <t>to understand impact of model design decisions</t>
  </si>
  <si>
    <t>ablation study (with simpler models)</t>
  </si>
  <si>
    <t>to understand how different design decisions affect the model results</t>
  </si>
  <si>
    <t>AG3</t>
  </si>
  <si>
    <t>report model parameters</t>
  </si>
  <si>
    <t>report model parameters used</t>
  </si>
  <si>
    <t>AG4</t>
  </si>
  <si>
    <t>Report training time and resources</t>
  </si>
  <si>
    <t>report time and resources needed</t>
  </si>
  <si>
    <t>report time and resources used</t>
  </si>
  <si>
    <t>AG5</t>
  </si>
  <si>
    <t>manually analyze outliers in predictions</t>
  </si>
  <si>
    <t>manual inspection of real outputs</t>
  </si>
  <si>
    <t>manual data inspection</t>
  </si>
  <si>
    <t>AG6</t>
  </si>
  <si>
    <t>deduplicate training data</t>
  </si>
  <si>
    <t>AG7</t>
  </si>
  <si>
    <t>use multiple metrics (i.e., loss, accuracy, precision/recall curves)</t>
  </si>
  <si>
    <t>compute classical metrics (i.e.., Loss, Accuracy, Precision/Recall curves )</t>
  </si>
  <si>
    <t>compute classical metrics (i.e., Loss, Accuracy, Precision/Recall curves )</t>
  </si>
  <si>
    <t>61d60a122ae6c7e6c268a8eb</t>
  </si>
  <si>
    <t>AH1</t>
  </si>
  <si>
    <t>use adverarial machine learning</t>
  </si>
  <si>
    <t>use adversial machine learning</t>
  </si>
  <si>
    <t>AH2</t>
  </si>
  <si>
    <t>use explainable machine learning</t>
  </si>
  <si>
    <t>use explainable AI</t>
  </si>
  <si>
    <t>AH3</t>
  </si>
  <si>
    <t>use machine learning framework</t>
  </si>
  <si>
    <t>use existing frameworks</t>
  </si>
  <si>
    <t>AH4</t>
  </si>
  <si>
    <t>use statistical analysis</t>
  </si>
  <si>
    <t>use statical analysis</t>
  </si>
  <si>
    <t>61d60c927df3c83e47092886</t>
  </si>
  <si>
    <t>AI1</t>
  </si>
  <si>
    <t>AI2</t>
  </si>
  <si>
    <t>report the standard error</t>
  </si>
  <si>
    <t>AI3</t>
  </si>
  <si>
    <t>use multiple data sets</t>
  </si>
  <si>
    <t>have multiple datasets</t>
  </si>
  <si>
    <t>AI4</t>
  </si>
  <si>
    <t>compare to at least one baseline</t>
  </si>
  <si>
    <t>compare with multiple baseline models</t>
  </si>
  <si>
    <t>61d6172997a931b400eff322</t>
  </si>
  <si>
    <t>AJ1</t>
  </si>
  <si>
    <t>repeat experiments</t>
  </si>
  <si>
    <t>to understand randnomness of stochastic approaches</t>
  </si>
  <si>
    <t>multiple runs/experiments, with different random seeds</t>
  </si>
  <si>
    <t>to understand randomness of stocastic approaches</t>
  </si>
  <si>
    <t>AJ2</t>
  </si>
  <si>
    <t>hyperparameter tuning for all models</t>
  </si>
  <si>
    <t>to ensure a fair comparison</t>
  </si>
  <si>
    <t>select training/evaluation approach based on the type of data and model</t>
  </si>
  <si>
    <t>to have an hyperparameter tuning aproach</t>
  </si>
  <si>
    <t>optimize all models like the current/proposed model (i.e., train and tune baseline/actual model with the correct hyperparameters)</t>
  </si>
  <si>
    <t>to have fair comparisons between all evaluated models</t>
  </si>
  <si>
    <t>AJ3</t>
  </si>
  <si>
    <t>use statistical tests, confidence intervals, and effect sizes</t>
  </si>
  <si>
    <t>statistical test, effect sizes and confidence interval</t>
  </si>
  <si>
    <t>statistical tests, effect sizes and confidence intervals</t>
  </si>
  <si>
    <t>AJ4</t>
  </si>
  <si>
    <t>report as much as possible about th experiments</t>
  </si>
  <si>
    <t>to be able to replicate/reproduce a study, research</t>
  </si>
  <si>
    <t>Implementation, cross cutting</t>
  </si>
  <si>
    <t>provide as much information about the experiment setup</t>
  </si>
  <si>
    <t>to enable replicability</t>
  </si>
  <si>
    <t>AJ5</t>
  </si>
  <si>
    <t>provide all versions of a data sets (i.e., raw data, processed data, different data splits)</t>
  </si>
  <si>
    <t>report all versions of a data sets (i.e., raw data, processed data, different data splits)</t>
  </si>
  <si>
    <t>AJ6</t>
  </si>
  <si>
    <t>provide spreadsheets of all results</t>
  </si>
  <si>
    <t>report spreadsheets of all results</t>
  </si>
  <si>
    <t>AJ7</t>
  </si>
  <si>
    <t>provide information about how code was executed (e.g., random seed)</t>
  </si>
  <si>
    <t>report information about how code was executed (e.g., random seed)</t>
  </si>
  <si>
    <t>61d66108f5972035e783715f</t>
  </si>
  <si>
    <t>AU1</t>
  </si>
  <si>
    <t>use CNN</t>
  </si>
  <si>
    <t>use convolutional neural networks</t>
  </si>
  <si>
    <t>AU2</t>
  </si>
  <si>
    <t>use RNN</t>
  </si>
  <si>
    <t>61d69eaca81cb7a90dd67eb3</t>
  </si>
  <si>
    <t>AK1</t>
  </si>
  <si>
    <t>use independent training and test data</t>
  </si>
  <si>
    <t>train in independent dataset(s) from testing sets</t>
  </si>
  <si>
    <t>train in independent dataset(s) from testing</t>
  </si>
  <si>
    <t>AK2</t>
  </si>
  <si>
    <t>ensure to have enough data</t>
  </si>
  <si>
    <t>ensure that amount of data is sufficient</t>
  </si>
  <si>
    <t>ensure that the amount of data is sufficient</t>
  </si>
  <si>
    <t>AK3</t>
  </si>
  <si>
    <t>ensure that data quality is sufficient</t>
  </si>
  <si>
    <t>ensure that data meet requirements</t>
  </si>
  <si>
    <t>AK4</t>
  </si>
  <si>
    <t>use suitable metrics for evaluation</t>
  </si>
  <si>
    <t>use suitable metrics</t>
  </si>
  <si>
    <t>AK5</t>
  </si>
  <si>
    <t>use simple metrics</t>
  </si>
  <si>
    <t>AK6</t>
  </si>
  <si>
    <t>use versioning for data and models</t>
  </si>
  <si>
    <t>AK7</t>
  </si>
  <si>
    <t>ensure model is adapted or adequeate</t>
  </si>
  <si>
    <t>to ensure suitability for investigation topic</t>
  </si>
  <si>
    <t>select model based on problem</t>
  </si>
  <si>
    <t>AK8</t>
  </si>
  <si>
    <t>use different models</t>
  </si>
  <si>
    <t>61d6f61e8ba92498f9e737c4</t>
  </si>
  <si>
    <t>AL1</t>
  </si>
  <si>
    <t>use LSTM</t>
  </si>
  <si>
    <t>AL2</t>
  </si>
  <si>
    <t>use BERT model</t>
  </si>
  <si>
    <t>AL3</t>
  </si>
  <si>
    <t>use CodeBERT</t>
  </si>
  <si>
    <t>use CodeBERT model</t>
  </si>
  <si>
    <t>AL4</t>
  </si>
  <si>
    <t>use GraphCodeBERT model</t>
  </si>
  <si>
    <t>use GraphCodeBERT</t>
  </si>
  <si>
    <t>AL5</t>
  </si>
  <si>
    <t>use SynCoBERT model</t>
  </si>
  <si>
    <t>use SynCoBERT</t>
  </si>
  <si>
    <t>61d7b802f597200fec858891</t>
  </si>
  <si>
    <t>AM1</t>
  </si>
  <si>
    <t>AM2</t>
  </si>
  <si>
    <t>ensure that training and test data are separate when reducing dimensions</t>
  </si>
  <si>
    <t>feature extraction with PCA only the training set</t>
  </si>
  <si>
    <t>AM3</t>
  </si>
  <si>
    <t>use stratified sampling</t>
  </si>
  <si>
    <t>to keep sample distribution</t>
  </si>
  <si>
    <t>ensure having an even distribution in the different splits of the data</t>
  </si>
  <si>
    <t>split data into train and test, using stratified sampling</t>
  </si>
  <si>
    <t>to mantain sample distribution in training and test sets</t>
  </si>
  <si>
    <t>AM4</t>
  </si>
  <si>
    <t>to avoid bad results</t>
  </si>
  <si>
    <t>AM5</t>
  </si>
  <si>
    <t>use multiple data encoding techniques</t>
  </si>
  <si>
    <t>to understand impact of encoding on results</t>
  </si>
  <si>
    <t>try different encoding techniques</t>
  </si>
  <si>
    <t>to understand how different encoding affects the results</t>
  </si>
  <si>
    <t>ablation study (different encoding techniques)</t>
  </si>
  <si>
    <t>to understand how different encoding affects the model results</t>
  </si>
  <si>
    <t>61d9c4fd966644c05059bdf2</t>
  </si>
  <si>
    <t>AN1</t>
  </si>
  <si>
    <t>AN2</t>
  </si>
  <si>
    <t>AN3</t>
  </si>
  <si>
    <t>multiple runs/experiments with statistical tests</t>
  </si>
  <si>
    <t>61dc5d6f8c4df86b758c0683</t>
  </si>
  <si>
    <t>AO1</t>
  </si>
  <si>
    <t>use supervised learning</t>
  </si>
  <si>
    <t>AO2</t>
  </si>
  <si>
    <t>use feature selection</t>
  </si>
  <si>
    <t>feature extraction</t>
  </si>
  <si>
    <t>61dee49befe007c8e3c56f07</t>
  </si>
  <si>
    <t>AP1</t>
  </si>
  <si>
    <t>use KNN</t>
  </si>
  <si>
    <t>AP2</t>
  </si>
  <si>
    <t>AP3</t>
  </si>
  <si>
    <t>AP4</t>
  </si>
  <si>
    <t>AP5</t>
  </si>
  <si>
    <t>use GNN</t>
  </si>
  <si>
    <t>not use GNN</t>
  </si>
  <si>
    <t>61e15ab6e486393bd72bda1a</t>
  </si>
  <si>
    <t>AQ1</t>
  </si>
  <si>
    <t>design dataset features</t>
  </si>
  <si>
    <t>to ensure reproduction of dataset</t>
  </si>
  <si>
    <t>to collect data, when the required data does not exist</t>
  </si>
  <si>
    <t>AQ2</t>
  </si>
  <si>
    <t>data collection</t>
  </si>
  <si>
    <t>AQ3</t>
  </si>
  <si>
    <t>preprocess data</t>
  </si>
  <si>
    <t>data pre-procesing</t>
  </si>
  <si>
    <t>AQ4</t>
  </si>
  <si>
    <t>AQ5</t>
  </si>
  <si>
    <t>compare multiple ML algorithms</t>
  </si>
  <si>
    <t>AQ6</t>
  </si>
  <si>
    <t>compare to non-ML solutions</t>
  </si>
  <si>
    <t>consider non-ML approaches and evaluate them</t>
  </si>
  <si>
    <t>AQ7</t>
  </si>
  <si>
    <t>to understand statistical significance</t>
  </si>
  <si>
    <t>AQ8</t>
  </si>
  <si>
    <t>choose metrics based on objective</t>
  </si>
  <si>
    <t>to ensure that metrics are suitable for research objective</t>
  </si>
  <si>
    <t>select metrics based on the research questions</t>
  </si>
  <si>
    <t>AQ9</t>
  </si>
  <si>
    <t>publish source code and models</t>
  </si>
  <si>
    <t>61e73369839846b90a1805c3</t>
  </si>
  <si>
    <t>AR1</t>
  </si>
  <si>
    <t>balance dataset accross classes</t>
  </si>
  <si>
    <t>balance data across classes</t>
  </si>
  <si>
    <t>AR2</t>
  </si>
  <si>
    <t>ensure training and test set are disjoint</t>
  </si>
  <si>
    <t>AR3</t>
  </si>
  <si>
    <t>use appropriate pre-processing (e.g., stop word removal)</t>
  </si>
  <si>
    <t>AR4</t>
  </si>
  <si>
    <t>vary data set size</t>
  </si>
  <si>
    <t>to understand sensitivity</t>
  </si>
  <si>
    <t>ablation study (vary dataset size)</t>
  </si>
  <si>
    <t>to understand the model(s) sensitivity</t>
  </si>
  <si>
    <t>AR5</t>
  </si>
  <si>
    <t>61f41c5c8e1adf44987cc97c</t>
  </si>
  <si>
    <t>AS1</t>
  </si>
  <si>
    <t>use data balancing</t>
  </si>
  <si>
    <t>balance data</t>
  </si>
  <si>
    <t>AS2</t>
  </si>
  <si>
    <t>AS3</t>
  </si>
  <si>
    <t>AS4</t>
  </si>
  <si>
    <t>AS5</t>
  </si>
  <si>
    <t>to reduce bias from random sampling</t>
  </si>
  <si>
    <t>to control sample bias, research</t>
  </si>
  <si>
    <t>61fafb20525bcd05073c328f</t>
  </si>
  <si>
    <t>AT1</t>
  </si>
  <si>
    <t>use naive bayes</t>
  </si>
  <si>
    <t>for issue report classification</t>
  </si>
  <si>
    <t>use Naive Bayes</t>
  </si>
  <si>
    <t>to train a model for issue report classification</t>
  </si>
  <si>
    <t>AT2</t>
  </si>
  <si>
    <t>AT3</t>
  </si>
  <si>
    <t>use SVM</t>
  </si>
  <si>
    <t>AT4</t>
  </si>
  <si>
    <t>use decision tree</t>
  </si>
  <si>
    <t>AT5</t>
  </si>
  <si>
    <t>AT6</t>
  </si>
  <si>
    <t>use extreme gradient boosting</t>
  </si>
  <si>
    <t>use Extreme Gradient Boosting</t>
  </si>
  <si>
    <t>AT7</t>
  </si>
  <si>
    <t>AT8</t>
  </si>
  <si>
    <t>AT9</t>
  </si>
  <si>
    <t>Input</t>
  </si>
  <si>
    <t>Technique</t>
  </si>
  <si>
    <t>Purpouse</t>
  </si>
  <si>
    <t>ML Pipeline</t>
  </si>
  <si>
    <t>AU3</t>
  </si>
  <si>
    <t>AU4</t>
  </si>
  <si>
    <t>61ad5448bf80ad78967ace7e</t>
  </si>
  <si>
    <t>Tagger1</t>
  </si>
  <si>
    <t>Tagger2</t>
  </si>
  <si>
    <t>AV1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</si>
</sst>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theme="1"/>
      <name val="Aptos Narrow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EED2-5B4D-4833-BDA3-45D64D329820}">
  <dimension ref="A1:G233"/>
  <sheetViews>
    <sheetView tabSelected="1" topLeftCell="A191" workbookViewId="0">
      <selection activeCell="F245" sqref="F245"/>
    </sheetView>
  </sheetViews>
  <sheetFormatPr defaultRowHeight="12.75" x14ac:dyDescent="0.2"/>
  <cols>
    <col min="3" max="3" width="17" customWidth="1"/>
    <col min="4" max="4" width="27.5703125" customWidth="1"/>
    <col min="5" max="5" width="17.85546875" customWidth="1"/>
    <col min="6" max="6" width="21.7109375" customWidth="1"/>
    <col min="7" max="7" width="20.28515625" customWidth="1"/>
  </cols>
  <sheetData>
    <row r="1" spans="1:7" ht="63" x14ac:dyDescent="0.25">
      <c r="A1" s="9" t="s">
        <v>0</v>
      </c>
      <c r="B1" s="9" t="s">
        <v>1</v>
      </c>
      <c r="C1" s="10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ht="15" x14ac:dyDescent="0.25">
      <c r="A2" s="3" t="s">
        <v>15</v>
      </c>
      <c r="B2" s="4" t="s">
        <v>7</v>
      </c>
      <c r="C2" s="4" t="s">
        <v>8</v>
      </c>
      <c r="D2" s="1" t="s">
        <v>9</v>
      </c>
      <c r="E2" s="1" t="s">
        <v>13</v>
      </c>
      <c r="F2" s="1" t="s">
        <v>14</v>
      </c>
      <c r="G2" s="1" t="s">
        <v>12</v>
      </c>
    </row>
    <row r="3" spans="1:7" ht="15" x14ac:dyDescent="0.25">
      <c r="A3" s="3" t="s">
        <v>15</v>
      </c>
      <c r="B3" s="4" t="s">
        <v>7</v>
      </c>
      <c r="C3" s="3" t="s">
        <v>16</v>
      </c>
      <c r="D3" s="3" t="s">
        <v>9</v>
      </c>
      <c r="E3" s="3" t="s">
        <v>19</v>
      </c>
      <c r="F3" s="3" t="s">
        <v>20</v>
      </c>
      <c r="G3" s="3" t="s">
        <v>12</v>
      </c>
    </row>
    <row r="4" spans="1:7" ht="15" x14ac:dyDescent="0.25">
      <c r="A4" s="3" t="s">
        <v>15</v>
      </c>
      <c r="B4" s="4" t="s">
        <v>7</v>
      </c>
      <c r="C4" s="3" t="s">
        <v>21</v>
      </c>
      <c r="D4" s="3"/>
      <c r="E4" s="3" t="s">
        <v>25</v>
      </c>
      <c r="F4" s="3"/>
      <c r="G4" s="3" t="s">
        <v>12</v>
      </c>
    </row>
    <row r="5" spans="1:7" ht="15" x14ac:dyDescent="0.25">
      <c r="A5" s="3" t="s">
        <v>15</v>
      </c>
      <c r="B5" s="4" t="s">
        <v>7</v>
      </c>
      <c r="C5" s="3" t="s">
        <v>26</v>
      </c>
      <c r="D5" s="3" t="s">
        <v>9</v>
      </c>
      <c r="E5" s="3" t="s">
        <v>28</v>
      </c>
      <c r="F5" s="3"/>
      <c r="G5" s="3" t="s">
        <v>12</v>
      </c>
    </row>
    <row r="6" spans="1:7" ht="15" x14ac:dyDescent="0.25">
      <c r="A6" s="3" t="s">
        <v>15</v>
      </c>
      <c r="B6" s="4" t="s">
        <v>7</v>
      </c>
      <c r="C6" s="3" t="s">
        <v>29</v>
      </c>
      <c r="D6" s="3"/>
      <c r="E6" s="3" t="s">
        <v>30</v>
      </c>
      <c r="F6" s="3"/>
      <c r="G6" s="3" t="s">
        <v>24</v>
      </c>
    </row>
    <row r="7" spans="1:7" ht="15" x14ac:dyDescent="0.25">
      <c r="A7" s="3" t="s">
        <v>15</v>
      </c>
      <c r="B7" s="4" t="s">
        <v>7</v>
      </c>
      <c r="C7" s="3" t="s">
        <v>31</v>
      </c>
      <c r="D7" s="3" t="s">
        <v>35</v>
      </c>
      <c r="E7" s="3" t="s">
        <v>36</v>
      </c>
      <c r="F7" s="3" t="s">
        <v>37</v>
      </c>
      <c r="G7" s="3" t="s">
        <v>34</v>
      </c>
    </row>
    <row r="8" spans="1:7" ht="15" x14ac:dyDescent="0.25">
      <c r="A8" s="3" t="s">
        <v>15</v>
      </c>
      <c r="B8" s="4" t="s">
        <v>7</v>
      </c>
      <c r="C8" s="3" t="s">
        <v>38</v>
      </c>
      <c r="D8" s="3" t="s">
        <v>42</v>
      </c>
      <c r="E8" s="3" t="s">
        <v>43</v>
      </c>
      <c r="F8" s="3" t="s">
        <v>44</v>
      </c>
      <c r="G8" s="3" t="s">
        <v>45</v>
      </c>
    </row>
    <row r="9" spans="1:7" ht="15" x14ac:dyDescent="0.25">
      <c r="A9" s="3" t="s">
        <v>15</v>
      </c>
      <c r="B9" s="4" t="s">
        <v>7</v>
      </c>
      <c r="C9" s="3" t="s">
        <v>46</v>
      </c>
      <c r="D9" s="3" t="s">
        <v>9</v>
      </c>
      <c r="E9" s="3" t="s">
        <v>48</v>
      </c>
      <c r="F9" s="3"/>
      <c r="G9" s="3" t="s">
        <v>34</v>
      </c>
    </row>
    <row r="10" spans="1:7" ht="15" x14ac:dyDescent="0.25">
      <c r="A10" s="3" t="s">
        <v>15</v>
      </c>
      <c r="B10" s="4" t="s">
        <v>7</v>
      </c>
      <c r="C10" s="3" t="s">
        <v>50</v>
      </c>
      <c r="D10" s="3"/>
      <c r="E10" s="3" t="s">
        <v>53</v>
      </c>
      <c r="F10" s="3" t="s">
        <v>54</v>
      </c>
      <c r="G10" s="3" t="s">
        <v>55</v>
      </c>
    </row>
    <row r="11" spans="1:7" ht="15" x14ac:dyDescent="0.25">
      <c r="A11" s="3" t="s">
        <v>15</v>
      </c>
      <c r="B11" s="4" t="s">
        <v>7</v>
      </c>
      <c r="C11" s="3" t="s">
        <v>56</v>
      </c>
      <c r="D11" s="3"/>
      <c r="E11" s="3" t="s">
        <v>59</v>
      </c>
      <c r="F11" s="3" t="s">
        <v>61</v>
      </c>
      <c r="G11" s="3" t="s">
        <v>34</v>
      </c>
    </row>
    <row r="12" spans="1:7" ht="15" x14ac:dyDescent="0.25">
      <c r="A12" s="3" t="s">
        <v>15</v>
      </c>
      <c r="B12" s="4" t="s">
        <v>62</v>
      </c>
      <c r="C12" s="3" t="s">
        <v>63</v>
      </c>
      <c r="D12" s="3"/>
      <c r="E12" s="3" t="s">
        <v>65</v>
      </c>
      <c r="F12" s="3"/>
      <c r="G12" s="3" t="s">
        <v>24</v>
      </c>
    </row>
    <row r="13" spans="1:7" ht="15" x14ac:dyDescent="0.25">
      <c r="A13" s="3" t="s">
        <v>15</v>
      </c>
      <c r="B13" s="4" t="s">
        <v>67</v>
      </c>
      <c r="C13" s="3" t="s">
        <v>68</v>
      </c>
      <c r="D13" s="3"/>
      <c r="E13" s="3" t="s">
        <v>71</v>
      </c>
      <c r="F13" s="3"/>
      <c r="G13" s="3" t="s">
        <v>70</v>
      </c>
    </row>
    <row r="14" spans="1:7" ht="15" x14ac:dyDescent="0.25">
      <c r="A14" s="3" t="s">
        <v>15</v>
      </c>
      <c r="B14" s="4" t="s">
        <v>67</v>
      </c>
      <c r="C14" s="3" t="s">
        <v>72</v>
      </c>
      <c r="D14" s="3" t="s">
        <v>9</v>
      </c>
      <c r="E14" s="3" t="s">
        <v>74</v>
      </c>
      <c r="F14" s="3"/>
      <c r="G14" s="3" t="s">
        <v>12</v>
      </c>
    </row>
    <row r="15" spans="1:7" ht="15" x14ac:dyDescent="0.25">
      <c r="A15" s="3" t="s">
        <v>15</v>
      </c>
      <c r="B15" s="4" t="s">
        <v>67</v>
      </c>
      <c r="C15" s="3" t="s">
        <v>75</v>
      </c>
      <c r="D15" s="3" t="s">
        <v>79</v>
      </c>
      <c r="E15" s="3" t="s">
        <v>80</v>
      </c>
      <c r="F15" s="3" t="s">
        <v>81</v>
      </c>
      <c r="G15" s="3" t="s">
        <v>24</v>
      </c>
    </row>
    <row r="16" spans="1:7" ht="15" x14ac:dyDescent="0.25">
      <c r="A16" s="3" t="s">
        <v>15</v>
      </c>
      <c r="B16" s="4" t="s">
        <v>67</v>
      </c>
      <c r="C16" s="3" t="s">
        <v>82</v>
      </c>
      <c r="D16" s="3" t="s">
        <v>9</v>
      </c>
      <c r="E16" s="3" t="s">
        <v>83</v>
      </c>
      <c r="F16" s="3"/>
      <c r="G16" s="3" t="s">
        <v>12</v>
      </c>
    </row>
    <row r="17" spans="1:7" ht="15" x14ac:dyDescent="0.25">
      <c r="A17" s="3" t="s">
        <v>15</v>
      </c>
      <c r="B17" s="4" t="s">
        <v>84</v>
      </c>
      <c r="C17" s="3" t="s">
        <v>85</v>
      </c>
      <c r="D17" s="3"/>
      <c r="E17" s="3" t="s">
        <v>88</v>
      </c>
      <c r="F17" s="3"/>
      <c r="G17" s="3" t="s">
        <v>90</v>
      </c>
    </row>
    <row r="18" spans="1:7" ht="15" x14ac:dyDescent="0.25">
      <c r="A18" s="3" t="s">
        <v>15</v>
      </c>
      <c r="B18" s="4" t="s">
        <v>84</v>
      </c>
      <c r="C18" s="3" t="s">
        <v>91</v>
      </c>
      <c r="D18" s="3"/>
      <c r="E18" s="3" t="s">
        <v>94</v>
      </c>
      <c r="F18" s="3"/>
      <c r="G18" s="3" t="s">
        <v>90</v>
      </c>
    </row>
    <row r="19" spans="1:7" ht="15" x14ac:dyDescent="0.25">
      <c r="A19" s="3" t="s">
        <v>15</v>
      </c>
      <c r="B19" s="4" t="s">
        <v>84</v>
      </c>
      <c r="C19" s="4" t="s">
        <v>95</v>
      </c>
      <c r="D19" s="3" t="s">
        <v>9</v>
      </c>
      <c r="E19" s="1" t="s">
        <v>97</v>
      </c>
      <c r="F19" s="3"/>
      <c r="G19" s="3" t="s">
        <v>12</v>
      </c>
    </row>
    <row r="20" spans="1:7" ht="15" x14ac:dyDescent="0.25">
      <c r="A20" s="3" t="s">
        <v>15</v>
      </c>
      <c r="B20" s="4" t="s">
        <v>84</v>
      </c>
      <c r="C20" s="3" t="s">
        <v>98</v>
      </c>
      <c r="D20" s="3" t="s">
        <v>9</v>
      </c>
      <c r="E20" s="3" t="s">
        <v>100</v>
      </c>
      <c r="F20" s="3"/>
      <c r="G20" s="3" t="s">
        <v>70</v>
      </c>
    </row>
    <row r="21" spans="1:7" ht="15" x14ac:dyDescent="0.25">
      <c r="A21" s="3" t="s">
        <v>15</v>
      </c>
      <c r="B21" s="4" t="s">
        <v>84</v>
      </c>
      <c r="C21" s="3" t="s">
        <v>101</v>
      </c>
      <c r="D21" s="3" t="s">
        <v>9</v>
      </c>
      <c r="E21" s="3" t="s">
        <v>102</v>
      </c>
      <c r="F21" s="3"/>
      <c r="G21" s="3" t="s">
        <v>12</v>
      </c>
    </row>
    <row r="22" spans="1:7" ht="15" x14ac:dyDescent="0.25">
      <c r="A22" s="3" t="s">
        <v>15</v>
      </c>
      <c r="B22" s="4" t="s">
        <v>84</v>
      </c>
      <c r="C22" s="3" t="s">
        <v>103</v>
      </c>
      <c r="D22" s="3"/>
      <c r="E22" s="3" t="s">
        <v>105</v>
      </c>
      <c r="F22" s="3"/>
      <c r="G22" s="3" t="s">
        <v>55</v>
      </c>
    </row>
    <row r="23" spans="1:7" ht="15" x14ac:dyDescent="0.25">
      <c r="A23" s="3" t="s">
        <v>15</v>
      </c>
      <c r="B23" s="4" t="s">
        <v>84</v>
      </c>
      <c r="C23" s="3" t="s">
        <v>106</v>
      </c>
      <c r="D23" s="3"/>
      <c r="E23" s="3" t="s">
        <v>30</v>
      </c>
      <c r="F23" s="3"/>
      <c r="G23" s="3" t="s">
        <v>24</v>
      </c>
    </row>
    <row r="24" spans="1:7" ht="15" x14ac:dyDescent="0.25">
      <c r="A24" s="3" t="s">
        <v>15</v>
      </c>
      <c r="B24" s="4" t="s">
        <v>84</v>
      </c>
      <c r="C24" s="3" t="s">
        <v>107</v>
      </c>
      <c r="D24" s="3"/>
      <c r="E24" s="3" t="s">
        <v>48</v>
      </c>
      <c r="F24" s="3"/>
      <c r="G24" s="3" t="s">
        <v>34</v>
      </c>
    </row>
    <row r="25" spans="1:7" ht="15" x14ac:dyDescent="0.25">
      <c r="A25" s="3" t="s">
        <v>15</v>
      </c>
      <c r="B25" s="4" t="s">
        <v>84</v>
      </c>
      <c r="C25" s="3" t="s">
        <v>108</v>
      </c>
      <c r="D25" s="3"/>
      <c r="E25" s="3" t="s">
        <v>109</v>
      </c>
      <c r="F25" s="3"/>
      <c r="G25" s="3" t="s">
        <v>24</v>
      </c>
    </row>
    <row r="26" spans="1:7" ht="15" x14ac:dyDescent="0.25">
      <c r="A26" s="3" t="s">
        <v>15</v>
      </c>
      <c r="B26" s="4" t="s">
        <v>84</v>
      </c>
      <c r="C26" s="3" t="s">
        <v>110</v>
      </c>
      <c r="D26" s="3"/>
      <c r="E26" s="3" t="s">
        <v>111</v>
      </c>
      <c r="F26" s="3"/>
      <c r="G26" s="3" t="s">
        <v>34</v>
      </c>
    </row>
    <row r="27" spans="1:7" ht="15" x14ac:dyDescent="0.25">
      <c r="A27" s="3" t="s">
        <v>15</v>
      </c>
      <c r="B27" s="4" t="s">
        <v>84</v>
      </c>
      <c r="C27" s="3" t="s">
        <v>112</v>
      </c>
      <c r="D27" s="3"/>
      <c r="E27" s="3" t="s">
        <v>115</v>
      </c>
      <c r="F27" s="3"/>
      <c r="G27" s="3" t="s">
        <v>114</v>
      </c>
    </row>
    <row r="28" spans="1:7" ht="15" x14ac:dyDescent="0.25">
      <c r="A28" s="3" t="s">
        <v>15</v>
      </c>
      <c r="B28" s="4" t="s">
        <v>84</v>
      </c>
      <c r="C28" s="4" t="s">
        <v>117</v>
      </c>
      <c r="D28" s="3"/>
      <c r="E28" s="3" t="s">
        <v>119</v>
      </c>
      <c r="F28" s="3"/>
      <c r="G28" s="3" t="s">
        <v>90</v>
      </c>
    </row>
    <row r="29" spans="1:7" ht="15" x14ac:dyDescent="0.25">
      <c r="A29" s="3" t="s">
        <v>15</v>
      </c>
      <c r="B29" s="4" t="s">
        <v>84</v>
      </c>
      <c r="C29" s="3" t="s">
        <v>120</v>
      </c>
      <c r="D29" s="3"/>
      <c r="E29" s="3" t="s">
        <v>121</v>
      </c>
      <c r="F29" s="3"/>
      <c r="G29" s="3" t="s">
        <v>34</v>
      </c>
    </row>
    <row r="30" spans="1:7" ht="15" x14ac:dyDescent="0.25">
      <c r="A30" s="3" t="s">
        <v>15</v>
      </c>
      <c r="B30" s="4" t="s">
        <v>84</v>
      </c>
      <c r="C30" s="3" t="s">
        <v>122</v>
      </c>
      <c r="D30" s="3"/>
      <c r="E30" s="3" t="s">
        <v>124</v>
      </c>
      <c r="F30" s="3"/>
      <c r="G30" s="3" t="s">
        <v>34</v>
      </c>
    </row>
    <row r="31" spans="1:7" ht="15" x14ac:dyDescent="0.25">
      <c r="A31" s="3" t="s">
        <v>15</v>
      </c>
      <c r="B31" s="4" t="s">
        <v>84</v>
      </c>
      <c r="C31" s="3" t="s">
        <v>125</v>
      </c>
      <c r="D31" s="3"/>
      <c r="E31" s="3" t="s">
        <v>127</v>
      </c>
      <c r="F31" s="3"/>
      <c r="G31" s="3" t="s">
        <v>90</v>
      </c>
    </row>
    <row r="32" spans="1:7" ht="15" x14ac:dyDescent="0.25">
      <c r="A32" s="3" t="s">
        <v>15</v>
      </c>
      <c r="B32" s="4" t="s">
        <v>129</v>
      </c>
      <c r="C32" s="3" t="s">
        <v>130</v>
      </c>
      <c r="D32" s="3"/>
      <c r="E32" s="3" t="s">
        <v>131</v>
      </c>
      <c r="F32" s="3"/>
      <c r="G32" s="3" t="s">
        <v>90</v>
      </c>
    </row>
    <row r="33" spans="1:7" ht="15" x14ac:dyDescent="0.25">
      <c r="A33" s="3" t="s">
        <v>15</v>
      </c>
      <c r="B33" s="4" t="s">
        <v>129</v>
      </c>
      <c r="C33" s="3" t="s">
        <v>133</v>
      </c>
      <c r="D33" s="3"/>
      <c r="E33" s="3" t="s">
        <v>134</v>
      </c>
      <c r="F33" s="3"/>
      <c r="G33" s="3" t="s">
        <v>90</v>
      </c>
    </row>
    <row r="34" spans="1:7" ht="15" x14ac:dyDescent="0.25">
      <c r="A34" s="3" t="s">
        <v>15</v>
      </c>
      <c r="B34" s="4" t="s">
        <v>135</v>
      </c>
      <c r="C34" s="3" t="s">
        <v>136</v>
      </c>
      <c r="D34" s="3"/>
      <c r="E34" s="3" t="s">
        <v>139</v>
      </c>
      <c r="F34" s="3"/>
      <c r="G34" s="3" t="s">
        <v>55</v>
      </c>
    </row>
    <row r="35" spans="1:7" ht="15" x14ac:dyDescent="0.25">
      <c r="A35" s="3" t="s">
        <v>15</v>
      </c>
      <c r="B35" s="4" t="s">
        <v>135</v>
      </c>
      <c r="C35" s="3" t="s">
        <v>140</v>
      </c>
      <c r="D35" s="3"/>
      <c r="E35" s="3" t="s">
        <v>30</v>
      </c>
      <c r="F35" s="3"/>
      <c r="G35" s="3" t="s">
        <v>24</v>
      </c>
    </row>
    <row r="36" spans="1:7" ht="15" x14ac:dyDescent="0.25">
      <c r="A36" s="3" t="s">
        <v>15</v>
      </c>
      <c r="B36" s="4" t="s">
        <v>135</v>
      </c>
      <c r="C36" s="3" t="s">
        <v>141</v>
      </c>
      <c r="D36" s="3"/>
      <c r="E36" s="3" t="s">
        <v>143</v>
      </c>
      <c r="F36" s="3"/>
      <c r="G36" s="3" t="s">
        <v>12</v>
      </c>
    </row>
    <row r="37" spans="1:7" ht="15" x14ac:dyDescent="0.25">
      <c r="A37" s="3" t="s">
        <v>15</v>
      </c>
      <c r="B37" s="4" t="s">
        <v>135</v>
      </c>
      <c r="C37" s="3" t="s">
        <v>144</v>
      </c>
      <c r="D37" s="3"/>
      <c r="E37" s="3" t="s">
        <v>48</v>
      </c>
      <c r="F37" s="3"/>
      <c r="G37" s="3" t="s">
        <v>34</v>
      </c>
    </row>
    <row r="38" spans="1:7" ht="15" x14ac:dyDescent="0.25">
      <c r="A38" s="3" t="s">
        <v>15</v>
      </c>
      <c r="B38" s="4" t="s">
        <v>145</v>
      </c>
      <c r="C38" s="3" t="s">
        <v>146</v>
      </c>
      <c r="D38" s="3"/>
      <c r="E38" s="3" t="s">
        <v>148</v>
      </c>
      <c r="F38" s="3"/>
      <c r="G38" s="3" t="s">
        <v>24</v>
      </c>
    </row>
    <row r="39" spans="1:7" ht="15" x14ac:dyDescent="0.25">
      <c r="A39" s="3" t="s">
        <v>15</v>
      </c>
      <c r="B39" s="4" t="s">
        <v>149</v>
      </c>
      <c r="C39" s="3" t="s">
        <v>150</v>
      </c>
      <c r="D39" s="3"/>
      <c r="E39" s="3" t="s">
        <v>148</v>
      </c>
      <c r="F39" s="3"/>
      <c r="G39" s="3" t="s">
        <v>24</v>
      </c>
    </row>
    <row r="40" spans="1:7" ht="15" x14ac:dyDescent="0.25">
      <c r="A40" s="3" t="s">
        <v>15</v>
      </c>
      <c r="B40" s="4" t="s">
        <v>151</v>
      </c>
      <c r="C40" s="4" t="s">
        <v>152</v>
      </c>
      <c r="D40" s="3"/>
      <c r="E40" s="3" t="s">
        <v>59</v>
      </c>
      <c r="F40" s="3" t="s">
        <v>61</v>
      </c>
      <c r="G40" s="3" t="s">
        <v>34</v>
      </c>
    </row>
    <row r="41" spans="1:7" x14ac:dyDescent="0.2">
      <c r="A41" s="3" t="s">
        <v>15</v>
      </c>
      <c r="B41" s="3" t="s">
        <v>154</v>
      </c>
      <c r="C41" s="3" t="s">
        <v>155</v>
      </c>
      <c r="D41" s="3" t="s">
        <v>9</v>
      </c>
      <c r="E41" s="3" t="s">
        <v>158</v>
      </c>
      <c r="F41" s="3" t="s">
        <v>159</v>
      </c>
      <c r="G41" s="3" t="s">
        <v>45</v>
      </c>
    </row>
    <row r="42" spans="1:7" x14ac:dyDescent="0.2">
      <c r="A42" s="3" t="s">
        <v>15</v>
      </c>
      <c r="B42" s="3" t="s">
        <v>154</v>
      </c>
      <c r="C42" s="3" t="s">
        <v>160</v>
      </c>
      <c r="D42" s="3" t="s">
        <v>9</v>
      </c>
      <c r="E42" s="3" t="s">
        <v>143</v>
      </c>
      <c r="F42" s="3" t="s">
        <v>162</v>
      </c>
      <c r="G42" s="3" t="s">
        <v>12</v>
      </c>
    </row>
    <row r="43" spans="1:7" x14ac:dyDescent="0.2">
      <c r="A43" s="3" t="s">
        <v>15</v>
      </c>
      <c r="B43" s="3" t="s">
        <v>154</v>
      </c>
      <c r="C43" s="3" t="s">
        <v>163</v>
      </c>
      <c r="D43" s="3"/>
      <c r="E43" s="3" t="s">
        <v>167</v>
      </c>
      <c r="F43" s="3"/>
      <c r="G43" s="3" t="s">
        <v>90</v>
      </c>
    </row>
    <row r="44" spans="1:7" x14ac:dyDescent="0.2">
      <c r="A44" s="3" t="s">
        <v>15</v>
      </c>
      <c r="B44" s="3" t="s">
        <v>154</v>
      </c>
      <c r="C44" s="3" t="s">
        <v>168</v>
      </c>
      <c r="D44" s="3"/>
      <c r="E44" s="3" t="s">
        <v>170</v>
      </c>
      <c r="F44" s="3"/>
      <c r="G44" s="3" t="s">
        <v>90</v>
      </c>
    </row>
    <row r="45" spans="1:7" x14ac:dyDescent="0.2">
      <c r="A45" s="3" t="s">
        <v>15</v>
      </c>
      <c r="B45" s="3" t="s">
        <v>154</v>
      </c>
      <c r="C45" s="3" t="s">
        <v>171</v>
      </c>
      <c r="D45" s="3"/>
      <c r="E45" s="3" t="s">
        <v>173</v>
      </c>
      <c r="F45" s="3"/>
      <c r="G45" s="3" t="s">
        <v>90</v>
      </c>
    </row>
    <row r="46" spans="1:7" x14ac:dyDescent="0.2">
      <c r="A46" s="3" t="s">
        <v>15</v>
      </c>
      <c r="B46" s="3" t="s">
        <v>154</v>
      </c>
      <c r="C46" s="3" t="s">
        <v>174</v>
      </c>
      <c r="D46" s="3"/>
      <c r="E46" s="3" t="s">
        <v>175</v>
      </c>
      <c r="F46" s="3"/>
      <c r="G46" s="3" t="s">
        <v>90</v>
      </c>
    </row>
    <row r="47" spans="1:7" x14ac:dyDescent="0.2">
      <c r="A47" s="3" t="s">
        <v>15</v>
      </c>
      <c r="B47" s="3" t="s">
        <v>154</v>
      </c>
      <c r="C47" s="3" t="s">
        <v>176</v>
      </c>
      <c r="D47" s="3"/>
      <c r="E47" s="3" t="s">
        <v>131</v>
      </c>
      <c r="F47" s="3"/>
      <c r="G47" s="3" t="s">
        <v>90</v>
      </c>
    </row>
    <row r="48" spans="1:7" x14ac:dyDescent="0.2">
      <c r="A48" s="3" t="s">
        <v>15</v>
      </c>
      <c r="B48" s="3" t="s">
        <v>154</v>
      </c>
      <c r="C48" s="3" t="s">
        <v>178</v>
      </c>
      <c r="D48" s="3"/>
      <c r="E48" s="3" t="s">
        <v>181</v>
      </c>
      <c r="F48" s="3"/>
      <c r="G48" s="3" t="s">
        <v>24</v>
      </c>
    </row>
    <row r="49" spans="1:7" x14ac:dyDescent="0.2">
      <c r="A49" s="3" t="s">
        <v>15</v>
      </c>
      <c r="B49" s="3" t="s">
        <v>154</v>
      </c>
      <c r="C49" s="3" t="s">
        <v>178</v>
      </c>
      <c r="D49" s="3"/>
      <c r="E49" s="3" t="s">
        <v>182</v>
      </c>
      <c r="F49" s="3"/>
      <c r="G49" s="3" t="s">
        <v>24</v>
      </c>
    </row>
    <row r="50" spans="1:7" x14ac:dyDescent="0.2">
      <c r="A50" s="3" t="s">
        <v>15</v>
      </c>
      <c r="B50" s="3" t="s">
        <v>154</v>
      </c>
      <c r="C50" s="3" t="s">
        <v>183</v>
      </c>
      <c r="D50" s="3"/>
      <c r="E50" s="3" t="s">
        <v>184</v>
      </c>
      <c r="F50" s="3"/>
      <c r="G50" s="3" t="s">
        <v>90</v>
      </c>
    </row>
    <row r="51" spans="1:7" x14ac:dyDescent="0.2">
      <c r="A51" s="3" t="s">
        <v>15</v>
      </c>
      <c r="B51" s="3" t="s">
        <v>154</v>
      </c>
      <c r="C51" s="3" t="s">
        <v>185</v>
      </c>
      <c r="D51" s="3"/>
      <c r="E51" s="3" t="s">
        <v>187</v>
      </c>
      <c r="F51" s="3"/>
      <c r="G51" s="3" t="s">
        <v>90</v>
      </c>
    </row>
    <row r="52" spans="1:7" x14ac:dyDescent="0.2">
      <c r="A52" s="3" t="s">
        <v>15</v>
      </c>
      <c r="B52" s="3" t="s">
        <v>154</v>
      </c>
      <c r="C52" s="3" t="s">
        <v>188</v>
      </c>
      <c r="D52" s="3"/>
      <c r="E52" s="3" t="s">
        <v>189</v>
      </c>
      <c r="F52" s="3"/>
      <c r="G52" s="3" t="s">
        <v>90</v>
      </c>
    </row>
    <row r="53" spans="1:7" ht="15" x14ac:dyDescent="0.25">
      <c r="A53" s="3" t="s">
        <v>15</v>
      </c>
      <c r="B53" s="4" t="s">
        <v>190</v>
      </c>
      <c r="C53" s="3" t="s">
        <v>191</v>
      </c>
      <c r="D53" s="3" t="s">
        <v>194</v>
      </c>
      <c r="E53" s="3" t="s">
        <v>198</v>
      </c>
      <c r="F53" s="3" t="s">
        <v>199</v>
      </c>
      <c r="G53" s="3" t="s">
        <v>24</v>
      </c>
    </row>
    <row r="54" spans="1:7" ht="15" x14ac:dyDescent="0.25">
      <c r="A54" s="3" t="s">
        <v>15</v>
      </c>
      <c r="B54" s="4" t="s">
        <v>190</v>
      </c>
      <c r="C54" s="3" t="s">
        <v>200</v>
      </c>
      <c r="D54" s="3"/>
      <c r="E54" s="3" t="s">
        <v>203</v>
      </c>
      <c r="F54" s="3" t="s">
        <v>204</v>
      </c>
      <c r="G54" s="3" t="s">
        <v>34</v>
      </c>
    </row>
    <row r="55" spans="1:7" ht="15" x14ac:dyDescent="0.25">
      <c r="A55" s="3" t="s">
        <v>15</v>
      </c>
      <c r="B55" s="4" t="s">
        <v>190</v>
      </c>
      <c r="C55" s="3" t="s">
        <v>200</v>
      </c>
      <c r="D55" s="3"/>
      <c r="E55" s="3" t="s">
        <v>203</v>
      </c>
      <c r="F55" s="3" t="s">
        <v>207</v>
      </c>
      <c r="G55" s="3" t="s">
        <v>34</v>
      </c>
    </row>
    <row r="56" spans="1:7" ht="15" x14ac:dyDescent="0.25">
      <c r="A56" s="3" t="s">
        <v>15</v>
      </c>
      <c r="B56" s="4" t="s">
        <v>190</v>
      </c>
      <c r="C56" s="3" t="s">
        <v>208</v>
      </c>
      <c r="D56" s="3" t="s">
        <v>9</v>
      </c>
      <c r="E56" s="3" t="s">
        <v>210</v>
      </c>
      <c r="F56" s="3"/>
      <c r="G56" s="3" t="s">
        <v>70</v>
      </c>
    </row>
    <row r="57" spans="1:7" ht="15" x14ac:dyDescent="0.25">
      <c r="A57" s="3" t="s">
        <v>15</v>
      </c>
      <c r="B57" s="4" t="s">
        <v>190</v>
      </c>
      <c r="C57" s="3" t="s">
        <v>208</v>
      </c>
      <c r="D57" s="3" t="s">
        <v>9</v>
      </c>
      <c r="E57" s="3" t="s">
        <v>213</v>
      </c>
      <c r="F57" s="3"/>
      <c r="G57" s="3" t="s">
        <v>12</v>
      </c>
    </row>
    <row r="58" spans="1:7" ht="15" x14ac:dyDescent="0.25">
      <c r="A58" s="3" t="s">
        <v>15</v>
      </c>
      <c r="B58" s="4" t="s">
        <v>190</v>
      </c>
      <c r="C58" s="3" t="s">
        <v>214</v>
      </c>
      <c r="D58" s="3"/>
      <c r="E58" s="3" t="s">
        <v>217</v>
      </c>
      <c r="F58" s="3" t="s">
        <v>218</v>
      </c>
      <c r="G58" s="3" t="s">
        <v>34</v>
      </c>
    </row>
    <row r="59" spans="1:7" ht="15" x14ac:dyDescent="0.25">
      <c r="A59" s="3" t="s">
        <v>15</v>
      </c>
      <c r="B59" s="4" t="s">
        <v>190</v>
      </c>
      <c r="C59" s="3" t="s">
        <v>219</v>
      </c>
      <c r="D59" s="3" t="s">
        <v>9</v>
      </c>
      <c r="E59" s="3" t="s">
        <v>132</v>
      </c>
      <c r="F59" s="3"/>
      <c r="G59" s="3" t="s">
        <v>90</v>
      </c>
    </row>
    <row r="60" spans="1:7" ht="15" x14ac:dyDescent="0.25">
      <c r="A60" s="3" t="s">
        <v>15</v>
      </c>
      <c r="B60" s="4" t="s">
        <v>221</v>
      </c>
      <c r="C60" s="3" t="s">
        <v>222</v>
      </c>
      <c r="D60" s="3"/>
      <c r="E60" s="3" t="s">
        <v>223</v>
      </c>
      <c r="F60" s="3"/>
      <c r="G60" s="3" t="s">
        <v>24</v>
      </c>
    </row>
    <row r="61" spans="1:7" ht="15" x14ac:dyDescent="0.25">
      <c r="A61" s="3" t="s">
        <v>15</v>
      </c>
      <c r="B61" s="4" t="s">
        <v>221</v>
      </c>
      <c r="C61" s="3" t="s">
        <v>224</v>
      </c>
      <c r="D61" s="3"/>
      <c r="E61" s="3" t="s">
        <v>225</v>
      </c>
      <c r="F61" s="3"/>
      <c r="G61" s="3" t="s">
        <v>24</v>
      </c>
    </row>
    <row r="62" spans="1:7" ht="15" x14ac:dyDescent="0.25">
      <c r="A62" s="3" t="s">
        <v>15</v>
      </c>
      <c r="B62" s="4" t="s">
        <v>226</v>
      </c>
      <c r="C62" s="3" t="s">
        <v>227</v>
      </c>
      <c r="D62" s="3"/>
      <c r="E62" s="3" t="s">
        <v>48</v>
      </c>
      <c r="F62" s="3"/>
      <c r="G62" s="3" t="s">
        <v>34</v>
      </c>
    </row>
    <row r="63" spans="1:7" ht="15" x14ac:dyDescent="0.25">
      <c r="A63" s="3" t="s">
        <v>15</v>
      </c>
      <c r="B63" s="4" t="s">
        <v>226</v>
      </c>
      <c r="C63" s="3" t="s">
        <v>228</v>
      </c>
      <c r="D63" s="3"/>
      <c r="E63" s="3" t="s">
        <v>229</v>
      </c>
      <c r="F63" s="3" t="s">
        <v>231</v>
      </c>
      <c r="G63" s="3" t="s">
        <v>34</v>
      </c>
    </row>
    <row r="64" spans="1:7" ht="15" x14ac:dyDescent="0.25">
      <c r="A64" s="3" t="s">
        <v>15</v>
      </c>
      <c r="B64" s="4" t="s">
        <v>226</v>
      </c>
      <c r="C64" s="3" t="s">
        <v>232</v>
      </c>
      <c r="D64" s="3"/>
      <c r="E64" s="3" t="s">
        <v>233</v>
      </c>
      <c r="F64" s="3"/>
      <c r="G64" s="3" t="s">
        <v>70</v>
      </c>
    </row>
    <row r="65" spans="1:7" ht="15" x14ac:dyDescent="0.25">
      <c r="A65" s="3" t="s">
        <v>15</v>
      </c>
      <c r="B65" s="4" t="s">
        <v>226</v>
      </c>
      <c r="C65" s="3" t="s">
        <v>234</v>
      </c>
      <c r="D65" s="3"/>
      <c r="E65" s="3" t="s">
        <v>237</v>
      </c>
      <c r="F65" s="3" t="s">
        <v>238</v>
      </c>
      <c r="G65" s="3" t="s">
        <v>34</v>
      </c>
    </row>
    <row r="66" spans="1:7" ht="15" x14ac:dyDescent="0.25">
      <c r="A66" s="3" t="s">
        <v>15</v>
      </c>
      <c r="B66" s="4" t="s">
        <v>239</v>
      </c>
      <c r="C66" s="3" t="s">
        <v>240</v>
      </c>
      <c r="D66" s="3"/>
      <c r="E66" s="3" t="s">
        <v>242</v>
      </c>
      <c r="F66" s="3"/>
      <c r="G66" s="3" t="s">
        <v>90</v>
      </c>
    </row>
    <row r="67" spans="1:7" ht="15" x14ac:dyDescent="0.25">
      <c r="A67" s="3" t="s">
        <v>15</v>
      </c>
      <c r="B67" s="4" t="s">
        <v>239</v>
      </c>
      <c r="C67" s="3" t="s">
        <v>244</v>
      </c>
      <c r="D67" s="3"/>
      <c r="E67" s="3" t="s">
        <v>246</v>
      </c>
      <c r="F67" s="3"/>
      <c r="G67" s="3" t="s">
        <v>45</v>
      </c>
    </row>
    <row r="68" spans="1:7" ht="15" x14ac:dyDescent="0.25">
      <c r="A68" s="3" t="s">
        <v>15</v>
      </c>
      <c r="B68" s="4" t="s">
        <v>239</v>
      </c>
      <c r="C68" s="3" t="s">
        <v>247</v>
      </c>
      <c r="D68" s="3"/>
      <c r="E68" s="3" t="s">
        <v>248</v>
      </c>
      <c r="F68" s="3"/>
      <c r="G68" s="3" t="s">
        <v>12</v>
      </c>
    </row>
    <row r="69" spans="1:7" ht="15" x14ac:dyDescent="0.25">
      <c r="A69" s="3" t="s">
        <v>15</v>
      </c>
      <c r="B69" s="4" t="s">
        <v>239</v>
      </c>
      <c r="C69" s="3" t="s">
        <v>249</v>
      </c>
      <c r="D69" s="3"/>
      <c r="E69" s="3" t="s">
        <v>252</v>
      </c>
      <c r="F69" s="3" t="s">
        <v>254</v>
      </c>
      <c r="G69" s="3" t="s">
        <v>34</v>
      </c>
    </row>
    <row r="70" spans="1:7" ht="15" x14ac:dyDescent="0.25">
      <c r="A70" s="3" t="s">
        <v>15</v>
      </c>
      <c r="B70" s="4" t="s">
        <v>239</v>
      </c>
      <c r="C70" s="3" t="s">
        <v>255</v>
      </c>
      <c r="D70" s="3"/>
      <c r="E70" s="3" t="s">
        <v>258</v>
      </c>
      <c r="F70" s="3" t="s">
        <v>260</v>
      </c>
      <c r="G70" s="3" t="s">
        <v>90</v>
      </c>
    </row>
    <row r="71" spans="1:7" ht="15" x14ac:dyDescent="0.25">
      <c r="A71" s="3" t="s">
        <v>15</v>
      </c>
      <c r="B71" s="4" t="s">
        <v>239</v>
      </c>
      <c r="C71" s="3" t="s">
        <v>261</v>
      </c>
      <c r="D71" s="3"/>
      <c r="E71" s="3" t="s">
        <v>262</v>
      </c>
      <c r="F71" s="3" t="s">
        <v>265</v>
      </c>
      <c r="G71" s="3" t="s">
        <v>24</v>
      </c>
    </row>
    <row r="72" spans="1:7" ht="15" x14ac:dyDescent="0.25">
      <c r="A72" s="3" t="s">
        <v>15</v>
      </c>
      <c r="B72" s="4" t="s">
        <v>239</v>
      </c>
      <c r="C72" s="3" t="s">
        <v>266</v>
      </c>
      <c r="D72" s="3" t="s">
        <v>269</v>
      </c>
      <c r="E72" s="3" t="s">
        <v>268</v>
      </c>
      <c r="F72" s="3"/>
      <c r="G72" s="3" t="s">
        <v>24</v>
      </c>
    </row>
    <row r="73" spans="1:7" ht="15" x14ac:dyDescent="0.25">
      <c r="A73" s="3" t="s">
        <v>15</v>
      </c>
      <c r="B73" s="4" t="s">
        <v>748</v>
      </c>
      <c r="C73" s="3" t="s">
        <v>592</v>
      </c>
      <c r="D73" s="3"/>
      <c r="E73" s="3" t="s">
        <v>223</v>
      </c>
      <c r="F73" s="3" t="s">
        <v>271</v>
      </c>
      <c r="G73" s="3" t="s">
        <v>24</v>
      </c>
    </row>
    <row r="74" spans="1:7" ht="15" x14ac:dyDescent="0.25">
      <c r="A74" s="3" t="s">
        <v>15</v>
      </c>
      <c r="B74" s="4" t="s">
        <v>748</v>
      </c>
      <c r="C74" s="3" t="s">
        <v>595</v>
      </c>
      <c r="D74" s="3"/>
      <c r="E74" s="3" t="s">
        <v>43</v>
      </c>
      <c r="F74" s="3" t="s">
        <v>44</v>
      </c>
      <c r="G74" s="3" t="s">
        <v>45</v>
      </c>
    </row>
    <row r="75" spans="1:7" ht="15" x14ac:dyDescent="0.25">
      <c r="A75" s="3" t="s">
        <v>15</v>
      </c>
      <c r="B75" s="4" t="s">
        <v>748</v>
      </c>
      <c r="C75" s="3" t="s">
        <v>746</v>
      </c>
      <c r="D75" s="3"/>
      <c r="E75" s="3" t="s">
        <v>275</v>
      </c>
      <c r="F75" s="3"/>
      <c r="G75" s="3" t="s">
        <v>24</v>
      </c>
    </row>
    <row r="76" spans="1:7" ht="15" x14ac:dyDescent="0.25">
      <c r="A76" s="3" t="s">
        <v>15</v>
      </c>
      <c r="B76" s="4" t="s">
        <v>748</v>
      </c>
      <c r="C76" s="3" t="s">
        <v>747</v>
      </c>
      <c r="D76" s="3"/>
      <c r="E76" s="3" t="s">
        <v>279</v>
      </c>
      <c r="F76" s="3" t="s">
        <v>277</v>
      </c>
      <c r="G76" s="3" t="s">
        <v>34</v>
      </c>
    </row>
    <row r="77" spans="1:7" ht="15" x14ac:dyDescent="0.25">
      <c r="A77" s="3" t="s">
        <v>15</v>
      </c>
      <c r="B77" s="4" t="s">
        <v>280</v>
      </c>
      <c r="C77" s="3" t="s">
        <v>281</v>
      </c>
      <c r="D77" s="3" t="s">
        <v>9</v>
      </c>
      <c r="E77" s="3" t="s">
        <v>286</v>
      </c>
      <c r="F77" s="3" t="s">
        <v>287</v>
      </c>
      <c r="G77" s="3" t="s">
        <v>12</v>
      </c>
    </row>
    <row r="78" spans="1:7" ht="15" x14ac:dyDescent="0.25">
      <c r="A78" s="3" t="s">
        <v>15</v>
      </c>
      <c r="B78" s="4" t="s">
        <v>280</v>
      </c>
      <c r="C78" s="3" t="s">
        <v>288</v>
      </c>
      <c r="D78" s="3" t="s">
        <v>9</v>
      </c>
      <c r="E78" s="3" t="s">
        <v>291</v>
      </c>
      <c r="F78" s="3" t="s">
        <v>293</v>
      </c>
      <c r="G78" s="3" t="s">
        <v>34</v>
      </c>
    </row>
    <row r="79" spans="1:7" ht="15" x14ac:dyDescent="0.25">
      <c r="A79" s="3" t="s">
        <v>15</v>
      </c>
      <c r="B79" s="4" t="s">
        <v>280</v>
      </c>
      <c r="C79" s="3" t="s">
        <v>294</v>
      </c>
      <c r="D79" s="3"/>
      <c r="E79" s="3" t="s">
        <v>301</v>
      </c>
      <c r="F79" s="3" t="s">
        <v>300</v>
      </c>
      <c r="G79" s="3" t="s">
        <v>34</v>
      </c>
    </row>
    <row r="80" spans="1:7" ht="15" x14ac:dyDescent="0.25">
      <c r="A80" s="3" t="s">
        <v>15</v>
      </c>
      <c r="B80" s="4" t="s">
        <v>280</v>
      </c>
      <c r="C80" s="3" t="s">
        <v>302</v>
      </c>
      <c r="D80" s="3" t="s">
        <v>79</v>
      </c>
      <c r="E80" s="3" t="s">
        <v>48</v>
      </c>
      <c r="F80" s="3" t="s">
        <v>304</v>
      </c>
      <c r="G80" s="3" t="s">
        <v>34</v>
      </c>
    </row>
    <row r="81" spans="1:7" ht="15" x14ac:dyDescent="0.25">
      <c r="A81" s="3" t="s">
        <v>15</v>
      </c>
      <c r="B81" s="4" t="s">
        <v>280</v>
      </c>
      <c r="C81" s="3" t="s">
        <v>305</v>
      </c>
      <c r="D81" s="3" t="s">
        <v>9</v>
      </c>
      <c r="E81" s="3" t="s">
        <v>310</v>
      </c>
      <c r="F81" s="3" t="s">
        <v>277</v>
      </c>
      <c r="G81" s="3" t="s">
        <v>34</v>
      </c>
    </row>
    <row r="82" spans="1:7" ht="15" x14ac:dyDescent="0.25">
      <c r="A82" s="3" t="s">
        <v>15</v>
      </c>
      <c r="B82" s="4" t="s">
        <v>280</v>
      </c>
      <c r="C82" s="3" t="s">
        <v>311</v>
      </c>
      <c r="D82" s="3"/>
      <c r="E82" s="3" t="s">
        <v>30</v>
      </c>
      <c r="F82" s="3"/>
      <c r="G82" s="3" t="s">
        <v>24</v>
      </c>
    </row>
    <row r="83" spans="1:7" ht="15" x14ac:dyDescent="0.25">
      <c r="A83" s="3" t="s">
        <v>15</v>
      </c>
      <c r="B83" s="4" t="s">
        <v>280</v>
      </c>
      <c r="C83" s="3" t="s">
        <v>312</v>
      </c>
      <c r="D83" s="3"/>
      <c r="E83" s="3" t="s">
        <v>139</v>
      </c>
      <c r="F83" s="3" t="s">
        <v>315</v>
      </c>
      <c r="G83" s="3" t="s">
        <v>34</v>
      </c>
    </row>
    <row r="84" spans="1:7" ht="14.25" x14ac:dyDescent="0.2">
      <c r="A84" s="3" t="s">
        <v>15</v>
      </c>
      <c r="B84" s="5" t="s">
        <v>316</v>
      </c>
      <c r="C84" s="3" t="s">
        <v>317</v>
      </c>
      <c r="D84" s="3"/>
      <c r="E84" s="3" t="s">
        <v>320</v>
      </c>
      <c r="F84" s="3" t="s">
        <v>54</v>
      </c>
      <c r="G84" s="3" t="s">
        <v>55</v>
      </c>
    </row>
    <row r="85" spans="1:7" ht="14.25" x14ac:dyDescent="0.2">
      <c r="A85" s="3" t="s">
        <v>15</v>
      </c>
      <c r="B85" s="5" t="s">
        <v>316</v>
      </c>
      <c r="C85" s="3" t="s">
        <v>321</v>
      </c>
      <c r="D85" s="3"/>
      <c r="E85" s="3" t="s">
        <v>323</v>
      </c>
      <c r="F85" s="3"/>
      <c r="G85" s="3" t="s">
        <v>34</v>
      </c>
    </row>
    <row r="86" spans="1:7" ht="14.25" x14ac:dyDescent="0.2">
      <c r="A86" s="3" t="s">
        <v>15</v>
      </c>
      <c r="B86" s="5" t="s">
        <v>316</v>
      </c>
      <c r="C86" s="3" t="s">
        <v>324</v>
      </c>
      <c r="D86" s="3"/>
      <c r="E86" s="3" t="s">
        <v>48</v>
      </c>
      <c r="F86" s="3"/>
      <c r="G86" s="3" t="s">
        <v>34</v>
      </c>
    </row>
    <row r="87" spans="1:7" ht="14.25" x14ac:dyDescent="0.2">
      <c r="A87" s="3" t="s">
        <v>15</v>
      </c>
      <c r="B87" s="5" t="s">
        <v>316</v>
      </c>
      <c r="C87" s="3" t="s">
        <v>325</v>
      </c>
      <c r="D87" s="3"/>
      <c r="E87" s="3" t="s">
        <v>252</v>
      </c>
      <c r="F87" s="3"/>
      <c r="G87" s="3" t="s">
        <v>34</v>
      </c>
    </row>
    <row r="88" spans="1:7" ht="15" x14ac:dyDescent="0.25">
      <c r="A88" s="3" t="s">
        <v>15</v>
      </c>
      <c r="B88" s="4" t="s">
        <v>327</v>
      </c>
      <c r="C88" s="3" t="s">
        <v>328</v>
      </c>
      <c r="D88" s="3"/>
      <c r="E88" s="3" t="s">
        <v>330</v>
      </c>
      <c r="F88" s="3"/>
      <c r="G88" s="3" t="s">
        <v>24</v>
      </c>
    </row>
    <row r="89" spans="1:7" ht="15" x14ac:dyDescent="0.25">
      <c r="A89" s="3" t="s">
        <v>15</v>
      </c>
      <c r="B89" s="4" t="s">
        <v>331</v>
      </c>
      <c r="C89" s="3" t="s">
        <v>332</v>
      </c>
      <c r="D89" s="3"/>
      <c r="E89" s="3" t="s">
        <v>335</v>
      </c>
      <c r="F89" s="3"/>
      <c r="G89" s="3" t="s">
        <v>12</v>
      </c>
    </row>
    <row r="90" spans="1:7" ht="15" x14ac:dyDescent="0.25">
      <c r="A90" s="3" t="s">
        <v>15</v>
      </c>
      <c r="B90" s="4" t="s">
        <v>331</v>
      </c>
      <c r="C90" s="3" t="s">
        <v>336</v>
      </c>
      <c r="D90" s="3"/>
      <c r="E90" s="3" t="s">
        <v>338</v>
      </c>
      <c r="F90" s="3"/>
      <c r="G90" s="3" t="s">
        <v>12</v>
      </c>
    </row>
    <row r="91" spans="1:7" ht="15" x14ac:dyDescent="0.25">
      <c r="A91" s="3" t="s">
        <v>15</v>
      </c>
      <c r="B91" s="4" t="s">
        <v>331</v>
      </c>
      <c r="C91" s="3" t="s">
        <v>339</v>
      </c>
      <c r="D91" s="3"/>
      <c r="E91" s="3" t="s">
        <v>342</v>
      </c>
      <c r="F91" s="3"/>
      <c r="G91" s="3" t="s">
        <v>45</v>
      </c>
    </row>
    <row r="92" spans="1:7" ht="15" x14ac:dyDescent="0.25">
      <c r="A92" s="3" t="s">
        <v>15</v>
      </c>
      <c r="B92" s="4" t="s">
        <v>331</v>
      </c>
      <c r="C92" s="3" t="s">
        <v>343</v>
      </c>
      <c r="D92" s="3"/>
      <c r="E92" s="3" t="s">
        <v>100</v>
      </c>
      <c r="F92" s="3" t="s">
        <v>346</v>
      </c>
      <c r="G92" s="3" t="s">
        <v>70</v>
      </c>
    </row>
    <row r="93" spans="1:7" ht="15" x14ac:dyDescent="0.25">
      <c r="A93" s="3" t="s">
        <v>15</v>
      </c>
      <c r="B93" s="4" t="s">
        <v>347</v>
      </c>
      <c r="C93" s="3" t="s">
        <v>348</v>
      </c>
      <c r="D93" s="3"/>
      <c r="E93" s="3" t="s">
        <v>349</v>
      </c>
      <c r="F93" s="3"/>
      <c r="G93" s="3" t="s">
        <v>24</v>
      </c>
    </row>
    <row r="94" spans="1:7" ht="14.25" x14ac:dyDescent="0.2">
      <c r="A94" s="3" t="s">
        <v>15</v>
      </c>
      <c r="B94" s="5" t="s">
        <v>350</v>
      </c>
      <c r="C94" s="3" t="s">
        <v>351</v>
      </c>
      <c r="D94" s="3"/>
      <c r="E94" s="3" t="s">
        <v>353</v>
      </c>
      <c r="F94" s="3"/>
      <c r="G94" s="3" t="s">
        <v>24</v>
      </c>
    </row>
    <row r="95" spans="1:7" ht="14.25" x14ac:dyDescent="0.2">
      <c r="A95" s="3" t="s">
        <v>15</v>
      </c>
      <c r="B95" s="5" t="s">
        <v>350</v>
      </c>
      <c r="C95" s="3" t="s">
        <v>354</v>
      </c>
      <c r="D95" s="3"/>
      <c r="E95" s="3" t="s">
        <v>356</v>
      </c>
      <c r="F95" s="3"/>
      <c r="G95" s="3" t="s">
        <v>24</v>
      </c>
    </row>
    <row r="96" spans="1:7" ht="15" x14ac:dyDescent="0.25">
      <c r="A96" s="3" t="s">
        <v>15</v>
      </c>
      <c r="B96" s="5" t="s">
        <v>350</v>
      </c>
      <c r="C96" s="4" t="s">
        <v>357</v>
      </c>
      <c r="D96" s="3"/>
      <c r="E96" s="3" t="s">
        <v>358</v>
      </c>
      <c r="F96" s="3"/>
      <c r="G96" s="3" t="s">
        <v>24</v>
      </c>
    </row>
    <row r="97" spans="1:7" ht="14.25" x14ac:dyDescent="0.2">
      <c r="A97" s="3" t="s">
        <v>15</v>
      </c>
      <c r="B97" s="5" t="s">
        <v>350</v>
      </c>
      <c r="C97" s="3" t="s">
        <v>359</v>
      </c>
      <c r="D97" s="3"/>
      <c r="E97" s="3" t="s">
        <v>223</v>
      </c>
      <c r="F97" s="3"/>
      <c r="G97" s="3" t="s">
        <v>24</v>
      </c>
    </row>
    <row r="98" spans="1:7" ht="14.25" x14ac:dyDescent="0.2">
      <c r="A98" s="3" t="s">
        <v>15</v>
      </c>
      <c r="B98" s="5" t="s">
        <v>350</v>
      </c>
      <c r="C98" s="3" t="s">
        <v>360</v>
      </c>
      <c r="D98" s="3"/>
      <c r="E98" s="3" t="s">
        <v>362</v>
      </c>
      <c r="F98" s="3"/>
      <c r="G98" s="3" t="s">
        <v>24</v>
      </c>
    </row>
    <row r="99" spans="1:7" ht="14.25" x14ac:dyDescent="0.2">
      <c r="A99" s="3" t="s">
        <v>15</v>
      </c>
      <c r="B99" s="5" t="s">
        <v>350</v>
      </c>
      <c r="C99" s="3" t="s">
        <v>363</v>
      </c>
      <c r="D99" s="3"/>
      <c r="E99" s="3" t="s">
        <v>225</v>
      </c>
      <c r="F99" s="3"/>
      <c r="G99" s="3" t="s">
        <v>24</v>
      </c>
    </row>
    <row r="100" spans="1:7" ht="14.25" x14ac:dyDescent="0.2">
      <c r="A100" s="3" t="s">
        <v>15</v>
      </c>
      <c r="B100" s="5" t="s">
        <v>350</v>
      </c>
      <c r="C100" s="3" t="s">
        <v>364</v>
      </c>
      <c r="D100" s="3"/>
      <c r="E100" s="3" t="s">
        <v>365</v>
      </c>
      <c r="F100" s="3"/>
      <c r="G100" s="3" t="s">
        <v>24</v>
      </c>
    </row>
    <row r="101" spans="1:7" ht="14.25" x14ac:dyDescent="0.2">
      <c r="A101" s="3" t="s">
        <v>15</v>
      </c>
      <c r="B101" s="5" t="s">
        <v>350</v>
      </c>
      <c r="C101" s="3" t="s">
        <v>366</v>
      </c>
      <c r="D101" s="3"/>
      <c r="E101" s="3" t="s">
        <v>368</v>
      </c>
      <c r="F101" s="3"/>
      <c r="G101" s="3" t="s">
        <v>24</v>
      </c>
    </row>
    <row r="102" spans="1:7" ht="15" x14ac:dyDescent="0.25">
      <c r="A102" s="3" t="s">
        <v>15</v>
      </c>
      <c r="B102" s="4" t="s">
        <v>369</v>
      </c>
      <c r="C102" s="3" t="s">
        <v>370</v>
      </c>
      <c r="D102" s="3"/>
      <c r="E102" s="3" t="s">
        <v>203</v>
      </c>
      <c r="F102" s="3"/>
      <c r="G102" s="3" t="s">
        <v>45</v>
      </c>
    </row>
    <row r="103" spans="1:7" ht="15" x14ac:dyDescent="0.25">
      <c r="A103" s="3" t="s">
        <v>15</v>
      </c>
      <c r="B103" s="4" t="s">
        <v>369</v>
      </c>
      <c r="C103" s="3" t="s">
        <v>370</v>
      </c>
      <c r="D103" s="3"/>
      <c r="E103" s="3" t="s">
        <v>374</v>
      </c>
      <c r="F103" s="3"/>
      <c r="G103" s="3" t="s">
        <v>24</v>
      </c>
    </row>
    <row r="104" spans="1:7" x14ac:dyDescent="0.2">
      <c r="A104" s="3" t="s">
        <v>15</v>
      </c>
      <c r="B104" s="3" t="s">
        <v>375</v>
      </c>
      <c r="C104" s="3" t="s">
        <v>376</v>
      </c>
      <c r="D104" s="3"/>
      <c r="E104" s="3" t="s">
        <v>377</v>
      </c>
      <c r="F104" s="3"/>
      <c r="G104" s="3" t="s">
        <v>55</v>
      </c>
    </row>
    <row r="105" spans="1:7" x14ac:dyDescent="0.2">
      <c r="A105" s="3" t="s">
        <v>15</v>
      </c>
      <c r="B105" s="3" t="s">
        <v>375</v>
      </c>
      <c r="C105" s="3" t="s">
        <v>378</v>
      </c>
      <c r="D105" s="3"/>
      <c r="E105" s="3" t="s">
        <v>48</v>
      </c>
      <c r="F105" s="3"/>
      <c r="G105" s="3" t="s">
        <v>34</v>
      </c>
    </row>
    <row r="106" spans="1:7" x14ac:dyDescent="0.2">
      <c r="A106" s="3" t="s">
        <v>15</v>
      </c>
      <c r="B106" s="3" t="s">
        <v>375</v>
      </c>
      <c r="C106" s="3" t="s">
        <v>379</v>
      </c>
      <c r="D106" s="3"/>
      <c r="E106" s="3" t="s">
        <v>380</v>
      </c>
      <c r="F106" s="3"/>
      <c r="G106" s="3" t="s">
        <v>24</v>
      </c>
    </row>
    <row r="107" spans="1:7" ht="15" x14ac:dyDescent="0.25">
      <c r="A107" s="3" t="s">
        <v>15</v>
      </c>
      <c r="B107" s="4" t="s">
        <v>382</v>
      </c>
      <c r="C107" s="3" t="s">
        <v>383</v>
      </c>
      <c r="D107" s="3"/>
      <c r="E107" s="3" t="s">
        <v>385</v>
      </c>
      <c r="F107" s="3"/>
      <c r="G107" s="3" t="s">
        <v>34</v>
      </c>
    </row>
    <row r="108" spans="1:7" ht="15" x14ac:dyDescent="0.25">
      <c r="A108" s="3" t="s">
        <v>15</v>
      </c>
      <c r="B108" s="4" t="s">
        <v>382</v>
      </c>
      <c r="C108" s="4" t="s">
        <v>383</v>
      </c>
      <c r="D108" s="3"/>
      <c r="E108" s="3" t="s">
        <v>386</v>
      </c>
      <c r="F108" s="3"/>
      <c r="G108" s="3" t="s">
        <v>24</v>
      </c>
    </row>
    <row r="109" spans="1:7" ht="15" x14ac:dyDescent="0.25">
      <c r="A109" s="3" t="s">
        <v>15</v>
      </c>
      <c r="B109" s="4" t="s">
        <v>382</v>
      </c>
      <c r="C109" s="3" t="s">
        <v>387</v>
      </c>
      <c r="D109" s="3"/>
      <c r="E109" s="3" t="s">
        <v>389</v>
      </c>
      <c r="F109" s="3"/>
      <c r="G109" s="3" t="s">
        <v>34</v>
      </c>
    </row>
    <row r="110" spans="1:7" ht="15" x14ac:dyDescent="0.25">
      <c r="A110" s="3" t="s">
        <v>15</v>
      </c>
      <c r="B110" s="4" t="s">
        <v>382</v>
      </c>
      <c r="C110" s="3" t="s">
        <v>390</v>
      </c>
      <c r="D110" s="3"/>
      <c r="E110" s="3" t="s">
        <v>48</v>
      </c>
      <c r="F110" s="3"/>
      <c r="G110" s="3" t="s">
        <v>34</v>
      </c>
    </row>
    <row r="111" spans="1:7" ht="15" x14ac:dyDescent="0.25">
      <c r="A111" s="3" t="s">
        <v>15</v>
      </c>
      <c r="B111" s="4" t="s">
        <v>382</v>
      </c>
      <c r="C111" s="3" t="s">
        <v>391</v>
      </c>
      <c r="D111" s="3"/>
      <c r="E111" s="3" t="s">
        <v>30</v>
      </c>
      <c r="F111" s="3"/>
      <c r="G111" s="3" t="s">
        <v>24</v>
      </c>
    </row>
    <row r="112" spans="1:7" ht="15" x14ac:dyDescent="0.25">
      <c r="A112" s="3" t="s">
        <v>15</v>
      </c>
      <c r="B112" s="4" t="s">
        <v>382</v>
      </c>
      <c r="C112" s="3" t="s">
        <v>392</v>
      </c>
      <c r="D112" s="3"/>
      <c r="E112" s="3" t="s">
        <v>394</v>
      </c>
      <c r="F112" s="3"/>
      <c r="G112" s="3" t="s">
        <v>90</v>
      </c>
    </row>
    <row r="113" spans="1:7" ht="15" x14ac:dyDescent="0.25">
      <c r="A113" s="3" t="s">
        <v>15</v>
      </c>
      <c r="B113" s="4" t="s">
        <v>382</v>
      </c>
      <c r="C113" s="3" t="s">
        <v>395</v>
      </c>
      <c r="D113" s="3"/>
      <c r="E113" s="3" t="s">
        <v>397</v>
      </c>
      <c r="F113" s="3"/>
      <c r="G113" s="3" t="s">
        <v>34</v>
      </c>
    </row>
    <row r="114" spans="1:7" ht="15" x14ac:dyDescent="0.25">
      <c r="A114" s="3" t="s">
        <v>15</v>
      </c>
      <c r="B114" s="4" t="s">
        <v>382</v>
      </c>
      <c r="C114" s="3" t="s">
        <v>398</v>
      </c>
      <c r="D114" s="3"/>
      <c r="E114" s="3" t="s">
        <v>402</v>
      </c>
      <c r="F114" s="3"/>
      <c r="G114" s="3" t="s">
        <v>90</v>
      </c>
    </row>
    <row r="115" spans="1:7" ht="15" x14ac:dyDescent="0.25">
      <c r="A115" s="3" t="s">
        <v>15</v>
      </c>
      <c r="B115" s="4" t="s">
        <v>382</v>
      </c>
      <c r="C115" s="3" t="s">
        <v>403</v>
      </c>
      <c r="D115" s="3"/>
      <c r="E115" s="3" t="s">
        <v>405</v>
      </c>
      <c r="F115" s="3"/>
      <c r="G115" s="3" t="s">
        <v>90</v>
      </c>
    </row>
    <row r="116" spans="1:7" ht="15" x14ac:dyDescent="0.25">
      <c r="A116" s="3" t="s">
        <v>15</v>
      </c>
      <c r="B116" s="4" t="s">
        <v>382</v>
      </c>
      <c r="C116" s="3" t="s">
        <v>403</v>
      </c>
      <c r="D116" s="3"/>
      <c r="E116" s="3" t="s">
        <v>407</v>
      </c>
      <c r="F116" s="3"/>
      <c r="G116" s="3" t="s">
        <v>90</v>
      </c>
    </row>
    <row r="117" spans="1:7" ht="15" x14ac:dyDescent="0.25">
      <c r="A117" s="3" t="s">
        <v>15</v>
      </c>
      <c r="B117" s="4" t="s">
        <v>382</v>
      </c>
      <c r="C117" s="3" t="s">
        <v>408</v>
      </c>
      <c r="D117" s="3"/>
      <c r="E117" s="3" t="s">
        <v>412</v>
      </c>
      <c r="F117" s="3"/>
      <c r="G117" s="3" t="s">
        <v>34</v>
      </c>
    </row>
    <row r="118" spans="1:7" ht="15" x14ac:dyDescent="0.25">
      <c r="A118" s="3" t="s">
        <v>15</v>
      </c>
      <c r="B118" s="4" t="s">
        <v>413</v>
      </c>
      <c r="C118" s="3" t="s">
        <v>414</v>
      </c>
      <c r="D118" s="3"/>
      <c r="E118" s="3" t="s">
        <v>213</v>
      </c>
      <c r="F118" s="3"/>
      <c r="G118" s="3" t="s">
        <v>12</v>
      </c>
    </row>
    <row r="119" spans="1:7" ht="15" x14ac:dyDescent="0.25">
      <c r="A119" s="3" t="s">
        <v>15</v>
      </c>
      <c r="B119" s="4" t="s">
        <v>413</v>
      </c>
      <c r="C119" s="3" t="s">
        <v>416</v>
      </c>
      <c r="D119" s="3" t="s">
        <v>420</v>
      </c>
      <c r="E119" s="3" t="s">
        <v>421</v>
      </c>
      <c r="F119" s="3"/>
      <c r="G119" s="3" t="s">
        <v>12</v>
      </c>
    </row>
    <row r="120" spans="1:7" ht="15" x14ac:dyDescent="0.25">
      <c r="A120" s="3" t="s">
        <v>15</v>
      </c>
      <c r="B120" s="4" t="s">
        <v>413</v>
      </c>
      <c r="C120" s="3" t="s">
        <v>422</v>
      </c>
      <c r="D120" s="3" t="s">
        <v>298</v>
      </c>
      <c r="E120" s="3" t="s">
        <v>425</v>
      </c>
      <c r="F120" s="3"/>
      <c r="G120" s="3" t="s">
        <v>34</v>
      </c>
    </row>
    <row r="121" spans="1:7" ht="15" x14ac:dyDescent="0.25">
      <c r="A121" s="3" t="s">
        <v>15</v>
      </c>
      <c r="B121" s="4" t="s">
        <v>413</v>
      </c>
      <c r="C121" s="3" t="s">
        <v>426</v>
      </c>
      <c r="D121" s="3" t="s">
        <v>79</v>
      </c>
      <c r="E121" s="3" t="s">
        <v>428</v>
      </c>
      <c r="F121" s="3"/>
      <c r="G121" s="3" t="s">
        <v>34</v>
      </c>
    </row>
    <row r="122" spans="1:7" ht="15" x14ac:dyDescent="0.25">
      <c r="A122" s="3" t="s">
        <v>15</v>
      </c>
      <c r="B122" s="4" t="s">
        <v>413</v>
      </c>
      <c r="C122" s="3" t="s">
        <v>429</v>
      </c>
      <c r="D122" s="3"/>
      <c r="E122" s="3" t="s">
        <v>430</v>
      </c>
      <c r="F122" s="3"/>
      <c r="G122" s="3" t="s">
        <v>12</v>
      </c>
    </row>
    <row r="123" spans="1:7" ht="15" x14ac:dyDescent="0.25">
      <c r="A123" s="3" t="s">
        <v>15</v>
      </c>
      <c r="B123" s="4" t="s">
        <v>413</v>
      </c>
      <c r="C123" s="3" t="s">
        <v>429</v>
      </c>
      <c r="D123" s="3"/>
      <c r="E123" s="3" t="s">
        <v>431</v>
      </c>
      <c r="F123" s="3"/>
      <c r="G123" s="3" t="s">
        <v>12</v>
      </c>
    </row>
    <row r="124" spans="1:7" ht="15" x14ac:dyDescent="0.25">
      <c r="A124" s="3" t="s">
        <v>15</v>
      </c>
      <c r="B124" s="4" t="s">
        <v>413</v>
      </c>
      <c r="C124" s="3" t="s">
        <v>432</v>
      </c>
      <c r="D124" s="3"/>
      <c r="E124" s="3" t="s">
        <v>433</v>
      </c>
      <c r="F124" s="3"/>
      <c r="G124" s="3" t="s">
        <v>24</v>
      </c>
    </row>
    <row r="125" spans="1:7" x14ac:dyDescent="0.2">
      <c r="A125" s="3" t="s">
        <v>15</v>
      </c>
      <c r="B125" s="3" t="s">
        <v>435</v>
      </c>
      <c r="C125" s="3" t="s">
        <v>436</v>
      </c>
      <c r="D125" s="3"/>
      <c r="E125" s="3" t="s">
        <v>437</v>
      </c>
      <c r="F125" s="3"/>
      <c r="G125" s="3" t="s">
        <v>12</v>
      </c>
    </row>
    <row r="126" spans="1:7" x14ac:dyDescent="0.2">
      <c r="A126" s="3" t="s">
        <v>15</v>
      </c>
      <c r="B126" s="3" t="s">
        <v>435</v>
      </c>
      <c r="C126" s="3" t="s">
        <v>438</v>
      </c>
      <c r="D126" s="3"/>
      <c r="E126" s="3" t="s">
        <v>439</v>
      </c>
      <c r="F126" s="3"/>
      <c r="G126" s="3" t="s">
        <v>12</v>
      </c>
    </row>
    <row r="127" spans="1:7" x14ac:dyDescent="0.2">
      <c r="A127" s="3" t="s">
        <v>15</v>
      </c>
      <c r="B127" s="3" t="s">
        <v>435</v>
      </c>
      <c r="C127" s="3" t="s">
        <v>440</v>
      </c>
      <c r="D127" s="3"/>
      <c r="E127" s="3" t="s">
        <v>48</v>
      </c>
      <c r="F127" s="3"/>
      <c r="G127" s="3" t="s">
        <v>34</v>
      </c>
    </row>
    <row r="128" spans="1:7" ht="15" x14ac:dyDescent="0.25">
      <c r="A128" s="3" t="s">
        <v>15</v>
      </c>
      <c r="B128" s="4" t="s">
        <v>441</v>
      </c>
      <c r="C128" s="3" t="s">
        <v>442</v>
      </c>
      <c r="D128" s="3"/>
      <c r="E128" s="3" t="s">
        <v>443</v>
      </c>
      <c r="F128" s="3"/>
      <c r="G128" s="3" t="s">
        <v>34</v>
      </c>
    </row>
    <row r="129" spans="1:7" ht="15" x14ac:dyDescent="0.25">
      <c r="A129" s="3" t="s">
        <v>15</v>
      </c>
      <c r="B129" s="4" t="s">
        <v>445</v>
      </c>
      <c r="C129" s="3" t="s">
        <v>446</v>
      </c>
      <c r="D129" s="3"/>
      <c r="E129" s="3" t="s">
        <v>148</v>
      </c>
      <c r="F129" s="3"/>
      <c r="G129" s="3" t="s">
        <v>24</v>
      </c>
    </row>
    <row r="130" spans="1:7" ht="15" x14ac:dyDescent="0.25">
      <c r="A130" s="3" t="s">
        <v>15</v>
      </c>
      <c r="B130" s="4" t="s">
        <v>445</v>
      </c>
      <c r="C130" s="3" t="s">
        <v>448</v>
      </c>
      <c r="D130" s="3"/>
      <c r="E130" s="3" t="s">
        <v>449</v>
      </c>
      <c r="F130" s="3"/>
      <c r="G130" s="3" t="s">
        <v>24</v>
      </c>
    </row>
    <row r="131" spans="1:7" ht="15" x14ac:dyDescent="0.25">
      <c r="A131" s="3" t="s">
        <v>15</v>
      </c>
      <c r="B131" s="4" t="s">
        <v>445</v>
      </c>
      <c r="C131" s="3" t="s">
        <v>451</v>
      </c>
      <c r="D131" s="3"/>
      <c r="E131" s="3" t="s">
        <v>453</v>
      </c>
      <c r="F131" s="3"/>
      <c r="G131" s="3" t="s">
        <v>24</v>
      </c>
    </row>
    <row r="132" spans="1:7" ht="15" x14ac:dyDescent="0.25">
      <c r="A132" s="3" t="s">
        <v>15</v>
      </c>
      <c r="B132" s="4" t="s">
        <v>454</v>
      </c>
      <c r="C132" s="3" t="s">
        <v>455</v>
      </c>
      <c r="D132" s="3" t="s">
        <v>9</v>
      </c>
      <c r="E132" s="3" t="s">
        <v>74</v>
      </c>
      <c r="F132" s="3"/>
      <c r="G132" s="3" t="s">
        <v>12</v>
      </c>
    </row>
    <row r="133" spans="1:7" ht="15" x14ac:dyDescent="0.25">
      <c r="A133" s="3" t="s">
        <v>15</v>
      </c>
      <c r="B133" s="4" t="s">
        <v>454</v>
      </c>
      <c r="C133" s="3" t="s">
        <v>457</v>
      </c>
      <c r="D133" s="3"/>
      <c r="E133" s="3" t="s">
        <v>248</v>
      </c>
      <c r="F133" s="3" t="s">
        <v>459</v>
      </c>
      <c r="G133" s="3" t="s">
        <v>12</v>
      </c>
    </row>
    <row r="134" spans="1:7" ht="15" x14ac:dyDescent="0.25">
      <c r="A134" s="3" t="s">
        <v>15</v>
      </c>
      <c r="B134" s="4" t="s">
        <v>454</v>
      </c>
      <c r="C134" s="3" t="s">
        <v>460</v>
      </c>
      <c r="D134" s="3"/>
      <c r="E134" s="3" t="s">
        <v>461</v>
      </c>
      <c r="F134" s="3"/>
      <c r="G134" s="3" t="s">
        <v>45</v>
      </c>
    </row>
    <row r="135" spans="1:7" ht="15" x14ac:dyDescent="0.25">
      <c r="A135" s="3" t="s">
        <v>15</v>
      </c>
      <c r="B135" s="4" t="s">
        <v>454</v>
      </c>
      <c r="C135" s="3" t="s">
        <v>462</v>
      </c>
      <c r="D135" s="3"/>
      <c r="E135" s="3" t="s">
        <v>465</v>
      </c>
      <c r="F135" s="3" t="s">
        <v>466</v>
      </c>
      <c r="G135" s="3" t="s">
        <v>34</v>
      </c>
    </row>
    <row r="136" spans="1:7" ht="15" x14ac:dyDescent="0.25">
      <c r="A136" s="3" t="s">
        <v>15</v>
      </c>
      <c r="B136" s="4" t="s">
        <v>454</v>
      </c>
      <c r="C136" s="3" t="s">
        <v>467</v>
      </c>
      <c r="D136" s="3"/>
      <c r="E136" s="3" t="s">
        <v>471</v>
      </c>
      <c r="F136" s="3" t="s">
        <v>470</v>
      </c>
      <c r="G136" s="3" t="s">
        <v>34</v>
      </c>
    </row>
    <row r="137" spans="1:7" ht="15" x14ac:dyDescent="0.25">
      <c r="A137" s="3" t="s">
        <v>15</v>
      </c>
      <c r="B137" s="4" t="s">
        <v>454</v>
      </c>
      <c r="C137" s="3" t="s">
        <v>472</v>
      </c>
      <c r="D137" s="3"/>
      <c r="E137" s="3" t="s">
        <v>475</v>
      </c>
      <c r="F137" s="3" t="s">
        <v>476</v>
      </c>
      <c r="G137" s="3" t="s">
        <v>34</v>
      </c>
    </row>
    <row r="138" spans="1:7" ht="15" x14ac:dyDescent="0.25">
      <c r="A138" s="3" t="s">
        <v>15</v>
      </c>
      <c r="B138" s="4" t="s">
        <v>454</v>
      </c>
      <c r="C138" s="3" t="s">
        <v>477</v>
      </c>
      <c r="D138" s="3"/>
      <c r="E138" s="3" t="s">
        <v>30</v>
      </c>
      <c r="F138" s="3"/>
      <c r="G138" s="3" t="s">
        <v>24</v>
      </c>
    </row>
    <row r="139" spans="1:7" x14ac:dyDescent="0.2">
      <c r="A139" s="3" t="s">
        <v>15</v>
      </c>
      <c r="B139" s="3" t="s">
        <v>479</v>
      </c>
      <c r="C139" s="3" t="s">
        <v>480</v>
      </c>
      <c r="D139" s="3"/>
      <c r="E139" s="3" t="s">
        <v>248</v>
      </c>
      <c r="F139" s="3"/>
      <c r="G139" s="3" t="s">
        <v>12</v>
      </c>
    </row>
    <row r="140" spans="1:7" x14ac:dyDescent="0.2">
      <c r="A140" s="3" t="s">
        <v>15</v>
      </c>
      <c r="B140" s="3" t="s">
        <v>479</v>
      </c>
      <c r="C140" s="3" t="s">
        <v>481</v>
      </c>
      <c r="D140" s="3"/>
      <c r="E140" s="3" t="s">
        <v>484</v>
      </c>
      <c r="F140" s="3"/>
      <c r="G140" s="3" t="s">
        <v>70</v>
      </c>
    </row>
    <row r="141" spans="1:7" x14ac:dyDescent="0.2">
      <c r="A141" s="3" t="s">
        <v>15</v>
      </c>
      <c r="B141" s="3" t="s">
        <v>485</v>
      </c>
      <c r="C141" s="3" t="s">
        <v>486</v>
      </c>
      <c r="D141" s="3"/>
      <c r="E141" s="3" t="s">
        <v>248</v>
      </c>
      <c r="F141" s="3"/>
      <c r="G141" s="3" t="s">
        <v>12</v>
      </c>
    </row>
    <row r="142" spans="1:7" x14ac:dyDescent="0.2">
      <c r="A142" s="3" t="s">
        <v>15</v>
      </c>
      <c r="B142" s="3" t="s">
        <v>485</v>
      </c>
      <c r="C142" s="3" t="s">
        <v>487</v>
      </c>
      <c r="D142" s="3"/>
      <c r="E142" s="3" t="s">
        <v>490</v>
      </c>
      <c r="F142" s="3" t="s">
        <v>491</v>
      </c>
      <c r="G142" s="3" t="s">
        <v>492</v>
      </c>
    </row>
    <row r="143" spans="1:7" x14ac:dyDescent="0.2">
      <c r="A143" s="3" t="s">
        <v>15</v>
      </c>
      <c r="B143" s="3" t="s">
        <v>485</v>
      </c>
      <c r="C143" s="3" t="s">
        <v>493</v>
      </c>
      <c r="D143" s="3" t="s">
        <v>9</v>
      </c>
      <c r="E143" s="3" t="s">
        <v>213</v>
      </c>
      <c r="F143" s="3"/>
      <c r="G143" s="3" t="s">
        <v>12</v>
      </c>
    </row>
    <row r="144" spans="1:7" x14ac:dyDescent="0.2">
      <c r="A144" s="3" t="s">
        <v>15</v>
      </c>
      <c r="B144" s="3" t="s">
        <v>485</v>
      </c>
      <c r="C144" s="3" t="s">
        <v>495</v>
      </c>
      <c r="D144" s="3"/>
      <c r="E144" s="3" t="s">
        <v>100</v>
      </c>
      <c r="F144" s="3"/>
      <c r="G144" s="3" t="s">
        <v>70</v>
      </c>
    </row>
    <row r="145" spans="1:7" x14ac:dyDescent="0.2">
      <c r="A145" s="3" t="s">
        <v>15</v>
      </c>
      <c r="B145" s="3" t="s">
        <v>485</v>
      </c>
      <c r="C145" s="3" t="s">
        <v>496</v>
      </c>
      <c r="D145" s="3"/>
      <c r="E145" s="3" t="s">
        <v>210</v>
      </c>
      <c r="F145" s="3"/>
      <c r="G145" s="3" t="s">
        <v>70</v>
      </c>
    </row>
    <row r="146" spans="1:7" x14ac:dyDescent="0.2">
      <c r="A146" s="3" t="s">
        <v>15</v>
      </c>
      <c r="B146" s="3" t="s">
        <v>485</v>
      </c>
      <c r="C146" s="3" t="s">
        <v>497</v>
      </c>
      <c r="D146" s="3"/>
      <c r="E146" s="3" t="s">
        <v>498</v>
      </c>
      <c r="F146" s="3"/>
      <c r="G146" s="3" t="s">
        <v>55</v>
      </c>
    </row>
    <row r="147" spans="1:7" x14ac:dyDescent="0.2">
      <c r="A147" s="3" t="s">
        <v>15</v>
      </c>
      <c r="B147" s="3" t="s">
        <v>485</v>
      </c>
      <c r="C147" s="3" t="s">
        <v>499</v>
      </c>
      <c r="D147" s="3"/>
      <c r="E147" s="3" t="s">
        <v>105</v>
      </c>
      <c r="F147" s="3"/>
      <c r="G147" s="3" t="s">
        <v>55</v>
      </c>
    </row>
    <row r="148" spans="1:7" x14ac:dyDescent="0.2">
      <c r="A148" s="3" t="s">
        <v>15</v>
      </c>
      <c r="B148" s="3" t="s">
        <v>485</v>
      </c>
      <c r="C148" s="3" t="s">
        <v>501</v>
      </c>
      <c r="D148" s="3"/>
      <c r="E148" s="3" t="s">
        <v>48</v>
      </c>
      <c r="F148" s="3"/>
      <c r="G148" s="3" t="s">
        <v>34</v>
      </c>
    </row>
    <row r="149" spans="1:7" x14ac:dyDescent="0.2">
      <c r="A149" s="3" t="s">
        <v>15</v>
      </c>
      <c r="B149" s="3" t="s">
        <v>485</v>
      </c>
      <c r="C149" s="3" t="s">
        <v>502</v>
      </c>
      <c r="D149" s="3"/>
      <c r="E149" s="3" t="s">
        <v>30</v>
      </c>
      <c r="F149" s="3"/>
      <c r="G149" s="3" t="s">
        <v>24</v>
      </c>
    </row>
    <row r="150" spans="1:7" x14ac:dyDescent="0.2">
      <c r="A150" s="3" t="s">
        <v>15</v>
      </c>
      <c r="B150" s="3" t="s">
        <v>503</v>
      </c>
      <c r="C150" s="3" t="s">
        <v>504</v>
      </c>
      <c r="D150" s="3"/>
      <c r="E150" s="3" t="s">
        <v>505</v>
      </c>
      <c r="F150" s="3" t="s">
        <v>506</v>
      </c>
      <c r="G150" s="3" t="s">
        <v>90</v>
      </c>
    </row>
    <row r="151" spans="1:7" x14ac:dyDescent="0.2">
      <c r="A151" s="3" t="s">
        <v>15</v>
      </c>
      <c r="B151" s="3" t="s">
        <v>503</v>
      </c>
      <c r="C151" s="3" t="s">
        <v>504</v>
      </c>
      <c r="D151" s="3"/>
      <c r="E151" s="3" t="s">
        <v>505</v>
      </c>
      <c r="F151" s="3" t="s">
        <v>508</v>
      </c>
      <c r="G151" s="3" t="s">
        <v>90</v>
      </c>
    </row>
    <row r="152" spans="1:7" x14ac:dyDescent="0.2">
      <c r="A152" s="3" t="s">
        <v>15</v>
      </c>
      <c r="B152" s="3" t="s">
        <v>509</v>
      </c>
      <c r="C152" s="3" t="s">
        <v>510</v>
      </c>
      <c r="D152" s="3"/>
      <c r="E152" s="3" t="s">
        <v>513</v>
      </c>
      <c r="F152" s="3"/>
      <c r="G152" s="3" t="s">
        <v>24</v>
      </c>
    </row>
    <row r="153" spans="1:7" x14ac:dyDescent="0.2">
      <c r="A153" s="3" t="s">
        <v>15</v>
      </c>
      <c r="B153" s="3" t="s">
        <v>509</v>
      </c>
      <c r="C153" s="3" t="s">
        <v>514</v>
      </c>
      <c r="D153" s="3"/>
      <c r="E153" s="3" t="s">
        <v>517</v>
      </c>
      <c r="F153" s="3" t="s">
        <v>218</v>
      </c>
      <c r="G153" s="3" t="s">
        <v>34</v>
      </c>
    </row>
    <row r="154" spans="1:7" x14ac:dyDescent="0.2">
      <c r="A154" s="3" t="s">
        <v>15</v>
      </c>
      <c r="B154" s="3" t="s">
        <v>509</v>
      </c>
      <c r="C154" s="3" t="s">
        <v>519</v>
      </c>
      <c r="D154" s="3"/>
      <c r="E154" s="3" t="s">
        <v>521</v>
      </c>
      <c r="F154" s="3"/>
      <c r="G154" s="3" t="s">
        <v>90</v>
      </c>
    </row>
    <row r="155" spans="1:7" x14ac:dyDescent="0.2">
      <c r="A155" s="3" t="s">
        <v>15</v>
      </c>
      <c r="B155" s="3" t="s">
        <v>509</v>
      </c>
      <c r="C155" s="3" t="s">
        <v>522</v>
      </c>
      <c r="D155" s="3"/>
      <c r="E155" s="3" t="s">
        <v>525</v>
      </c>
      <c r="F155" s="3"/>
      <c r="G155" s="3" t="s">
        <v>90</v>
      </c>
    </row>
    <row r="156" spans="1:7" x14ac:dyDescent="0.2">
      <c r="A156" s="3" t="s">
        <v>15</v>
      </c>
      <c r="B156" s="3" t="s">
        <v>509</v>
      </c>
      <c r="C156" s="3" t="s">
        <v>526</v>
      </c>
      <c r="D156" s="3" t="s">
        <v>35</v>
      </c>
      <c r="E156" s="3" t="s">
        <v>529</v>
      </c>
      <c r="F156" s="3"/>
      <c r="G156" s="3" t="s">
        <v>34</v>
      </c>
    </row>
    <row r="157" spans="1:7" x14ac:dyDescent="0.2">
      <c r="A157" s="3" t="s">
        <v>15</v>
      </c>
      <c r="B157" s="3" t="s">
        <v>509</v>
      </c>
      <c r="C157" s="3" t="s">
        <v>530</v>
      </c>
      <c r="D157" s="3" t="s">
        <v>42</v>
      </c>
      <c r="E157" s="3" t="s">
        <v>28</v>
      </c>
      <c r="F157" s="3"/>
      <c r="G157" s="3" t="s">
        <v>12</v>
      </c>
    </row>
    <row r="158" spans="1:7" x14ac:dyDescent="0.2">
      <c r="A158" s="3" t="s">
        <v>15</v>
      </c>
      <c r="B158" s="3" t="s">
        <v>509</v>
      </c>
      <c r="C158" s="3" t="s">
        <v>532</v>
      </c>
      <c r="D158" s="3"/>
      <c r="E158" s="3" t="s">
        <v>397</v>
      </c>
      <c r="F158" s="3"/>
      <c r="G158" s="3" t="s">
        <v>34</v>
      </c>
    </row>
    <row r="159" spans="1:7" x14ac:dyDescent="0.2">
      <c r="A159" s="3" t="s">
        <v>15</v>
      </c>
      <c r="B159" s="3" t="s">
        <v>509</v>
      </c>
      <c r="C159" s="3" t="s">
        <v>532</v>
      </c>
      <c r="D159" s="3"/>
      <c r="E159" s="3" t="s">
        <v>535</v>
      </c>
      <c r="F159" s="3"/>
      <c r="G159" s="3" t="s">
        <v>34</v>
      </c>
    </row>
    <row r="160" spans="1:7" ht="14.25" x14ac:dyDescent="0.2">
      <c r="A160" s="3" t="s">
        <v>15</v>
      </c>
      <c r="B160" s="5" t="s">
        <v>536</v>
      </c>
      <c r="C160" s="3" t="s">
        <v>537</v>
      </c>
      <c r="D160" s="3"/>
      <c r="E160" s="3" t="s">
        <v>539</v>
      </c>
      <c r="F160" s="3"/>
      <c r="G160" s="3" t="s">
        <v>24</v>
      </c>
    </row>
    <row r="161" spans="1:7" ht="14.25" x14ac:dyDescent="0.2">
      <c r="A161" s="3" t="s">
        <v>15</v>
      </c>
      <c r="B161" s="5" t="s">
        <v>536</v>
      </c>
      <c r="C161" s="3" t="s">
        <v>540</v>
      </c>
      <c r="D161" s="3"/>
      <c r="E161" s="3" t="s">
        <v>541</v>
      </c>
      <c r="F161" s="3"/>
      <c r="G161" s="3" t="s">
        <v>24</v>
      </c>
    </row>
    <row r="162" spans="1:7" ht="14.25" x14ac:dyDescent="0.2">
      <c r="A162" s="3" t="s">
        <v>15</v>
      </c>
      <c r="B162" s="5" t="s">
        <v>536</v>
      </c>
      <c r="C162" s="3" t="s">
        <v>543</v>
      </c>
      <c r="D162" s="3"/>
      <c r="E162" s="3" t="s">
        <v>545</v>
      </c>
      <c r="F162" s="3"/>
      <c r="G162" s="3" t="s">
        <v>90</v>
      </c>
    </row>
    <row r="163" spans="1:7" ht="14.25" x14ac:dyDescent="0.2">
      <c r="A163" s="3" t="s">
        <v>15</v>
      </c>
      <c r="B163" s="5" t="s">
        <v>536</v>
      </c>
      <c r="C163" s="3" t="s">
        <v>546</v>
      </c>
      <c r="D163" s="3"/>
      <c r="E163" s="3" t="s">
        <v>548</v>
      </c>
      <c r="F163" s="3"/>
      <c r="G163" s="3" t="s">
        <v>90</v>
      </c>
    </row>
    <row r="164" spans="1:7" x14ac:dyDescent="0.2">
      <c r="A164" s="3" t="s">
        <v>15</v>
      </c>
      <c r="B164" s="3" t="s">
        <v>549</v>
      </c>
      <c r="C164" s="3" t="s">
        <v>550</v>
      </c>
      <c r="D164" s="3"/>
      <c r="E164" s="3" t="s">
        <v>48</v>
      </c>
      <c r="F164" s="3"/>
      <c r="G164" s="3" t="s">
        <v>34</v>
      </c>
    </row>
    <row r="165" spans="1:7" x14ac:dyDescent="0.2">
      <c r="A165" s="3" t="s">
        <v>15</v>
      </c>
      <c r="B165" s="3" t="s">
        <v>549</v>
      </c>
      <c r="C165" s="3" t="s">
        <v>551</v>
      </c>
      <c r="D165" s="3"/>
      <c r="E165" s="3" t="s">
        <v>552</v>
      </c>
      <c r="F165" s="3"/>
      <c r="G165" s="3" t="s">
        <v>34</v>
      </c>
    </row>
    <row r="166" spans="1:7" x14ac:dyDescent="0.2">
      <c r="A166" s="3" t="s">
        <v>15</v>
      </c>
      <c r="B166" s="3" t="s">
        <v>549</v>
      </c>
      <c r="C166" s="3" t="s">
        <v>553</v>
      </c>
      <c r="D166" s="3"/>
      <c r="E166" s="3" t="s">
        <v>555</v>
      </c>
      <c r="F166" s="3"/>
      <c r="G166" s="3" t="s">
        <v>45</v>
      </c>
    </row>
    <row r="167" spans="1:7" ht="15" x14ac:dyDescent="0.25">
      <c r="A167" s="3" t="s">
        <v>15</v>
      </c>
      <c r="B167" s="3" t="s">
        <v>549</v>
      </c>
      <c r="C167" s="4" t="s">
        <v>556</v>
      </c>
      <c r="D167" s="3" t="s">
        <v>298</v>
      </c>
      <c r="E167" s="3" t="s">
        <v>558</v>
      </c>
      <c r="F167" s="3"/>
      <c r="G167" s="3" t="s">
        <v>34</v>
      </c>
    </row>
    <row r="168" spans="1:7" x14ac:dyDescent="0.2">
      <c r="A168" s="3" t="s">
        <v>15</v>
      </c>
      <c r="B168" s="3" t="s">
        <v>559</v>
      </c>
      <c r="C168" s="3" t="s">
        <v>560</v>
      </c>
      <c r="D168" s="3"/>
      <c r="E168" s="3" t="s">
        <v>563</v>
      </c>
      <c r="F168" s="3" t="s">
        <v>61</v>
      </c>
      <c r="G168" s="3" t="s">
        <v>34</v>
      </c>
    </row>
    <row r="169" spans="1:7" x14ac:dyDescent="0.2">
      <c r="A169" s="3" t="s">
        <v>15</v>
      </c>
      <c r="B169" s="3" t="s">
        <v>559</v>
      </c>
      <c r="C169" s="3" t="s">
        <v>565</v>
      </c>
      <c r="D169" s="3"/>
      <c r="E169" s="3" t="s">
        <v>570</v>
      </c>
      <c r="F169" s="3" t="s">
        <v>571</v>
      </c>
      <c r="G169" s="3" t="s">
        <v>24</v>
      </c>
    </row>
    <row r="170" spans="1:7" x14ac:dyDescent="0.2">
      <c r="A170" s="3" t="s">
        <v>15</v>
      </c>
      <c r="B170" s="3" t="s">
        <v>559</v>
      </c>
      <c r="C170" s="3" t="s">
        <v>572</v>
      </c>
      <c r="D170" s="3"/>
      <c r="E170" s="3" t="s">
        <v>575</v>
      </c>
      <c r="F170" s="3"/>
      <c r="G170" s="3" t="s">
        <v>34</v>
      </c>
    </row>
    <row r="171" spans="1:7" x14ac:dyDescent="0.2">
      <c r="A171" s="3" t="s">
        <v>15</v>
      </c>
      <c r="B171" s="3" t="s">
        <v>559</v>
      </c>
      <c r="C171" s="3" t="s">
        <v>576</v>
      </c>
      <c r="D171" s="3"/>
      <c r="E171" s="3" t="s">
        <v>580</v>
      </c>
      <c r="F171" s="3" t="s">
        <v>578</v>
      </c>
      <c r="G171" s="3" t="s">
        <v>90</v>
      </c>
    </row>
    <row r="172" spans="1:7" x14ac:dyDescent="0.2">
      <c r="A172" s="3" t="s">
        <v>15</v>
      </c>
      <c r="B172" s="3" t="s">
        <v>559</v>
      </c>
      <c r="C172" s="3" t="s">
        <v>582</v>
      </c>
      <c r="D172" s="3"/>
      <c r="E172" s="3" t="s">
        <v>584</v>
      </c>
      <c r="F172" s="3" t="s">
        <v>578</v>
      </c>
      <c r="G172" s="3" t="s">
        <v>90</v>
      </c>
    </row>
    <row r="173" spans="1:7" x14ac:dyDescent="0.2">
      <c r="A173" s="3" t="s">
        <v>15</v>
      </c>
      <c r="B173" s="3" t="s">
        <v>559</v>
      </c>
      <c r="C173" s="3" t="s">
        <v>585</v>
      </c>
      <c r="D173" s="3"/>
      <c r="E173" s="3" t="s">
        <v>587</v>
      </c>
      <c r="F173" s="3" t="s">
        <v>578</v>
      </c>
      <c r="G173" s="3" t="s">
        <v>90</v>
      </c>
    </row>
    <row r="174" spans="1:7" x14ac:dyDescent="0.2">
      <c r="A174" s="3" t="s">
        <v>15</v>
      </c>
      <c r="B174" s="3" t="s">
        <v>559</v>
      </c>
      <c r="C174" s="3" t="s">
        <v>588</v>
      </c>
      <c r="D174" s="3"/>
      <c r="E174" s="3" t="s">
        <v>590</v>
      </c>
      <c r="F174" s="3" t="s">
        <v>578</v>
      </c>
      <c r="G174" s="3" t="s">
        <v>90</v>
      </c>
    </row>
    <row r="175" spans="1:7" ht="15" x14ac:dyDescent="0.25">
      <c r="A175" s="3" t="s">
        <v>15</v>
      </c>
      <c r="B175" s="4" t="s">
        <v>591</v>
      </c>
      <c r="C175" t="s">
        <v>751</v>
      </c>
      <c r="D175" s="3"/>
      <c r="E175" s="3" t="s">
        <v>594</v>
      </c>
      <c r="F175" s="3"/>
      <c r="G175" s="3" t="s">
        <v>24</v>
      </c>
    </row>
    <row r="176" spans="1:7" ht="15" x14ac:dyDescent="0.25">
      <c r="A176" s="3" t="s">
        <v>15</v>
      </c>
      <c r="B176" s="4" t="s">
        <v>591</v>
      </c>
      <c r="C176" t="s">
        <v>751</v>
      </c>
      <c r="D176" s="3"/>
      <c r="E176" s="3" t="s">
        <v>65</v>
      </c>
      <c r="F176" s="3"/>
      <c r="G176" s="3" t="s">
        <v>24</v>
      </c>
    </row>
    <row r="177" spans="1:7" x14ac:dyDescent="0.2">
      <c r="A177" s="3" t="s">
        <v>15</v>
      </c>
      <c r="B177" s="3" t="s">
        <v>597</v>
      </c>
      <c r="C177" s="3" t="s">
        <v>598</v>
      </c>
      <c r="D177" s="3"/>
      <c r="E177" s="3" t="s">
        <v>601</v>
      </c>
      <c r="F177" s="3"/>
      <c r="G177" s="3" t="s">
        <v>24</v>
      </c>
    </row>
    <row r="178" spans="1:7" x14ac:dyDescent="0.2">
      <c r="A178" s="3" t="s">
        <v>15</v>
      </c>
      <c r="B178" s="3" t="s">
        <v>597</v>
      </c>
      <c r="C178" s="3" t="s">
        <v>602</v>
      </c>
      <c r="D178" s="3"/>
      <c r="E178" s="3" t="s">
        <v>605</v>
      </c>
      <c r="F178" s="3"/>
      <c r="G178" s="3" t="s">
        <v>45</v>
      </c>
    </row>
    <row r="179" spans="1:7" x14ac:dyDescent="0.2">
      <c r="A179" s="3" t="s">
        <v>15</v>
      </c>
      <c r="B179" s="3" t="s">
        <v>597</v>
      </c>
      <c r="C179" s="3" t="s">
        <v>606</v>
      </c>
      <c r="D179" s="3"/>
      <c r="E179" s="3" t="s">
        <v>608</v>
      </c>
      <c r="F179" s="3"/>
      <c r="G179" s="3" t="s">
        <v>45</v>
      </c>
    </row>
    <row r="180" spans="1:7" x14ac:dyDescent="0.2">
      <c r="A180" s="3" t="s">
        <v>15</v>
      </c>
      <c r="B180" s="3" t="s">
        <v>597</v>
      </c>
      <c r="C180" s="3" t="s">
        <v>609</v>
      </c>
      <c r="D180" s="3"/>
      <c r="E180" s="3" t="s">
        <v>611</v>
      </c>
      <c r="F180" s="3" t="s">
        <v>304</v>
      </c>
      <c r="G180" s="3" t="s">
        <v>34</v>
      </c>
    </row>
    <row r="181" spans="1:7" x14ac:dyDescent="0.2">
      <c r="A181" s="3" t="s">
        <v>15</v>
      </c>
      <c r="B181" s="3" t="s">
        <v>597</v>
      </c>
      <c r="C181" s="3" t="s">
        <v>612</v>
      </c>
      <c r="D181" s="3"/>
      <c r="E181" s="3" t="s">
        <v>613</v>
      </c>
      <c r="F181" s="3"/>
      <c r="G181" s="3" t="s">
        <v>34</v>
      </c>
    </row>
    <row r="182" spans="1:7" x14ac:dyDescent="0.2">
      <c r="A182" s="3" t="s">
        <v>15</v>
      </c>
      <c r="B182" s="3" t="s">
        <v>597</v>
      </c>
      <c r="C182" s="3" t="s">
        <v>614</v>
      </c>
      <c r="D182" s="3"/>
      <c r="E182" s="3" t="s">
        <v>132</v>
      </c>
      <c r="F182" s="3"/>
      <c r="G182" s="3" t="s">
        <v>90</v>
      </c>
    </row>
    <row r="183" spans="1:7" x14ac:dyDescent="0.2">
      <c r="A183" s="3" t="s">
        <v>15</v>
      </c>
      <c r="B183" s="3" t="s">
        <v>597</v>
      </c>
      <c r="C183" s="3" t="s">
        <v>616</v>
      </c>
      <c r="D183" s="3"/>
      <c r="E183" s="3" t="s">
        <v>619</v>
      </c>
      <c r="F183" s="3"/>
      <c r="G183" s="3" t="s">
        <v>55</v>
      </c>
    </row>
    <row r="184" spans="1:7" x14ac:dyDescent="0.2">
      <c r="A184" s="3" t="s">
        <v>15</v>
      </c>
      <c r="B184" s="3" t="s">
        <v>597</v>
      </c>
      <c r="C184" s="3" t="s">
        <v>620</v>
      </c>
      <c r="D184" s="3"/>
      <c r="E184" s="3" t="s">
        <v>139</v>
      </c>
      <c r="F184" s="3"/>
      <c r="G184" s="3" t="s">
        <v>24</v>
      </c>
    </row>
    <row r="185" spans="1:7" x14ac:dyDescent="0.2">
      <c r="A185" s="3" t="s">
        <v>15</v>
      </c>
      <c r="B185" s="3" t="s">
        <v>622</v>
      </c>
      <c r="C185" s="3" t="s">
        <v>623</v>
      </c>
      <c r="D185" s="3"/>
      <c r="E185" s="3" t="s">
        <v>624</v>
      </c>
      <c r="F185" s="3"/>
      <c r="G185" s="3" t="s">
        <v>24</v>
      </c>
    </row>
    <row r="186" spans="1:7" x14ac:dyDescent="0.2">
      <c r="A186" s="3" t="s">
        <v>15</v>
      </c>
      <c r="B186" s="3" t="s">
        <v>622</v>
      </c>
      <c r="C186" s="3" t="s">
        <v>625</v>
      </c>
      <c r="D186" s="3"/>
      <c r="E186" s="3" t="s">
        <v>449</v>
      </c>
      <c r="F186" s="3"/>
      <c r="G186" s="3" t="s">
        <v>24</v>
      </c>
    </row>
    <row r="187" spans="1:7" x14ac:dyDescent="0.2">
      <c r="A187" s="3" t="s">
        <v>15</v>
      </c>
      <c r="B187" s="3" t="s">
        <v>622</v>
      </c>
      <c r="C187" s="3" t="s">
        <v>627</v>
      </c>
      <c r="D187" s="3"/>
      <c r="E187" s="3" t="s">
        <v>628</v>
      </c>
      <c r="F187" s="3"/>
      <c r="G187" s="3" t="s">
        <v>24</v>
      </c>
    </row>
    <row r="188" spans="1:7" x14ac:dyDescent="0.2">
      <c r="A188" s="3" t="s">
        <v>15</v>
      </c>
      <c r="B188" s="3" t="s">
        <v>622</v>
      </c>
      <c r="C188" s="3" t="s">
        <v>630</v>
      </c>
      <c r="D188" s="3"/>
      <c r="E188" s="3" t="s">
        <v>632</v>
      </c>
      <c r="F188" s="3"/>
      <c r="G188" s="3" t="s">
        <v>24</v>
      </c>
    </row>
    <row r="189" spans="1:7" x14ac:dyDescent="0.2">
      <c r="A189" s="3" t="s">
        <v>15</v>
      </c>
      <c r="B189" s="3" t="s">
        <v>622</v>
      </c>
      <c r="C189" s="3" t="s">
        <v>633</v>
      </c>
      <c r="D189" s="3"/>
      <c r="E189" s="3" t="s">
        <v>635</v>
      </c>
      <c r="F189" s="3"/>
      <c r="G189" s="3" t="s">
        <v>24</v>
      </c>
    </row>
    <row r="190" spans="1:7" x14ac:dyDescent="0.2">
      <c r="A190" s="3" t="s">
        <v>15</v>
      </c>
      <c r="B190" s="3" t="s">
        <v>636</v>
      </c>
      <c r="C190" s="3" t="s">
        <v>637</v>
      </c>
      <c r="D190" s="3"/>
      <c r="E190" s="3" t="s">
        <v>59</v>
      </c>
      <c r="F190" s="3" t="s">
        <v>61</v>
      </c>
      <c r="G190" s="3" t="s">
        <v>34</v>
      </c>
    </row>
    <row r="191" spans="1:7" x14ac:dyDescent="0.2">
      <c r="A191" s="3" t="s">
        <v>15</v>
      </c>
      <c r="B191" s="3" t="s">
        <v>636</v>
      </c>
      <c r="C191" s="3" t="s">
        <v>638</v>
      </c>
      <c r="D191" s="3"/>
      <c r="E191" s="3" t="s">
        <v>640</v>
      </c>
      <c r="F191" s="3" t="s">
        <v>162</v>
      </c>
      <c r="G191" s="3" t="s">
        <v>70</v>
      </c>
    </row>
    <row r="192" spans="1:7" x14ac:dyDescent="0.2">
      <c r="A192" s="3" t="s">
        <v>15</v>
      </c>
      <c r="B192" s="3" t="s">
        <v>636</v>
      </c>
      <c r="C192" s="3" t="s">
        <v>641</v>
      </c>
      <c r="D192" s="3"/>
      <c r="E192" s="3" t="s">
        <v>645</v>
      </c>
      <c r="F192" s="3" t="s">
        <v>646</v>
      </c>
      <c r="G192" s="3" t="s">
        <v>12</v>
      </c>
    </row>
    <row r="193" spans="1:7" x14ac:dyDescent="0.2">
      <c r="A193" s="3" t="s">
        <v>15</v>
      </c>
      <c r="B193" s="3" t="s">
        <v>636</v>
      </c>
      <c r="C193" s="3" t="s">
        <v>647</v>
      </c>
      <c r="D193" s="3"/>
      <c r="E193" s="3" t="s">
        <v>30</v>
      </c>
      <c r="F193" s="3" t="s">
        <v>648</v>
      </c>
      <c r="G193" s="3" t="s">
        <v>24</v>
      </c>
    </row>
    <row r="194" spans="1:7" x14ac:dyDescent="0.2">
      <c r="A194" s="3" t="s">
        <v>15</v>
      </c>
      <c r="B194" s="3" t="s">
        <v>636</v>
      </c>
      <c r="C194" s="3" t="s">
        <v>649</v>
      </c>
      <c r="D194" s="3"/>
      <c r="E194" s="3" t="s">
        <v>654</v>
      </c>
      <c r="F194" s="3" t="s">
        <v>655</v>
      </c>
      <c r="G194" s="3" t="s">
        <v>34</v>
      </c>
    </row>
    <row r="195" spans="1:7" ht="15" x14ac:dyDescent="0.25">
      <c r="A195" s="3" t="s">
        <v>15</v>
      </c>
      <c r="B195" s="4" t="s">
        <v>656</v>
      </c>
      <c r="C195" s="3" t="s">
        <v>657</v>
      </c>
      <c r="D195" s="3"/>
      <c r="E195" s="3" t="s">
        <v>30</v>
      </c>
      <c r="F195" s="3"/>
      <c r="G195" s="3" t="s">
        <v>24</v>
      </c>
    </row>
    <row r="196" spans="1:7" ht="15" x14ac:dyDescent="0.25">
      <c r="A196" s="3" t="s">
        <v>15</v>
      </c>
      <c r="B196" s="4" t="s">
        <v>656</v>
      </c>
      <c r="C196" s="3" t="s">
        <v>658</v>
      </c>
      <c r="D196" s="3"/>
      <c r="E196" s="3" t="s">
        <v>74</v>
      </c>
      <c r="F196" s="3"/>
      <c r="G196" s="3" t="s">
        <v>12</v>
      </c>
    </row>
    <row r="197" spans="1:7" ht="15" x14ac:dyDescent="0.25">
      <c r="A197" s="3" t="s">
        <v>15</v>
      </c>
      <c r="B197" s="4" t="s">
        <v>656</v>
      </c>
      <c r="C197" s="3" t="s">
        <v>659</v>
      </c>
      <c r="D197" s="3"/>
      <c r="E197" s="3" t="s">
        <v>660</v>
      </c>
      <c r="F197" s="3"/>
      <c r="G197" s="3" t="s">
        <v>34</v>
      </c>
    </row>
    <row r="198" spans="1:7" x14ac:dyDescent="0.2">
      <c r="A198" s="3" t="s">
        <v>15</v>
      </c>
      <c r="B198" s="3" t="s">
        <v>661</v>
      </c>
      <c r="C198" s="3" t="s">
        <v>662</v>
      </c>
      <c r="D198" s="3"/>
      <c r="E198" s="3" t="s">
        <v>663</v>
      </c>
      <c r="F198" s="3"/>
      <c r="G198" s="3" t="s">
        <v>24</v>
      </c>
    </row>
    <row r="199" spans="1:7" x14ac:dyDescent="0.2">
      <c r="A199" s="3" t="s">
        <v>15</v>
      </c>
      <c r="B199" s="3" t="s">
        <v>661</v>
      </c>
      <c r="C199" s="3" t="s">
        <v>664</v>
      </c>
      <c r="D199" s="3"/>
      <c r="E199" s="3" t="s">
        <v>210</v>
      </c>
      <c r="F199" s="3"/>
      <c r="G199" s="3" t="s">
        <v>70</v>
      </c>
    </row>
    <row r="200" spans="1:7" x14ac:dyDescent="0.2">
      <c r="A200" s="3" t="s">
        <v>15</v>
      </c>
      <c r="B200" s="3" t="s">
        <v>661</v>
      </c>
      <c r="C200" s="3" t="s">
        <v>664</v>
      </c>
      <c r="D200" s="3"/>
      <c r="E200" s="3" t="s">
        <v>666</v>
      </c>
      <c r="F200" s="3"/>
      <c r="G200" s="3" t="s">
        <v>70</v>
      </c>
    </row>
    <row r="201" spans="1:7" x14ac:dyDescent="0.2">
      <c r="A201" s="3" t="s">
        <v>15</v>
      </c>
      <c r="B201" s="3" t="s">
        <v>667</v>
      </c>
      <c r="C201" s="3" t="s">
        <v>668</v>
      </c>
      <c r="D201" s="3"/>
      <c r="E201" s="3" t="s">
        <v>362</v>
      </c>
      <c r="F201" s="3"/>
      <c r="G201" s="3" t="s">
        <v>24</v>
      </c>
    </row>
    <row r="202" spans="1:7" x14ac:dyDescent="0.2">
      <c r="A202" s="3" t="s">
        <v>15</v>
      </c>
      <c r="B202" s="3" t="s">
        <v>667</v>
      </c>
      <c r="C202" s="3" t="s">
        <v>670</v>
      </c>
      <c r="D202" s="3"/>
      <c r="E202" s="3" t="s">
        <v>223</v>
      </c>
      <c r="F202" s="3"/>
      <c r="G202" s="3" t="s">
        <v>24</v>
      </c>
    </row>
    <row r="203" spans="1:7" x14ac:dyDescent="0.2">
      <c r="A203" s="3" t="s">
        <v>15</v>
      </c>
      <c r="B203" s="3" t="s">
        <v>667</v>
      </c>
      <c r="C203" s="3" t="s">
        <v>671</v>
      </c>
      <c r="D203" s="3"/>
      <c r="E203" s="3" t="s">
        <v>594</v>
      </c>
      <c r="F203" s="3"/>
      <c r="G203" s="3" t="s">
        <v>24</v>
      </c>
    </row>
    <row r="204" spans="1:7" x14ac:dyDescent="0.2">
      <c r="A204" s="3" t="s">
        <v>15</v>
      </c>
      <c r="B204" s="3" t="s">
        <v>667</v>
      </c>
      <c r="C204" s="3" t="s">
        <v>672</v>
      </c>
      <c r="D204" s="3"/>
      <c r="E204" s="3" t="s">
        <v>624</v>
      </c>
      <c r="F204" s="3"/>
      <c r="G204" s="3" t="s">
        <v>24</v>
      </c>
    </row>
    <row r="205" spans="1:7" x14ac:dyDescent="0.2">
      <c r="A205" s="3" t="s">
        <v>15</v>
      </c>
      <c r="B205" s="3" t="s">
        <v>667</v>
      </c>
      <c r="C205" s="3" t="s">
        <v>673</v>
      </c>
      <c r="D205" s="3"/>
      <c r="E205" s="3" t="s">
        <v>674</v>
      </c>
      <c r="F205" s="3"/>
      <c r="G205" s="3" t="s">
        <v>24</v>
      </c>
    </row>
    <row r="206" spans="1:7" x14ac:dyDescent="0.2">
      <c r="A206" s="3" t="s">
        <v>15</v>
      </c>
      <c r="B206" s="3" t="s">
        <v>676</v>
      </c>
      <c r="C206" s="3" t="s">
        <v>677</v>
      </c>
      <c r="D206" s="3"/>
      <c r="E206" s="3" t="s">
        <v>482</v>
      </c>
      <c r="F206" s="3" t="s">
        <v>680</v>
      </c>
      <c r="G206" s="3" t="s">
        <v>45</v>
      </c>
    </row>
    <row r="207" spans="1:7" x14ac:dyDescent="0.2">
      <c r="A207" s="3" t="s">
        <v>15</v>
      </c>
      <c r="B207" s="3" t="s">
        <v>676</v>
      </c>
      <c r="C207" s="3" t="s">
        <v>681</v>
      </c>
      <c r="D207" s="3"/>
      <c r="E207" s="3" t="s">
        <v>682</v>
      </c>
      <c r="F207" s="3"/>
      <c r="G207" s="3" t="s">
        <v>45</v>
      </c>
    </row>
    <row r="208" spans="1:7" x14ac:dyDescent="0.2">
      <c r="A208" s="3" t="s">
        <v>15</v>
      </c>
      <c r="B208" s="3" t="s">
        <v>676</v>
      </c>
      <c r="C208" s="3" t="s">
        <v>683</v>
      </c>
      <c r="D208" s="3"/>
      <c r="E208" s="3" t="s">
        <v>685</v>
      </c>
      <c r="F208" s="3"/>
      <c r="G208" s="3" t="s">
        <v>12</v>
      </c>
    </row>
    <row r="209" spans="1:7" x14ac:dyDescent="0.2">
      <c r="A209" s="3" t="s">
        <v>15</v>
      </c>
      <c r="B209" s="3" t="s">
        <v>676</v>
      </c>
      <c r="C209" s="3" t="s">
        <v>686</v>
      </c>
      <c r="D209" s="3"/>
      <c r="E209" s="3" t="s">
        <v>74</v>
      </c>
      <c r="F209" s="3"/>
      <c r="G209" s="3" t="s">
        <v>12</v>
      </c>
    </row>
    <row r="210" spans="1:7" x14ac:dyDescent="0.2">
      <c r="A210" s="3" t="s">
        <v>15</v>
      </c>
      <c r="B210" s="3" t="s">
        <v>676</v>
      </c>
      <c r="C210" s="3" t="s">
        <v>687</v>
      </c>
      <c r="D210" s="3"/>
      <c r="E210" s="3" t="s">
        <v>465</v>
      </c>
      <c r="F210" s="3"/>
      <c r="G210" s="3" t="s">
        <v>34</v>
      </c>
    </row>
    <row r="211" spans="1:7" x14ac:dyDescent="0.2">
      <c r="A211" s="3" t="s">
        <v>15</v>
      </c>
      <c r="B211" s="3" t="s">
        <v>676</v>
      </c>
      <c r="C211" s="3" t="s">
        <v>689</v>
      </c>
      <c r="D211" s="3"/>
      <c r="E211" s="3" t="s">
        <v>691</v>
      </c>
      <c r="F211" s="3"/>
      <c r="G211" s="3" t="s">
        <v>34</v>
      </c>
    </row>
    <row r="212" spans="1:7" x14ac:dyDescent="0.2">
      <c r="A212" s="3" t="s">
        <v>15</v>
      </c>
      <c r="B212" s="3" t="s">
        <v>676</v>
      </c>
      <c r="C212" s="3" t="s">
        <v>692</v>
      </c>
      <c r="D212" s="3"/>
      <c r="E212" s="3" t="s">
        <v>563</v>
      </c>
      <c r="F212" s="3" t="s">
        <v>693</v>
      </c>
      <c r="G212" s="3" t="s">
        <v>34</v>
      </c>
    </row>
    <row r="213" spans="1:7" x14ac:dyDescent="0.2">
      <c r="A213" s="3" t="s">
        <v>15</v>
      </c>
      <c r="B213" s="3" t="s">
        <v>676</v>
      </c>
      <c r="C213" s="3" t="s">
        <v>694</v>
      </c>
      <c r="D213" s="3"/>
      <c r="E213" s="3" t="s">
        <v>697</v>
      </c>
      <c r="F213" s="3"/>
      <c r="G213" s="3" t="s">
        <v>34</v>
      </c>
    </row>
    <row r="214" spans="1:7" x14ac:dyDescent="0.2">
      <c r="A214" s="3" t="s">
        <v>15</v>
      </c>
      <c r="B214" s="3" t="s">
        <v>676</v>
      </c>
      <c r="C214" s="3" t="s">
        <v>698</v>
      </c>
      <c r="D214" s="3"/>
      <c r="E214" s="3" t="s">
        <v>699</v>
      </c>
      <c r="F214" s="3"/>
      <c r="G214" s="3" t="s">
        <v>90</v>
      </c>
    </row>
    <row r="215" spans="1:7" ht="15" x14ac:dyDescent="0.25">
      <c r="A215" s="3" t="s">
        <v>15</v>
      </c>
      <c r="B215" s="4" t="s">
        <v>700</v>
      </c>
      <c r="C215" s="3" t="s">
        <v>701</v>
      </c>
      <c r="D215" s="3"/>
      <c r="E215" s="3" t="s">
        <v>703</v>
      </c>
      <c r="F215" s="3"/>
      <c r="G215" s="3" t="s">
        <v>45</v>
      </c>
    </row>
    <row r="216" spans="1:7" ht="15" x14ac:dyDescent="0.25">
      <c r="A216" s="3" t="s">
        <v>15</v>
      </c>
      <c r="B216" s="4" t="s">
        <v>700</v>
      </c>
      <c r="C216" s="3" t="s">
        <v>704</v>
      </c>
      <c r="D216" s="3"/>
      <c r="E216" s="3" t="s">
        <v>143</v>
      </c>
      <c r="F216" s="3"/>
      <c r="G216" s="3" t="s">
        <v>12</v>
      </c>
    </row>
    <row r="217" spans="1:7" ht="15" x14ac:dyDescent="0.25">
      <c r="A217" s="3" t="s">
        <v>15</v>
      </c>
      <c r="B217" s="4" t="s">
        <v>700</v>
      </c>
      <c r="C217" s="3" t="s">
        <v>706</v>
      </c>
      <c r="D217" s="3"/>
      <c r="E217" s="3" t="s">
        <v>707</v>
      </c>
      <c r="F217" s="3"/>
      <c r="G217" s="3" t="s">
        <v>12</v>
      </c>
    </row>
    <row r="218" spans="1:7" ht="15" x14ac:dyDescent="0.25">
      <c r="A218" s="3" t="s">
        <v>15</v>
      </c>
      <c r="B218" s="4" t="s">
        <v>700</v>
      </c>
      <c r="C218" s="3" t="s">
        <v>708</v>
      </c>
      <c r="D218" s="3"/>
      <c r="E218" s="3" t="s">
        <v>711</v>
      </c>
      <c r="F218" s="3" t="s">
        <v>712</v>
      </c>
      <c r="G218" s="3" t="s">
        <v>34</v>
      </c>
    </row>
    <row r="219" spans="1:7" ht="15" x14ac:dyDescent="0.25">
      <c r="A219" s="3" t="s">
        <v>15</v>
      </c>
      <c r="B219" s="4" t="s">
        <v>700</v>
      </c>
      <c r="C219" s="3" t="s">
        <v>713</v>
      </c>
      <c r="D219" s="3"/>
      <c r="E219" s="3" t="s">
        <v>30</v>
      </c>
      <c r="F219" s="3"/>
      <c r="G219" s="3" t="s">
        <v>24</v>
      </c>
    </row>
    <row r="220" spans="1:7" x14ac:dyDescent="0.2">
      <c r="A220" s="3" t="s">
        <v>15</v>
      </c>
      <c r="B220" s="3" t="s">
        <v>714</v>
      </c>
      <c r="C220" s="3" t="s">
        <v>715</v>
      </c>
      <c r="D220" s="3"/>
      <c r="E220" s="3" t="s">
        <v>717</v>
      </c>
      <c r="F220" s="3"/>
      <c r="G220" s="3" t="s">
        <v>45</v>
      </c>
    </row>
    <row r="221" spans="1:7" x14ac:dyDescent="0.2">
      <c r="A221" s="3" t="s">
        <v>15</v>
      </c>
      <c r="B221" s="3" t="s">
        <v>714</v>
      </c>
      <c r="C221" s="3" t="s">
        <v>718</v>
      </c>
      <c r="D221" s="3"/>
      <c r="E221" s="3" t="s">
        <v>30</v>
      </c>
      <c r="F221" s="3"/>
      <c r="G221" s="3" t="s">
        <v>24</v>
      </c>
    </row>
    <row r="222" spans="1:7" x14ac:dyDescent="0.2">
      <c r="A222" s="3" t="s">
        <v>15</v>
      </c>
      <c r="B222" s="3" t="s">
        <v>714</v>
      </c>
      <c r="C222" s="3" t="s">
        <v>719</v>
      </c>
      <c r="D222" s="3"/>
      <c r="E222" s="3" t="s">
        <v>210</v>
      </c>
      <c r="F222" s="3"/>
      <c r="G222" s="3" t="s">
        <v>70</v>
      </c>
    </row>
    <row r="223" spans="1:7" x14ac:dyDescent="0.2">
      <c r="A223" s="3" t="s">
        <v>15</v>
      </c>
      <c r="B223" s="3" t="s">
        <v>714</v>
      </c>
      <c r="C223" s="3" t="s">
        <v>720</v>
      </c>
      <c r="D223" s="3"/>
      <c r="E223" s="3" t="s">
        <v>48</v>
      </c>
      <c r="F223" s="3"/>
      <c r="G223" s="3" t="s">
        <v>34</v>
      </c>
    </row>
    <row r="224" spans="1:7" x14ac:dyDescent="0.2">
      <c r="A224" s="3" t="s">
        <v>15</v>
      </c>
      <c r="B224" s="3" t="s">
        <v>714</v>
      </c>
      <c r="C224" s="3" t="s">
        <v>721</v>
      </c>
      <c r="D224" s="3"/>
      <c r="E224" s="3" t="s">
        <v>59</v>
      </c>
      <c r="F224" s="3" t="s">
        <v>723</v>
      </c>
      <c r="G224" s="3" t="s">
        <v>34</v>
      </c>
    </row>
    <row r="225" spans="1:7" x14ac:dyDescent="0.2">
      <c r="A225" s="3" t="s">
        <v>15</v>
      </c>
      <c r="B225" s="3" t="s">
        <v>724</v>
      </c>
      <c r="C225" s="3" t="s">
        <v>725</v>
      </c>
      <c r="D225" s="3"/>
      <c r="E225" s="3" t="s">
        <v>728</v>
      </c>
      <c r="F225" s="3" t="s">
        <v>729</v>
      </c>
      <c r="G225" s="3" t="s">
        <v>24</v>
      </c>
    </row>
    <row r="226" spans="1:7" x14ac:dyDescent="0.2">
      <c r="A226" s="3" t="s">
        <v>15</v>
      </c>
      <c r="B226" s="3" t="s">
        <v>724</v>
      </c>
      <c r="C226" s="3" t="s">
        <v>730</v>
      </c>
      <c r="D226" s="3"/>
      <c r="E226" s="3" t="s">
        <v>225</v>
      </c>
      <c r="F226" s="3" t="s">
        <v>729</v>
      </c>
      <c r="G226" s="3" t="s">
        <v>24</v>
      </c>
    </row>
    <row r="227" spans="1:7" x14ac:dyDescent="0.2">
      <c r="A227" s="3" t="s">
        <v>15</v>
      </c>
      <c r="B227" s="3" t="s">
        <v>724</v>
      </c>
      <c r="C227" s="3" t="s">
        <v>731</v>
      </c>
      <c r="D227" s="3"/>
      <c r="E227" s="3" t="s">
        <v>353</v>
      </c>
      <c r="F227" s="3" t="s">
        <v>729</v>
      </c>
      <c r="G227" s="3" t="s">
        <v>24</v>
      </c>
    </row>
    <row r="228" spans="1:7" x14ac:dyDescent="0.2">
      <c r="A228" s="3" t="s">
        <v>15</v>
      </c>
      <c r="B228" s="3" t="s">
        <v>724</v>
      </c>
      <c r="C228" s="3" t="s">
        <v>733</v>
      </c>
      <c r="D228" s="3"/>
      <c r="E228" s="3" t="s">
        <v>734</v>
      </c>
      <c r="F228" s="3" t="s">
        <v>729</v>
      </c>
      <c r="G228" s="3" t="s">
        <v>24</v>
      </c>
    </row>
    <row r="229" spans="1:7" x14ac:dyDescent="0.2">
      <c r="A229" s="3" t="s">
        <v>15</v>
      </c>
      <c r="B229" s="3" t="s">
        <v>724</v>
      </c>
      <c r="C229" s="3" t="s">
        <v>735</v>
      </c>
      <c r="D229" s="3"/>
      <c r="E229" s="3" t="s">
        <v>223</v>
      </c>
      <c r="F229" s="3" t="s">
        <v>729</v>
      </c>
      <c r="G229" s="3" t="s">
        <v>24</v>
      </c>
    </row>
    <row r="230" spans="1:7" x14ac:dyDescent="0.2">
      <c r="A230" s="3" t="s">
        <v>15</v>
      </c>
      <c r="B230" s="3" t="s">
        <v>724</v>
      </c>
      <c r="C230" s="3" t="s">
        <v>736</v>
      </c>
      <c r="D230" s="3"/>
      <c r="E230" s="3" t="s">
        <v>738</v>
      </c>
      <c r="F230" s="3" t="s">
        <v>729</v>
      </c>
      <c r="G230" s="3" t="s">
        <v>24</v>
      </c>
    </row>
    <row r="231" spans="1:7" x14ac:dyDescent="0.2">
      <c r="A231" s="3" t="s">
        <v>15</v>
      </c>
      <c r="B231" s="3" t="s">
        <v>724</v>
      </c>
      <c r="C231" s="3" t="s">
        <v>739</v>
      </c>
      <c r="D231" s="3"/>
      <c r="E231" s="3" t="s">
        <v>449</v>
      </c>
      <c r="F231" s="3" t="s">
        <v>729</v>
      </c>
      <c r="G231" s="3" t="s">
        <v>24</v>
      </c>
    </row>
    <row r="232" spans="1:7" x14ac:dyDescent="0.2">
      <c r="A232" s="3" t="s">
        <v>15</v>
      </c>
      <c r="B232" s="3" t="s">
        <v>724</v>
      </c>
      <c r="C232" s="3" t="s">
        <v>740</v>
      </c>
      <c r="D232" s="3"/>
      <c r="E232" s="3" t="s">
        <v>594</v>
      </c>
      <c r="F232" s="3" t="s">
        <v>729</v>
      </c>
      <c r="G232" s="3" t="s">
        <v>24</v>
      </c>
    </row>
    <row r="233" spans="1:7" x14ac:dyDescent="0.2">
      <c r="A233" s="3" t="s">
        <v>15</v>
      </c>
      <c r="B233" s="3" t="s">
        <v>724</v>
      </c>
      <c r="C233" s="3" t="s">
        <v>741</v>
      </c>
      <c r="D233" s="3"/>
      <c r="E233" s="3" t="s">
        <v>65</v>
      </c>
      <c r="F233" s="3" t="s">
        <v>729</v>
      </c>
      <c r="G233" s="3" t="s">
        <v>24</v>
      </c>
    </row>
  </sheetData>
  <autoFilter ref="A1:G1" xr:uid="{9D0CEED2-5B4D-4833-BDA3-45D64D32982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4EF8-AF5B-4056-80A8-583D194DE1EB}">
  <dimension ref="A1:G465"/>
  <sheetViews>
    <sheetView topLeftCell="A423" workbookViewId="0">
      <selection activeCell="A476" sqref="A476"/>
    </sheetView>
  </sheetViews>
  <sheetFormatPr defaultRowHeight="12.75" x14ac:dyDescent="0.2"/>
  <cols>
    <col min="1" max="1" width="20.85546875" customWidth="1"/>
    <col min="4" max="4" width="25.140625" customWidth="1"/>
    <col min="5" max="5" width="23.28515625" customWidth="1"/>
    <col min="6" max="6" width="19.85546875" customWidth="1"/>
    <col min="7" max="7" width="20.28515625" customWidth="1"/>
  </cols>
  <sheetData>
    <row r="1" spans="1:7" ht="94.5" x14ac:dyDescent="0.25">
      <c r="A1" s="6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ht="15" customHeight="1" x14ac:dyDescent="0.25">
      <c r="A2" s="3" t="s">
        <v>749</v>
      </c>
      <c r="B2" s="4" t="s">
        <v>7</v>
      </c>
      <c r="C2" s="4" t="s">
        <v>8</v>
      </c>
      <c r="D2" s="1" t="s">
        <v>9</v>
      </c>
      <c r="E2" s="1" t="s">
        <v>10</v>
      </c>
      <c r="F2" s="1" t="s">
        <v>11</v>
      </c>
      <c r="G2" s="1" t="s">
        <v>12</v>
      </c>
    </row>
    <row r="3" spans="1:7" ht="15" customHeight="1" x14ac:dyDescent="0.25">
      <c r="A3" s="3" t="s">
        <v>750</v>
      </c>
      <c r="B3" s="4" t="s">
        <v>7</v>
      </c>
      <c r="C3" s="4" t="s">
        <v>8</v>
      </c>
      <c r="D3" s="1" t="s">
        <v>9</v>
      </c>
      <c r="E3" s="1" t="s">
        <v>13</v>
      </c>
      <c r="F3" s="1" t="s">
        <v>14</v>
      </c>
      <c r="G3" s="1" t="s">
        <v>12</v>
      </c>
    </row>
    <row r="4" spans="1:7" ht="15" customHeight="1" x14ac:dyDescent="0.25">
      <c r="A4" s="3" t="s">
        <v>749</v>
      </c>
      <c r="B4" s="4" t="s">
        <v>7</v>
      </c>
      <c r="C4" s="3" t="s">
        <v>56</v>
      </c>
      <c r="D4" s="3"/>
      <c r="E4" s="3" t="s">
        <v>57</v>
      </c>
      <c r="F4" s="3" t="s">
        <v>58</v>
      </c>
      <c r="G4" s="3" t="s">
        <v>49</v>
      </c>
    </row>
    <row r="5" spans="1:7" ht="15" customHeight="1" x14ac:dyDescent="0.25">
      <c r="A5" s="3" t="s">
        <v>750</v>
      </c>
      <c r="B5" s="4" t="s">
        <v>7</v>
      </c>
      <c r="C5" s="3" t="s">
        <v>56</v>
      </c>
      <c r="D5" s="3"/>
      <c r="E5" s="3" t="s">
        <v>59</v>
      </c>
      <c r="F5" s="3" t="s">
        <v>60</v>
      </c>
      <c r="G5" s="3" t="s">
        <v>49</v>
      </c>
    </row>
    <row r="6" spans="1:7" ht="15" customHeight="1" x14ac:dyDescent="0.25">
      <c r="A6" s="3" t="s">
        <v>749</v>
      </c>
      <c r="B6" s="4" t="s">
        <v>7</v>
      </c>
      <c r="C6" s="3" t="s">
        <v>16</v>
      </c>
      <c r="D6" s="3" t="s">
        <v>9</v>
      </c>
      <c r="E6" s="3" t="s">
        <v>17</v>
      </c>
      <c r="F6" s="3" t="s">
        <v>18</v>
      </c>
      <c r="G6" s="3" t="s">
        <v>12</v>
      </c>
    </row>
    <row r="7" spans="1:7" ht="15" customHeight="1" x14ac:dyDescent="0.25">
      <c r="A7" s="3" t="s">
        <v>750</v>
      </c>
      <c r="B7" s="4" t="s">
        <v>7</v>
      </c>
      <c r="C7" s="3" t="s">
        <v>16</v>
      </c>
      <c r="D7" s="3" t="s">
        <v>9</v>
      </c>
      <c r="E7" s="3" t="s">
        <v>19</v>
      </c>
      <c r="F7" s="3" t="s">
        <v>20</v>
      </c>
      <c r="G7" s="3" t="s">
        <v>12</v>
      </c>
    </row>
    <row r="8" spans="1:7" ht="15" customHeight="1" x14ac:dyDescent="0.25">
      <c r="A8" s="3" t="s">
        <v>749</v>
      </c>
      <c r="B8" s="4" t="s">
        <v>7</v>
      </c>
      <c r="C8" s="3" t="s">
        <v>21</v>
      </c>
      <c r="D8" s="3"/>
      <c r="E8" s="3" t="s">
        <v>22</v>
      </c>
      <c r="F8" s="3" t="s">
        <v>23</v>
      </c>
      <c r="G8" s="3" t="s">
        <v>24</v>
      </c>
    </row>
    <row r="9" spans="1:7" ht="15" customHeight="1" x14ac:dyDescent="0.25">
      <c r="A9" s="3" t="s">
        <v>750</v>
      </c>
      <c r="B9" s="4" t="s">
        <v>7</v>
      </c>
      <c r="C9" s="3" t="s">
        <v>21</v>
      </c>
      <c r="D9" s="3"/>
      <c r="E9" s="3" t="s">
        <v>25</v>
      </c>
      <c r="F9" s="3"/>
      <c r="G9" s="3" t="s">
        <v>12</v>
      </c>
    </row>
    <row r="10" spans="1:7" ht="15" customHeight="1" x14ac:dyDescent="0.25">
      <c r="A10" s="3" t="s">
        <v>749</v>
      </c>
      <c r="B10" s="4" t="s">
        <v>7</v>
      </c>
      <c r="C10" s="3" t="s">
        <v>26</v>
      </c>
      <c r="D10" s="3" t="s">
        <v>9</v>
      </c>
      <c r="E10" s="3" t="s">
        <v>27</v>
      </c>
      <c r="F10" s="3"/>
      <c r="G10" s="3" t="s">
        <v>12</v>
      </c>
    </row>
    <row r="11" spans="1:7" ht="15" customHeight="1" x14ac:dyDescent="0.25">
      <c r="A11" s="3" t="s">
        <v>750</v>
      </c>
      <c r="B11" s="4" t="s">
        <v>7</v>
      </c>
      <c r="C11" s="3" t="s">
        <v>26</v>
      </c>
      <c r="D11" s="3" t="s">
        <v>9</v>
      </c>
      <c r="E11" s="3" t="s">
        <v>28</v>
      </c>
      <c r="F11" s="3"/>
      <c r="G11" s="3" t="s">
        <v>12</v>
      </c>
    </row>
    <row r="12" spans="1:7" ht="15" customHeight="1" x14ac:dyDescent="0.25">
      <c r="A12" s="3" t="s">
        <v>749</v>
      </c>
      <c r="B12" s="4" t="s">
        <v>7</v>
      </c>
      <c r="C12" s="3" t="s">
        <v>29</v>
      </c>
      <c r="D12" s="3"/>
      <c r="E12" s="3" t="s">
        <v>30</v>
      </c>
      <c r="F12" s="3"/>
      <c r="G12" s="3" t="s">
        <v>24</v>
      </c>
    </row>
    <row r="13" spans="1:7" ht="15" customHeight="1" x14ac:dyDescent="0.25">
      <c r="A13" s="3" t="s">
        <v>750</v>
      </c>
      <c r="B13" s="4" t="s">
        <v>7</v>
      </c>
      <c r="C13" s="3" t="s">
        <v>29</v>
      </c>
      <c r="D13" s="3"/>
      <c r="E13" s="3" t="s">
        <v>30</v>
      </c>
      <c r="F13" s="3"/>
      <c r="G13" s="3" t="s">
        <v>24</v>
      </c>
    </row>
    <row r="14" spans="1:7" ht="15" customHeight="1" x14ac:dyDescent="0.25">
      <c r="A14" s="3" t="s">
        <v>749</v>
      </c>
      <c r="B14" s="4" t="s">
        <v>7</v>
      </c>
      <c r="C14" s="3" t="s">
        <v>31</v>
      </c>
      <c r="D14" s="3"/>
      <c r="E14" s="3" t="s">
        <v>32</v>
      </c>
      <c r="F14" s="3" t="s">
        <v>33</v>
      </c>
      <c r="G14" s="3" t="s">
        <v>34</v>
      </c>
    </row>
    <row r="15" spans="1:7" ht="15" customHeight="1" x14ac:dyDescent="0.25">
      <c r="A15" s="3" t="s">
        <v>750</v>
      </c>
      <c r="B15" s="4" t="s">
        <v>7</v>
      </c>
      <c r="C15" s="3" t="s">
        <v>31</v>
      </c>
      <c r="D15" s="3" t="s">
        <v>35</v>
      </c>
      <c r="E15" s="3" t="s">
        <v>36</v>
      </c>
      <c r="F15" s="3" t="s">
        <v>37</v>
      </c>
      <c r="G15" s="3" t="s">
        <v>34</v>
      </c>
    </row>
    <row r="16" spans="1:7" ht="15" customHeight="1" x14ac:dyDescent="0.25">
      <c r="A16" s="3" t="s">
        <v>749</v>
      </c>
      <c r="B16" s="4" t="s">
        <v>7</v>
      </c>
      <c r="C16" s="3" t="s">
        <v>38</v>
      </c>
      <c r="D16" s="3" t="s">
        <v>39</v>
      </c>
      <c r="E16" s="3" t="s">
        <v>40</v>
      </c>
      <c r="F16" s="3" t="s">
        <v>41</v>
      </c>
      <c r="G16" s="3" t="s">
        <v>24</v>
      </c>
    </row>
    <row r="17" spans="1:7" ht="15" customHeight="1" x14ac:dyDescent="0.25">
      <c r="A17" s="3" t="s">
        <v>750</v>
      </c>
      <c r="B17" s="4" t="s">
        <v>7</v>
      </c>
      <c r="C17" s="3" t="s">
        <v>38</v>
      </c>
      <c r="D17" s="3" t="s">
        <v>42</v>
      </c>
      <c r="E17" s="3" t="s">
        <v>43</v>
      </c>
      <c r="F17" s="3" t="s">
        <v>44</v>
      </c>
      <c r="G17" s="3" t="s">
        <v>45</v>
      </c>
    </row>
    <row r="18" spans="1:7" ht="15" customHeight="1" x14ac:dyDescent="0.25">
      <c r="A18" s="3" t="s">
        <v>749</v>
      </c>
      <c r="B18" s="4" t="s">
        <v>7</v>
      </c>
      <c r="C18" s="3" t="s">
        <v>46</v>
      </c>
      <c r="D18" s="3" t="s">
        <v>9</v>
      </c>
      <c r="E18" s="3" t="s">
        <v>47</v>
      </c>
      <c r="F18" s="3"/>
      <c r="G18" s="3" t="s">
        <v>34</v>
      </c>
    </row>
    <row r="19" spans="1:7" ht="15" customHeight="1" x14ac:dyDescent="0.25">
      <c r="A19" s="3" t="s">
        <v>750</v>
      </c>
      <c r="B19" s="4" t="s">
        <v>7</v>
      </c>
      <c r="C19" s="3" t="s">
        <v>46</v>
      </c>
      <c r="D19" s="3" t="s">
        <v>9</v>
      </c>
      <c r="E19" s="3" t="s">
        <v>48</v>
      </c>
      <c r="F19" s="3"/>
      <c r="G19" s="3" t="s">
        <v>49</v>
      </c>
    </row>
    <row r="20" spans="1:7" ht="15" customHeight="1" x14ac:dyDescent="0.25">
      <c r="A20" s="3" t="s">
        <v>749</v>
      </c>
      <c r="B20" s="4" t="s">
        <v>7</v>
      </c>
      <c r="C20" s="3" t="s">
        <v>50</v>
      </c>
      <c r="D20" s="3"/>
      <c r="E20" s="3" t="s">
        <v>51</v>
      </c>
      <c r="F20" s="3"/>
      <c r="G20" s="3" t="s">
        <v>52</v>
      </c>
    </row>
    <row r="21" spans="1:7" ht="15" customHeight="1" x14ac:dyDescent="0.25">
      <c r="A21" s="3" t="s">
        <v>750</v>
      </c>
      <c r="B21" s="4" t="s">
        <v>7</v>
      </c>
      <c r="C21" s="3" t="s">
        <v>50</v>
      </c>
      <c r="D21" s="3"/>
      <c r="E21" s="3" t="s">
        <v>53</v>
      </c>
      <c r="F21" s="3" t="s">
        <v>54</v>
      </c>
      <c r="G21" s="3" t="s">
        <v>55</v>
      </c>
    </row>
    <row r="22" spans="1:7" ht="15" customHeight="1" x14ac:dyDescent="0.25">
      <c r="A22" s="3" t="s">
        <v>749</v>
      </c>
      <c r="B22" s="4" t="s">
        <v>441</v>
      </c>
      <c r="C22" s="3" t="s">
        <v>442</v>
      </c>
      <c r="D22" s="3"/>
      <c r="E22" s="3" t="s">
        <v>443</v>
      </c>
      <c r="F22" s="3"/>
      <c r="G22" s="3" t="s">
        <v>34</v>
      </c>
    </row>
    <row r="23" spans="1:7" ht="15" customHeight="1" x14ac:dyDescent="0.25">
      <c r="A23" s="3" t="s">
        <v>750</v>
      </c>
      <c r="B23" s="4" t="s">
        <v>441</v>
      </c>
      <c r="C23" s="3" t="s">
        <v>442</v>
      </c>
      <c r="D23" s="3"/>
      <c r="E23" s="3" t="s">
        <v>444</v>
      </c>
      <c r="F23" s="3"/>
      <c r="G23" s="3" t="s">
        <v>34</v>
      </c>
    </row>
    <row r="24" spans="1:7" ht="15" customHeight="1" x14ac:dyDescent="0.25">
      <c r="A24" s="3" t="s">
        <v>749</v>
      </c>
      <c r="B24" s="4" t="s">
        <v>445</v>
      </c>
      <c r="C24" s="3" t="s">
        <v>446</v>
      </c>
      <c r="D24" s="3"/>
      <c r="E24" s="3" t="s">
        <v>447</v>
      </c>
      <c r="F24" s="3"/>
      <c r="G24" s="3" t="s">
        <v>24</v>
      </c>
    </row>
    <row r="25" spans="1:7" ht="15" customHeight="1" x14ac:dyDescent="0.25">
      <c r="A25" s="3" t="s">
        <v>750</v>
      </c>
      <c r="B25" s="4" t="s">
        <v>445</v>
      </c>
      <c r="C25" s="3" t="s">
        <v>446</v>
      </c>
      <c r="D25" s="3"/>
      <c r="E25" s="3" t="s">
        <v>148</v>
      </c>
      <c r="F25" s="3"/>
      <c r="G25" s="3" t="s">
        <v>24</v>
      </c>
    </row>
    <row r="26" spans="1:7" ht="15" x14ac:dyDescent="0.25">
      <c r="A26" s="3" t="s">
        <v>749</v>
      </c>
      <c r="B26" s="4" t="s">
        <v>445</v>
      </c>
      <c r="C26" s="3" t="s">
        <v>448</v>
      </c>
      <c r="D26" s="3"/>
      <c r="E26" s="3" t="s">
        <v>449</v>
      </c>
      <c r="F26" s="3"/>
      <c r="G26" s="3" t="s">
        <v>24</v>
      </c>
    </row>
    <row r="27" spans="1:7" ht="15" x14ac:dyDescent="0.25">
      <c r="A27" s="3" t="s">
        <v>750</v>
      </c>
      <c r="B27" s="4" t="s">
        <v>445</v>
      </c>
      <c r="C27" s="3" t="s">
        <v>448</v>
      </c>
      <c r="D27" s="3"/>
      <c r="E27" s="3" t="s">
        <v>450</v>
      </c>
      <c r="F27" s="3"/>
      <c r="G27" s="3" t="s">
        <v>24</v>
      </c>
    </row>
    <row r="28" spans="1:7" ht="15" x14ac:dyDescent="0.25">
      <c r="A28" s="3" t="s">
        <v>749</v>
      </c>
      <c r="B28" s="4" t="s">
        <v>445</v>
      </c>
      <c r="C28" s="3" t="s">
        <v>451</v>
      </c>
      <c r="D28" s="3"/>
      <c r="E28" s="3" t="s">
        <v>452</v>
      </c>
      <c r="F28" s="3"/>
      <c r="G28" s="3" t="s">
        <v>24</v>
      </c>
    </row>
    <row r="29" spans="1:7" ht="15" x14ac:dyDescent="0.25">
      <c r="A29" s="3" t="s">
        <v>750</v>
      </c>
      <c r="B29" s="4" t="s">
        <v>445</v>
      </c>
      <c r="C29" s="3" t="s">
        <v>451</v>
      </c>
      <c r="D29" s="3"/>
      <c r="E29" s="3" t="s">
        <v>453</v>
      </c>
      <c r="F29" s="3"/>
      <c r="G29" s="3" t="s">
        <v>24</v>
      </c>
    </row>
    <row r="30" spans="1:7" ht="15" x14ac:dyDescent="0.25">
      <c r="A30" s="3" t="s">
        <v>749</v>
      </c>
      <c r="B30" s="4" t="s">
        <v>454</v>
      </c>
      <c r="C30" s="3" t="s">
        <v>455</v>
      </c>
      <c r="D30" s="3" t="s">
        <v>9</v>
      </c>
      <c r="E30" s="3" t="s">
        <v>456</v>
      </c>
      <c r="F30" s="3"/>
      <c r="G30" s="3" t="s">
        <v>45</v>
      </c>
    </row>
    <row r="31" spans="1:7" ht="15" x14ac:dyDescent="0.25">
      <c r="A31" s="3" t="s">
        <v>750</v>
      </c>
      <c r="B31" s="4" t="s">
        <v>454</v>
      </c>
      <c r="C31" s="3" t="s">
        <v>455</v>
      </c>
      <c r="D31" s="3" t="s">
        <v>9</v>
      </c>
      <c r="E31" s="3" t="s">
        <v>74</v>
      </c>
      <c r="F31" s="3"/>
      <c r="G31" s="3" t="s">
        <v>12</v>
      </c>
    </row>
    <row r="32" spans="1:7" ht="15" x14ac:dyDescent="0.25">
      <c r="A32" s="3" t="s">
        <v>749</v>
      </c>
      <c r="B32" s="4" t="s">
        <v>454</v>
      </c>
      <c r="C32" s="3" t="s">
        <v>457</v>
      </c>
      <c r="D32" s="3"/>
      <c r="E32" s="3" t="s">
        <v>458</v>
      </c>
      <c r="F32" s="3"/>
      <c r="G32" s="3" t="s">
        <v>12</v>
      </c>
    </row>
    <row r="33" spans="1:7" ht="15" x14ac:dyDescent="0.25">
      <c r="A33" s="3" t="s">
        <v>750</v>
      </c>
      <c r="B33" s="4" t="s">
        <v>454</v>
      </c>
      <c r="C33" s="3" t="s">
        <v>457</v>
      </c>
      <c r="D33" s="3"/>
      <c r="E33" s="3" t="s">
        <v>248</v>
      </c>
      <c r="F33" s="3" t="s">
        <v>459</v>
      </c>
      <c r="G33" s="3" t="s">
        <v>12</v>
      </c>
    </row>
    <row r="34" spans="1:7" ht="15" x14ac:dyDescent="0.25">
      <c r="A34" s="3" t="s">
        <v>749</v>
      </c>
      <c r="B34" s="4" t="s">
        <v>454</v>
      </c>
      <c r="C34" s="3" t="s">
        <v>460</v>
      </c>
      <c r="D34" s="3"/>
      <c r="E34" s="3" t="s">
        <v>461</v>
      </c>
      <c r="F34" s="3"/>
      <c r="G34" s="3" t="s">
        <v>45</v>
      </c>
    </row>
    <row r="35" spans="1:7" ht="15" x14ac:dyDescent="0.25">
      <c r="A35" s="3" t="s">
        <v>750</v>
      </c>
      <c r="B35" s="4" t="s">
        <v>454</v>
      </c>
      <c r="C35" s="3" t="s">
        <v>460</v>
      </c>
      <c r="D35" s="3"/>
      <c r="E35" s="3" t="s">
        <v>461</v>
      </c>
      <c r="F35" s="3"/>
      <c r="G35" s="3" t="s">
        <v>45</v>
      </c>
    </row>
    <row r="36" spans="1:7" ht="15" x14ac:dyDescent="0.25">
      <c r="A36" s="3" t="s">
        <v>749</v>
      </c>
      <c r="B36" s="4" t="s">
        <v>454</v>
      </c>
      <c r="C36" s="3" t="s">
        <v>462</v>
      </c>
      <c r="D36" s="3"/>
      <c r="E36" s="3" t="s">
        <v>463</v>
      </c>
      <c r="F36" s="3"/>
      <c r="G36" s="3" t="s">
        <v>34</v>
      </c>
    </row>
    <row r="37" spans="1:7" ht="15" x14ac:dyDescent="0.25">
      <c r="A37" s="3" t="s">
        <v>750</v>
      </c>
      <c r="B37" s="4" t="s">
        <v>454</v>
      </c>
      <c r="C37" s="3" t="s">
        <v>462</v>
      </c>
      <c r="D37" s="3"/>
      <c r="E37" s="3" t="s">
        <v>464</v>
      </c>
      <c r="F37" s="3"/>
      <c r="G37" s="3" t="s">
        <v>34</v>
      </c>
    </row>
    <row r="38" spans="1:7" ht="15" x14ac:dyDescent="0.25">
      <c r="A38" s="3" t="s">
        <v>749</v>
      </c>
      <c r="B38" s="4" t="s">
        <v>454</v>
      </c>
      <c r="C38" s="3" t="s">
        <v>467</v>
      </c>
      <c r="D38" s="3"/>
      <c r="E38" s="3" t="s">
        <v>468</v>
      </c>
      <c r="F38" s="3"/>
      <c r="G38" s="3" t="s">
        <v>34</v>
      </c>
    </row>
    <row r="39" spans="1:7" ht="15" x14ac:dyDescent="0.25">
      <c r="A39" s="3" t="s">
        <v>750</v>
      </c>
      <c r="B39" s="4" t="s">
        <v>454</v>
      </c>
      <c r="C39" s="3" t="s">
        <v>467</v>
      </c>
      <c r="D39" s="3"/>
      <c r="E39" s="3" t="s">
        <v>469</v>
      </c>
      <c r="F39" s="3" t="s">
        <v>470</v>
      </c>
      <c r="G39" s="3" t="s">
        <v>34</v>
      </c>
    </row>
    <row r="40" spans="1:7" ht="15" x14ac:dyDescent="0.25">
      <c r="A40" s="3" t="s">
        <v>749</v>
      </c>
      <c r="B40" s="4" t="s">
        <v>454</v>
      </c>
      <c r="C40" s="3" t="s">
        <v>472</v>
      </c>
      <c r="D40" s="3"/>
      <c r="E40" s="3" t="s">
        <v>473</v>
      </c>
      <c r="F40" s="3" t="s">
        <v>474</v>
      </c>
      <c r="G40" s="3" t="s">
        <v>34</v>
      </c>
    </row>
    <row r="41" spans="1:7" ht="15" x14ac:dyDescent="0.25">
      <c r="A41" s="3" t="s">
        <v>750</v>
      </c>
      <c r="B41" s="4" t="s">
        <v>454</v>
      </c>
      <c r="C41" s="3" t="s">
        <v>472</v>
      </c>
      <c r="D41" s="3"/>
      <c r="E41" s="3" t="s">
        <v>475</v>
      </c>
      <c r="F41" s="3" t="s">
        <v>476</v>
      </c>
      <c r="G41" s="3" t="s">
        <v>34</v>
      </c>
    </row>
    <row r="42" spans="1:7" ht="15" x14ac:dyDescent="0.25">
      <c r="A42" s="3" t="s">
        <v>749</v>
      </c>
      <c r="B42" s="4" t="s">
        <v>454</v>
      </c>
      <c r="C42" s="3" t="s">
        <v>477</v>
      </c>
      <c r="D42" s="3"/>
      <c r="E42" s="3" t="s">
        <v>478</v>
      </c>
      <c r="F42" s="3"/>
      <c r="G42" s="3" t="s">
        <v>24</v>
      </c>
    </row>
    <row r="43" spans="1:7" ht="15" x14ac:dyDescent="0.25">
      <c r="A43" s="3" t="s">
        <v>750</v>
      </c>
      <c r="B43" s="4" t="s">
        <v>454</v>
      </c>
      <c r="C43" s="3" t="s">
        <v>477</v>
      </c>
      <c r="D43" s="3"/>
      <c r="E43" s="3" t="s">
        <v>30</v>
      </c>
      <c r="F43" s="3"/>
      <c r="G43" s="3" t="s">
        <v>24</v>
      </c>
    </row>
    <row r="44" spans="1:7" ht="15" customHeight="1" x14ac:dyDescent="0.2">
      <c r="A44" s="3" t="s">
        <v>749</v>
      </c>
      <c r="B44" s="3" t="s">
        <v>479</v>
      </c>
      <c r="C44" s="3" t="s">
        <v>480</v>
      </c>
      <c r="D44" s="3"/>
      <c r="E44" s="3" t="s">
        <v>248</v>
      </c>
      <c r="F44" s="3"/>
      <c r="G44" s="3" t="s">
        <v>12</v>
      </c>
    </row>
    <row r="45" spans="1:7" ht="15" customHeight="1" x14ac:dyDescent="0.2">
      <c r="A45" s="3" t="s">
        <v>750</v>
      </c>
      <c r="B45" s="3" t="s">
        <v>479</v>
      </c>
      <c r="C45" s="3" t="s">
        <v>480</v>
      </c>
      <c r="D45" s="3"/>
      <c r="E45" s="3" t="s">
        <v>248</v>
      </c>
      <c r="F45" s="3"/>
      <c r="G45" s="3" t="s">
        <v>12</v>
      </c>
    </row>
    <row r="46" spans="1:7" ht="15" customHeight="1" x14ac:dyDescent="0.2">
      <c r="A46" s="3" t="s">
        <v>749</v>
      </c>
      <c r="B46" s="3" t="s">
        <v>479</v>
      </c>
      <c r="C46" s="3" t="s">
        <v>481</v>
      </c>
      <c r="D46" s="3"/>
      <c r="E46" s="3" t="s">
        <v>482</v>
      </c>
      <c r="F46" s="3"/>
      <c r="G46" s="3" t="s">
        <v>70</v>
      </c>
    </row>
    <row r="47" spans="1:7" ht="15" customHeight="1" x14ac:dyDescent="0.2">
      <c r="A47" s="3" t="s">
        <v>750</v>
      </c>
      <c r="B47" s="3" t="s">
        <v>479</v>
      </c>
      <c r="C47" s="3" t="s">
        <v>481</v>
      </c>
      <c r="D47" s="3"/>
      <c r="E47" s="3" t="s">
        <v>483</v>
      </c>
      <c r="F47" s="3"/>
      <c r="G47" s="3" t="s">
        <v>70</v>
      </c>
    </row>
    <row r="48" spans="1:7" ht="15" customHeight="1" x14ac:dyDescent="0.2">
      <c r="A48" s="3" t="s">
        <v>749</v>
      </c>
      <c r="B48" s="3" t="s">
        <v>485</v>
      </c>
      <c r="C48" s="3" t="s">
        <v>486</v>
      </c>
      <c r="D48" s="3"/>
      <c r="E48" s="3" t="s">
        <v>248</v>
      </c>
      <c r="F48" s="3"/>
      <c r="G48" s="3" t="s">
        <v>12</v>
      </c>
    </row>
    <row r="49" spans="1:7" ht="15" customHeight="1" x14ac:dyDescent="0.2">
      <c r="A49" s="3" t="s">
        <v>750</v>
      </c>
      <c r="B49" s="3" t="s">
        <v>485</v>
      </c>
      <c r="C49" s="3" t="s">
        <v>486</v>
      </c>
      <c r="D49" s="3"/>
      <c r="E49" s="3" t="s">
        <v>248</v>
      </c>
      <c r="F49" s="3"/>
      <c r="G49" s="3" t="s">
        <v>12</v>
      </c>
    </row>
    <row r="50" spans="1:7" ht="15" customHeight="1" x14ac:dyDescent="0.2">
      <c r="A50" s="3" t="s">
        <v>749</v>
      </c>
      <c r="B50" s="3" t="s">
        <v>485</v>
      </c>
      <c r="C50" s="3" t="s">
        <v>487</v>
      </c>
      <c r="D50" s="3"/>
      <c r="E50" s="3" t="s">
        <v>488</v>
      </c>
      <c r="F50" s="3" t="s">
        <v>489</v>
      </c>
      <c r="G50" s="3" t="s">
        <v>45</v>
      </c>
    </row>
    <row r="51" spans="1:7" ht="15" customHeight="1" x14ac:dyDescent="0.2">
      <c r="A51" s="3" t="s">
        <v>750</v>
      </c>
      <c r="B51" s="3" t="s">
        <v>485</v>
      </c>
      <c r="C51" s="3" t="s">
        <v>487</v>
      </c>
      <c r="D51" s="3"/>
      <c r="E51" s="3" t="s">
        <v>490</v>
      </c>
      <c r="F51" s="3" t="s">
        <v>491</v>
      </c>
      <c r="G51" s="3" t="s">
        <v>492</v>
      </c>
    </row>
    <row r="52" spans="1:7" ht="15" customHeight="1" x14ac:dyDescent="0.2">
      <c r="A52" s="3" t="s">
        <v>749</v>
      </c>
      <c r="B52" s="3" t="s">
        <v>485</v>
      </c>
      <c r="C52" s="3" t="s">
        <v>493</v>
      </c>
      <c r="D52" s="3"/>
      <c r="E52" s="3" t="s">
        <v>494</v>
      </c>
      <c r="F52" s="3"/>
      <c r="G52" s="3" t="s">
        <v>12</v>
      </c>
    </row>
    <row r="53" spans="1:7" ht="15" customHeight="1" x14ac:dyDescent="0.2">
      <c r="A53" s="3" t="s">
        <v>750</v>
      </c>
      <c r="B53" s="3" t="s">
        <v>485</v>
      </c>
      <c r="C53" s="3" t="s">
        <v>493</v>
      </c>
      <c r="D53" s="3" t="s">
        <v>9</v>
      </c>
      <c r="E53" s="3" t="s">
        <v>494</v>
      </c>
      <c r="F53" s="3"/>
      <c r="G53" s="3" t="s">
        <v>12</v>
      </c>
    </row>
    <row r="54" spans="1:7" ht="15" customHeight="1" x14ac:dyDescent="0.2">
      <c r="A54" s="3" t="s">
        <v>749</v>
      </c>
      <c r="B54" s="3" t="s">
        <v>485</v>
      </c>
      <c r="C54" s="3" t="s">
        <v>495</v>
      </c>
      <c r="D54" s="3"/>
      <c r="E54" s="3" t="s">
        <v>100</v>
      </c>
      <c r="F54" s="3"/>
      <c r="G54" s="3" t="s">
        <v>70</v>
      </c>
    </row>
    <row r="55" spans="1:7" ht="15" customHeight="1" x14ac:dyDescent="0.2">
      <c r="A55" s="3" t="s">
        <v>750</v>
      </c>
      <c r="B55" s="3" t="s">
        <v>485</v>
      </c>
      <c r="C55" s="3" t="s">
        <v>495</v>
      </c>
      <c r="D55" s="3"/>
      <c r="E55" s="3" t="s">
        <v>100</v>
      </c>
      <c r="F55" s="3"/>
      <c r="G55" s="3" t="s">
        <v>70</v>
      </c>
    </row>
    <row r="56" spans="1:7" ht="15" customHeight="1" x14ac:dyDescent="0.2">
      <c r="A56" s="3" t="s">
        <v>749</v>
      </c>
      <c r="B56" s="3" t="s">
        <v>485</v>
      </c>
      <c r="C56" s="3" t="s">
        <v>496</v>
      </c>
      <c r="D56" s="3"/>
      <c r="E56" s="3" t="s">
        <v>210</v>
      </c>
      <c r="F56" s="3"/>
      <c r="G56" s="3" t="s">
        <v>70</v>
      </c>
    </row>
    <row r="57" spans="1:7" ht="15" customHeight="1" x14ac:dyDescent="0.2">
      <c r="A57" s="3" t="s">
        <v>750</v>
      </c>
      <c r="B57" s="3" t="s">
        <v>485</v>
      </c>
      <c r="C57" s="3" t="s">
        <v>496</v>
      </c>
      <c r="D57" s="3"/>
      <c r="E57" s="3" t="s">
        <v>210</v>
      </c>
      <c r="F57" s="3"/>
      <c r="G57" s="3" t="s">
        <v>70</v>
      </c>
    </row>
    <row r="58" spans="1:7" ht="15" customHeight="1" x14ac:dyDescent="0.2">
      <c r="A58" s="3" t="s">
        <v>749</v>
      </c>
      <c r="B58" s="3" t="s">
        <v>485</v>
      </c>
      <c r="C58" s="3" t="s">
        <v>497</v>
      </c>
      <c r="D58" s="3"/>
      <c r="E58" s="3" t="s">
        <v>498</v>
      </c>
      <c r="F58" s="3"/>
      <c r="G58" s="3" t="s">
        <v>24</v>
      </c>
    </row>
    <row r="59" spans="1:7" ht="15" customHeight="1" x14ac:dyDescent="0.2">
      <c r="A59" s="3" t="s">
        <v>750</v>
      </c>
      <c r="B59" s="3" t="s">
        <v>485</v>
      </c>
      <c r="C59" s="3" t="s">
        <v>497</v>
      </c>
      <c r="D59" s="3"/>
      <c r="E59" s="3" t="s">
        <v>498</v>
      </c>
      <c r="F59" s="3"/>
      <c r="G59" s="3" t="s">
        <v>55</v>
      </c>
    </row>
    <row r="60" spans="1:7" ht="15" customHeight="1" x14ac:dyDescent="0.2">
      <c r="A60" s="3" t="s">
        <v>749</v>
      </c>
      <c r="B60" s="3" t="s">
        <v>485</v>
      </c>
      <c r="C60" s="3" t="s">
        <v>499</v>
      </c>
      <c r="D60" s="3"/>
      <c r="E60" s="3" t="s">
        <v>500</v>
      </c>
      <c r="F60" s="3"/>
      <c r="G60" s="3" t="s">
        <v>24</v>
      </c>
    </row>
    <row r="61" spans="1:7" ht="15" customHeight="1" x14ac:dyDescent="0.2">
      <c r="A61" s="3" t="s">
        <v>750</v>
      </c>
      <c r="B61" s="3" t="s">
        <v>485</v>
      </c>
      <c r="C61" s="3" t="s">
        <v>499</v>
      </c>
      <c r="D61" s="3"/>
      <c r="E61" s="3" t="s">
        <v>105</v>
      </c>
      <c r="F61" s="3"/>
      <c r="G61" s="3" t="s">
        <v>55</v>
      </c>
    </row>
    <row r="62" spans="1:7" ht="15" customHeight="1" x14ac:dyDescent="0.2">
      <c r="A62" s="3" t="s">
        <v>749</v>
      </c>
      <c r="B62" s="3" t="s">
        <v>485</v>
      </c>
      <c r="C62" s="3" t="s">
        <v>501</v>
      </c>
      <c r="D62" s="3"/>
      <c r="E62" s="3" t="s">
        <v>47</v>
      </c>
      <c r="F62" s="3"/>
      <c r="G62" s="3" t="s">
        <v>34</v>
      </c>
    </row>
    <row r="63" spans="1:7" ht="15" customHeight="1" x14ac:dyDescent="0.2">
      <c r="A63" s="3" t="s">
        <v>750</v>
      </c>
      <c r="B63" s="3" t="s">
        <v>485</v>
      </c>
      <c r="C63" s="3" t="s">
        <v>501</v>
      </c>
      <c r="D63" s="3"/>
      <c r="E63" s="3" t="s">
        <v>48</v>
      </c>
      <c r="F63" s="3"/>
      <c r="G63" s="3" t="s">
        <v>49</v>
      </c>
    </row>
    <row r="64" spans="1:7" ht="15" customHeight="1" x14ac:dyDescent="0.2">
      <c r="A64" s="3" t="s">
        <v>749</v>
      </c>
      <c r="B64" s="3" t="s">
        <v>485</v>
      </c>
      <c r="C64" s="3" t="s">
        <v>502</v>
      </c>
      <c r="D64" s="3"/>
      <c r="E64" s="3" t="s">
        <v>478</v>
      </c>
      <c r="F64" s="3"/>
      <c r="G64" s="3" t="s">
        <v>24</v>
      </c>
    </row>
    <row r="65" spans="1:7" ht="15" customHeight="1" x14ac:dyDescent="0.2">
      <c r="A65" s="3" t="s">
        <v>750</v>
      </c>
      <c r="B65" s="3" t="s">
        <v>485</v>
      </c>
      <c r="C65" s="3" t="s">
        <v>502</v>
      </c>
      <c r="D65" s="3"/>
      <c r="E65" s="3" t="s">
        <v>30</v>
      </c>
      <c r="F65" s="3"/>
      <c r="G65" s="3" t="s">
        <v>24</v>
      </c>
    </row>
    <row r="66" spans="1:7" ht="15" customHeight="1" x14ac:dyDescent="0.2">
      <c r="A66" s="3" t="s">
        <v>749</v>
      </c>
      <c r="B66" s="3" t="s">
        <v>503</v>
      </c>
      <c r="C66" s="3" t="s">
        <v>504</v>
      </c>
      <c r="D66" s="3"/>
      <c r="E66" s="3" t="s">
        <v>505</v>
      </c>
      <c r="F66" s="3" t="s">
        <v>506</v>
      </c>
      <c r="G66" s="3" t="s">
        <v>93</v>
      </c>
    </row>
    <row r="67" spans="1:7" ht="15" customHeight="1" x14ac:dyDescent="0.2">
      <c r="A67" s="3" t="s">
        <v>750</v>
      </c>
      <c r="B67" s="3" t="s">
        <v>503</v>
      </c>
      <c r="C67" s="3" t="s">
        <v>504</v>
      </c>
      <c r="D67" s="3"/>
      <c r="E67" s="3" t="s">
        <v>505</v>
      </c>
      <c r="F67" s="3" t="s">
        <v>506</v>
      </c>
      <c r="G67" s="3" t="s">
        <v>507</v>
      </c>
    </row>
    <row r="68" spans="1:7" ht="15" customHeight="1" x14ac:dyDescent="0.2">
      <c r="A68" s="3" t="s">
        <v>749</v>
      </c>
      <c r="B68" s="3" t="s">
        <v>503</v>
      </c>
      <c r="C68" s="3" t="s">
        <v>504</v>
      </c>
      <c r="D68" s="3"/>
      <c r="E68" s="3" t="s">
        <v>505</v>
      </c>
      <c r="F68" s="3" t="s">
        <v>508</v>
      </c>
      <c r="G68" s="3" t="s">
        <v>93</v>
      </c>
    </row>
    <row r="69" spans="1:7" ht="15" customHeight="1" x14ac:dyDescent="0.2">
      <c r="A69" s="3" t="s">
        <v>750</v>
      </c>
      <c r="B69" s="3" t="s">
        <v>503</v>
      </c>
      <c r="C69" s="3" t="s">
        <v>504</v>
      </c>
      <c r="D69" s="3"/>
      <c r="E69" s="3" t="s">
        <v>505</v>
      </c>
      <c r="F69" s="3" t="s">
        <v>508</v>
      </c>
      <c r="G69" s="3" t="s">
        <v>507</v>
      </c>
    </row>
    <row r="70" spans="1:7" ht="15" customHeight="1" x14ac:dyDescent="0.2">
      <c r="A70" s="3" t="s">
        <v>749</v>
      </c>
      <c r="B70" s="3" t="s">
        <v>509</v>
      </c>
      <c r="C70" s="3" t="s">
        <v>510</v>
      </c>
      <c r="D70" s="3"/>
      <c r="E70" s="3" t="s">
        <v>511</v>
      </c>
      <c r="F70" s="3" t="s">
        <v>512</v>
      </c>
      <c r="G70" s="3" t="s">
        <v>24</v>
      </c>
    </row>
    <row r="71" spans="1:7" ht="15" customHeight="1" x14ac:dyDescent="0.2">
      <c r="A71" s="3" t="s">
        <v>750</v>
      </c>
      <c r="B71" s="3" t="s">
        <v>509</v>
      </c>
      <c r="C71" s="3" t="s">
        <v>510</v>
      </c>
      <c r="D71" s="3"/>
      <c r="E71" s="3" t="s">
        <v>513</v>
      </c>
      <c r="F71" s="3"/>
      <c r="G71" s="3" t="s">
        <v>24</v>
      </c>
    </row>
    <row r="72" spans="1:7" ht="15" customHeight="1" x14ac:dyDescent="0.2">
      <c r="A72" s="3" t="s">
        <v>749</v>
      </c>
      <c r="B72" s="3" t="s">
        <v>509</v>
      </c>
      <c r="C72" s="3" t="s">
        <v>514</v>
      </c>
      <c r="D72" s="3"/>
      <c r="E72" s="3" t="s">
        <v>515</v>
      </c>
      <c r="F72" s="3" t="s">
        <v>516</v>
      </c>
      <c r="G72" s="3" t="s">
        <v>34</v>
      </c>
    </row>
    <row r="73" spans="1:7" ht="15" customHeight="1" x14ac:dyDescent="0.2">
      <c r="A73" s="3" t="s">
        <v>750</v>
      </c>
      <c r="B73" s="3" t="s">
        <v>509</v>
      </c>
      <c r="C73" s="3" t="s">
        <v>514</v>
      </c>
      <c r="D73" s="3"/>
      <c r="E73" s="3" t="s">
        <v>517</v>
      </c>
      <c r="F73" s="3" t="s">
        <v>518</v>
      </c>
      <c r="G73" s="3" t="s">
        <v>34</v>
      </c>
    </row>
    <row r="74" spans="1:7" ht="15" customHeight="1" x14ac:dyDescent="0.2">
      <c r="A74" s="3" t="s">
        <v>749</v>
      </c>
      <c r="B74" s="3" t="s">
        <v>509</v>
      </c>
      <c r="C74" s="3" t="s">
        <v>519</v>
      </c>
      <c r="D74" s="3"/>
      <c r="E74" s="3" t="s">
        <v>520</v>
      </c>
      <c r="F74" s="3"/>
      <c r="G74" s="3" t="s">
        <v>89</v>
      </c>
    </row>
    <row r="75" spans="1:7" ht="15" customHeight="1" x14ac:dyDescent="0.2">
      <c r="A75" s="3" t="s">
        <v>750</v>
      </c>
      <c r="B75" s="3" t="s">
        <v>509</v>
      </c>
      <c r="C75" s="3" t="s">
        <v>519</v>
      </c>
      <c r="D75" s="3"/>
      <c r="E75" s="3" t="s">
        <v>520</v>
      </c>
      <c r="F75" s="3"/>
      <c r="G75" s="3" t="s">
        <v>128</v>
      </c>
    </row>
    <row r="76" spans="1:7" ht="15" customHeight="1" x14ac:dyDescent="0.2">
      <c r="A76" s="3" t="s">
        <v>749</v>
      </c>
      <c r="B76" s="3" t="s">
        <v>509</v>
      </c>
      <c r="C76" s="3" t="s">
        <v>522</v>
      </c>
      <c r="D76" s="3"/>
      <c r="E76" s="3" t="s">
        <v>523</v>
      </c>
      <c r="F76" s="3"/>
      <c r="G76" s="3" t="s">
        <v>24</v>
      </c>
    </row>
    <row r="77" spans="1:7" ht="15" customHeight="1" x14ac:dyDescent="0.2">
      <c r="A77" s="3" t="s">
        <v>750</v>
      </c>
      <c r="B77" s="3" t="s">
        <v>509</v>
      </c>
      <c r="C77" s="3" t="s">
        <v>522</v>
      </c>
      <c r="D77" s="3"/>
      <c r="E77" s="3" t="s">
        <v>524</v>
      </c>
      <c r="F77" s="3"/>
      <c r="G77" s="3" t="s">
        <v>128</v>
      </c>
    </row>
    <row r="78" spans="1:7" ht="15" customHeight="1" x14ac:dyDescent="0.2">
      <c r="A78" s="3" t="s">
        <v>749</v>
      </c>
      <c r="B78" s="3" t="s">
        <v>509</v>
      </c>
      <c r="C78" s="3" t="s">
        <v>526</v>
      </c>
      <c r="D78" s="3"/>
      <c r="E78" s="3" t="s">
        <v>527</v>
      </c>
      <c r="F78" s="3"/>
      <c r="G78" s="3" t="s">
        <v>34</v>
      </c>
    </row>
    <row r="79" spans="1:7" ht="15" customHeight="1" x14ac:dyDescent="0.2">
      <c r="A79" s="3" t="s">
        <v>750</v>
      </c>
      <c r="B79" s="3" t="s">
        <v>509</v>
      </c>
      <c r="C79" s="3" t="s">
        <v>526</v>
      </c>
      <c r="D79" s="3" t="s">
        <v>35</v>
      </c>
      <c r="E79" s="3" t="s">
        <v>528</v>
      </c>
      <c r="F79" s="3"/>
      <c r="G79" s="3" t="s">
        <v>34</v>
      </c>
    </row>
    <row r="80" spans="1:7" ht="12.75" customHeight="1" x14ac:dyDescent="0.2">
      <c r="A80" s="3" t="s">
        <v>749</v>
      </c>
      <c r="B80" s="3" t="s">
        <v>509</v>
      </c>
      <c r="C80" s="3" t="s">
        <v>530</v>
      </c>
      <c r="D80" s="3" t="s">
        <v>42</v>
      </c>
      <c r="E80" s="3" t="s">
        <v>28</v>
      </c>
      <c r="F80" s="3"/>
      <c r="G80" s="3" t="s">
        <v>12</v>
      </c>
    </row>
    <row r="81" spans="1:7" ht="12.75" customHeight="1" x14ac:dyDescent="0.2">
      <c r="A81" s="3" t="s">
        <v>750</v>
      </c>
      <c r="B81" s="3" t="s">
        <v>509</v>
      </c>
      <c r="C81" s="3" t="s">
        <v>530</v>
      </c>
      <c r="D81" s="3"/>
      <c r="E81" s="3" t="s">
        <v>531</v>
      </c>
      <c r="F81" s="3"/>
      <c r="G81" s="3" t="s">
        <v>45</v>
      </c>
    </row>
    <row r="82" spans="1:7" ht="12.75" customHeight="1" x14ac:dyDescent="0.2">
      <c r="A82" s="3" t="s">
        <v>749</v>
      </c>
      <c r="B82" s="3" t="s">
        <v>509</v>
      </c>
      <c r="C82" s="3" t="s">
        <v>532</v>
      </c>
      <c r="D82" s="3"/>
      <c r="E82" s="3" t="s">
        <v>533</v>
      </c>
      <c r="F82" s="3"/>
      <c r="G82" s="3" t="s">
        <v>34</v>
      </c>
    </row>
    <row r="83" spans="1:7" ht="12.75" customHeight="1" x14ac:dyDescent="0.2">
      <c r="A83" s="3" t="s">
        <v>750</v>
      </c>
      <c r="B83" s="3" t="s">
        <v>509</v>
      </c>
      <c r="C83" s="3" t="s">
        <v>532</v>
      </c>
      <c r="D83" s="3"/>
      <c r="E83" s="3" t="s">
        <v>397</v>
      </c>
      <c r="F83" s="3"/>
      <c r="G83" s="3" t="s">
        <v>34</v>
      </c>
    </row>
    <row r="84" spans="1:7" ht="12.75" customHeight="1" x14ac:dyDescent="0.2">
      <c r="A84" s="3" t="s">
        <v>749</v>
      </c>
      <c r="B84" s="3" t="s">
        <v>509</v>
      </c>
      <c r="C84" s="3" t="s">
        <v>532</v>
      </c>
      <c r="D84" s="3"/>
      <c r="E84" s="3" t="s">
        <v>533</v>
      </c>
      <c r="F84" s="3"/>
      <c r="G84" s="3" t="s">
        <v>34</v>
      </c>
    </row>
    <row r="85" spans="1:7" ht="12.75" customHeight="1" x14ac:dyDescent="0.2">
      <c r="A85" s="3" t="s">
        <v>750</v>
      </c>
      <c r="B85" s="3" t="s">
        <v>509</v>
      </c>
      <c r="C85" s="3" t="s">
        <v>532</v>
      </c>
      <c r="D85" s="3"/>
      <c r="E85" s="3" t="s">
        <v>534</v>
      </c>
      <c r="F85" s="3"/>
      <c r="G85" s="3" t="s">
        <v>34</v>
      </c>
    </row>
    <row r="86" spans="1:7" ht="12.75" customHeight="1" x14ac:dyDescent="0.2">
      <c r="A86" s="3" t="s">
        <v>749</v>
      </c>
      <c r="B86" s="5" t="s">
        <v>536</v>
      </c>
      <c r="C86" s="3" t="s">
        <v>537</v>
      </c>
      <c r="D86" s="3"/>
      <c r="E86" s="3" t="s">
        <v>538</v>
      </c>
      <c r="F86" s="3"/>
      <c r="G86" s="3" t="s">
        <v>24</v>
      </c>
    </row>
    <row r="87" spans="1:7" ht="12.75" customHeight="1" x14ac:dyDescent="0.2">
      <c r="A87" s="3" t="s">
        <v>750</v>
      </c>
      <c r="B87" s="5" t="s">
        <v>536</v>
      </c>
      <c r="C87" s="3" t="s">
        <v>537</v>
      </c>
      <c r="D87" s="3"/>
      <c r="E87" s="3" t="s">
        <v>539</v>
      </c>
      <c r="F87" s="3"/>
      <c r="G87" s="3" t="s">
        <v>24</v>
      </c>
    </row>
    <row r="88" spans="1:7" ht="14.25" x14ac:dyDescent="0.2">
      <c r="A88" s="3" t="s">
        <v>749</v>
      </c>
      <c r="B88" s="5" t="s">
        <v>536</v>
      </c>
      <c r="C88" s="3" t="s">
        <v>540</v>
      </c>
      <c r="D88" s="3"/>
      <c r="E88" s="3" t="s">
        <v>541</v>
      </c>
      <c r="F88" s="3"/>
      <c r="G88" s="3" t="s">
        <v>24</v>
      </c>
    </row>
    <row r="89" spans="1:7" ht="14.25" x14ac:dyDescent="0.2">
      <c r="A89" s="3" t="s">
        <v>750</v>
      </c>
      <c r="B89" s="5" t="s">
        <v>536</v>
      </c>
      <c r="C89" s="3" t="s">
        <v>540</v>
      </c>
      <c r="D89" s="3"/>
      <c r="E89" s="3" t="s">
        <v>542</v>
      </c>
      <c r="F89" s="3"/>
      <c r="G89" s="3" t="s">
        <v>24</v>
      </c>
    </row>
    <row r="90" spans="1:7" ht="14.25" x14ac:dyDescent="0.2">
      <c r="A90" s="3" t="s">
        <v>749</v>
      </c>
      <c r="B90" s="5" t="s">
        <v>536</v>
      </c>
      <c r="C90" s="3" t="s">
        <v>543</v>
      </c>
      <c r="D90" s="3"/>
      <c r="E90" s="3" t="s">
        <v>544</v>
      </c>
      <c r="F90" s="3"/>
      <c r="G90" s="3" t="s">
        <v>89</v>
      </c>
    </row>
    <row r="91" spans="1:7" ht="14.25" x14ac:dyDescent="0.2">
      <c r="A91" s="3" t="s">
        <v>750</v>
      </c>
      <c r="B91" s="5" t="s">
        <v>536</v>
      </c>
      <c r="C91" s="3" t="s">
        <v>543</v>
      </c>
      <c r="D91" s="3"/>
      <c r="E91" s="3" t="s">
        <v>545</v>
      </c>
      <c r="F91" s="3"/>
      <c r="G91" s="3" t="s">
        <v>128</v>
      </c>
    </row>
    <row r="92" spans="1:7" ht="14.25" x14ac:dyDescent="0.2">
      <c r="A92" s="3" t="s">
        <v>749</v>
      </c>
      <c r="B92" s="5" t="s">
        <v>536</v>
      </c>
      <c r="C92" s="3" t="s">
        <v>546</v>
      </c>
      <c r="D92" s="3"/>
      <c r="E92" s="3" t="s">
        <v>547</v>
      </c>
      <c r="F92" s="3"/>
      <c r="G92" s="3" t="s">
        <v>34</v>
      </c>
    </row>
    <row r="93" spans="1:7" ht="14.25" x14ac:dyDescent="0.2">
      <c r="A93" s="3" t="s">
        <v>750</v>
      </c>
      <c r="B93" s="5" t="s">
        <v>536</v>
      </c>
      <c r="C93" s="3" t="s">
        <v>546</v>
      </c>
      <c r="D93" s="3"/>
      <c r="E93" s="3" t="s">
        <v>548</v>
      </c>
      <c r="F93" s="3"/>
      <c r="G93" s="3"/>
    </row>
    <row r="94" spans="1:7" x14ac:dyDescent="0.2">
      <c r="A94" s="3" t="s">
        <v>749</v>
      </c>
      <c r="B94" s="3" t="s">
        <v>549</v>
      </c>
      <c r="C94" s="3" t="s">
        <v>550</v>
      </c>
      <c r="D94" s="3"/>
      <c r="E94" s="3" t="s">
        <v>47</v>
      </c>
      <c r="F94" s="3"/>
      <c r="G94" s="3" t="s">
        <v>34</v>
      </c>
    </row>
    <row r="95" spans="1:7" x14ac:dyDescent="0.2">
      <c r="A95" s="3" t="s">
        <v>750</v>
      </c>
      <c r="B95" s="3" t="s">
        <v>549</v>
      </c>
      <c r="C95" s="3" t="s">
        <v>550</v>
      </c>
      <c r="D95" s="3"/>
      <c r="E95" s="3" t="s">
        <v>48</v>
      </c>
      <c r="F95" s="3"/>
      <c r="G95" s="3" t="s">
        <v>49</v>
      </c>
    </row>
    <row r="96" spans="1:7" ht="12.75" customHeight="1" x14ac:dyDescent="0.2">
      <c r="A96" s="3" t="s">
        <v>749</v>
      </c>
      <c r="B96" s="3" t="s">
        <v>549</v>
      </c>
      <c r="C96" s="3" t="s">
        <v>551</v>
      </c>
      <c r="D96" s="3"/>
      <c r="E96" s="3" t="s">
        <v>552</v>
      </c>
      <c r="F96" s="3"/>
      <c r="G96" s="3" t="s">
        <v>34</v>
      </c>
    </row>
    <row r="97" spans="1:7" ht="12.75" customHeight="1" x14ac:dyDescent="0.2">
      <c r="A97" s="3" t="s">
        <v>750</v>
      </c>
      <c r="B97" s="3" t="s">
        <v>549</v>
      </c>
      <c r="C97" s="3" t="s">
        <v>551</v>
      </c>
      <c r="D97" s="3"/>
      <c r="E97" s="3" t="s">
        <v>552</v>
      </c>
      <c r="F97" s="3"/>
      <c r="G97" s="3" t="s">
        <v>34</v>
      </c>
    </row>
    <row r="98" spans="1:7" ht="12.75" customHeight="1" x14ac:dyDescent="0.2">
      <c r="A98" s="3" t="s">
        <v>749</v>
      </c>
      <c r="B98" s="3" t="s">
        <v>549</v>
      </c>
      <c r="C98" s="3" t="s">
        <v>553</v>
      </c>
      <c r="D98" s="3"/>
      <c r="E98" s="3" t="s">
        <v>554</v>
      </c>
      <c r="F98" s="3"/>
      <c r="G98" s="3" t="s">
        <v>45</v>
      </c>
    </row>
    <row r="99" spans="1:7" ht="12.75" customHeight="1" x14ac:dyDescent="0.2">
      <c r="A99" s="3" t="s">
        <v>750</v>
      </c>
      <c r="B99" s="3" t="s">
        <v>549</v>
      </c>
      <c r="C99" s="3" t="s">
        <v>553</v>
      </c>
      <c r="D99" s="3"/>
      <c r="E99" s="3" t="s">
        <v>555</v>
      </c>
      <c r="F99" s="3"/>
      <c r="G99" s="3" t="s">
        <v>45</v>
      </c>
    </row>
    <row r="100" spans="1:7" ht="12.75" customHeight="1" x14ac:dyDescent="0.25">
      <c r="A100" s="3" t="s">
        <v>749</v>
      </c>
      <c r="B100" s="3" t="s">
        <v>549</v>
      </c>
      <c r="C100" s="4" t="s">
        <v>556</v>
      </c>
      <c r="D100" s="3"/>
      <c r="E100" s="3" t="s">
        <v>557</v>
      </c>
      <c r="F100" s="3"/>
      <c r="G100" s="3" t="s">
        <v>34</v>
      </c>
    </row>
    <row r="101" spans="1:7" ht="12.75" customHeight="1" x14ac:dyDescent="0.25">
      <c r="A101" s="3" t="s">
        <v>750</v>
      </c>
      <c r="B101" s="3" t="s">
        <v>549</v>
      </c>
      <c r="C101" s="4" t="s">
        <v>556</v>
      </c>
      <c r="D101" s="3" t="s">
        <v>298</v>
      </c>
      <c r="E101" s="3" t="s">
        <v>558</v>
      </c>
      <c r="F101" s="3"/>
      <c r="G101" s="3" t="s">
        <v>34</v>
      </c>
    </row>
    <row r="102" spans="1:7" ht="12.75" customHeight="1" x14ac:dyDescent="0.2">
      <c r="A102" s="3" t="s">
        <v>749</v>
      </c>
      <c r="B102" s="3" t="s">
        <v>559</v>
      </c>
      <c r="C102" s="3" t="s">
        <v>560</v>
      </c>
      <c r="D102" s="3"/>
      <c r="E102" s="3" t="s">
        <v>561</v>
      </c>
      <c r="F102" s="3" t="s">
        <v>562</v>
      </c>
      <c r="G102" s="3" t="s">
        <v>34</v>
      </c>
    </row>
    <row r="103" spans="1:7" ht="12.75" customHeight="1" x14ac:dyDescent="0.2">
      <c r="A103" s="3" t="s">
        <v>750</v>
      </c>
      <c r="B103" s="3" t="s">
        <v>559</v>
      </c>
      <c r="C103" s="3" t="s">
        <v>560</v>
      </c>
      <c r="D103" s="3"/>
      <c r="E103" s="3" t="s">
        <v>563</v>
      </c>
      <c r="F103" s="3" t="s">
        <v>564</v>
      </c>
      <c r="G103" s="3" t="s">
        <v>24</v>
      </c>
    </row>
    <row r="104" spans="1:7" ht="15" customHeight="1" x14ac:dyDescent="0.2">
      <c r="A104" s="3" t="s">
        <v>749</v>
      </c>
      <c r="B104" s="3" t="s">
        <v>559</v>
      </c>
      <c r="C104" s="3" t="s">
        <v>565</v>
      </c>
      <c r="D104" s="3"/>
      <c r="E104" s="3" t="s">
        <v>566</v>
      </c>
      <c r="F104" s="3" t="s">
        <v>567</v>
      </c>
      <c r="G104" s="3" t="s">
        <v>24</v>
      </c>
    </row>
    <row r="105" spans="1:7" ht="15" customHeight="1" x14ac:dyDescent="0.2">
      <c r="A105" s="3" t="s">
        <v>750</v>
      </c>
      <c r="B105" s="3" t="s">
        <v>559</v>
      </c>
      <c r="C105" s="3" t="s">
        <v>565</v>
      </c>
      <c r="D105" s="3"/>
      <c r="E105" s="3" t="s">
        <v>568</v>
      </c>
      <c r="F105" s="3" t="s">
        <v>569</v>
      </c>
      <c r="G105" s="3" t="s">
        <v>24</v>
      </c>
    </row>
    <row r="106" spans="1:7" ht="15" customHeight="1" x14ac:dyDescent="0.2">
      <c r="A106" s="3" t="s">
        <v>749</v>
      </c>
      <c r="B106" s="3" t="s">
        <v>559</v>
      </c>
      <c r="C106" s="3" t="s">
        <v>572</v>
      </c>
      <c r="D106" s="3"/>
      <c r="E106" s="3" t="s">
        <v>573</v>
      </c>
      <c r="F106" s="3"/>
      <c r="G106" s="3" t="s">
        <v>34</v>
      </c>
    </row>
    <row r="107" spans="1:7" ht="15" customHeight="1" x14ac:dyDescent="0.2">
      <c r="A107" s="3" t="s">
        <v>750</v>
      </c>
      <c r="B107" s="3" t="s">
        <v>559</v>
      </c>
      <c r="C107" s="3" t="s">
        <v>572</v>
      </c>
      <c r="D107" s="3"/>
      <c r="E107" s="3" t="s">
        <v>574</v>
      </c>
      <c r="F107" s="3"/>
      <c r="G107" s="3" t="s">
        <v>34</v>
      </c>
    </row>
    <row r="108" spans="1:7" ht="15" customHeight="1" x14ac:dyDescent="0.2">
      <c r="A108" s="3" t="s">
        <v>749</v>
      </c>
      <c r="B108" s="3" t="s">
        <v>559</v>
      </c>
      <c r="C108" s="3" t="s">
        <v>576</v>
      </c>
      <c r="D108" s="3"/>
      <c r="E108" s="3" t="s">
        <v>577</v>
      </c>
      <c r="F108" s="3" t="s">
        <v>578</v>
      </c>
      <c r="G108" s="3" t="s">
        <v>579</v>
      </c>
    </row>
    <row r="109" spans="1:7" ht="15" customHeight="1" x14ac:dyDescent="0.2">
      <c r="A109" s="3" t="s">
        <v>750</v>
      </c>
      <c r="B109" s="3" t="s">
        <v>559</v>
      </c>
      <c r="C109" s="3" t="s">
        <v>576</v>
      </c>
      <c r="D109" s="3"/>
      <c r="E109" s="3" t="s">
        <v>580</v>
      </c>
      <c r="F109" s="3" t="s">
        <v>581</v>
      </c>
      <c r="G109" s="3" t="s">
        <v>89</v>
      </c>
    </row>
    <row r="110" spans="1:7" ht="15" customHeight="1" x14ac:dyDescent="0.2">
      <c r="A110" s="3" t="s">
        <v>749</v>
      </c>
      <c r="B110" s="3" t="s">
        <v>559</v>
      </c>
      <c r="C110" s="3" t="s">
        <v>582</v>
      </c>
      <c r="D110" s="3"/>
      <c r="E110" s="3" t="s">
        <v>583</v>
      </c>
      <c r="F110" s="3" t="s">
        <v>581</v>
      </c>
      <c r="G110" s="3" t="s">
        <v>45</v>
      </c>
    </row>
    <row r="111" spans="1:7" ht="15" customHeight="1" x14ac:dyDescent="0.2">
      <c r="A111" s="3" t="s">
        <v>750</v>
      </c>
      <c r="B111" s="3" t="s">
        <v>559</v>
      </c>
      <c r="C111" s="3" t="s">
        <v>582</v>
      </c>
      <c r="D111" s="3"/>
      <c r="E111" s="3" t="s">
        <v>584</v>
      </c>
      <c r="F111" s="3" t="s">
        <v>578</v>
      </c>
      <c r="G111" s="3" t="s">
        <v>579</v>
      </c>
    </row>
    <row r="112" spans="1:7" ht="15" customHeight="1" x14ac:dyDescent="0.2">
      <c r="A112" s="3" t="s">
        <v>749</v>
      </c>
      <c r="B112" s="3" t="s">
        <v>559</v>
      </c>
      <c r="C112" s="3" t="s">
        <v>585</v>
      </c>
      <c r="D112" s="3"/>
      <c r="E112" s="3" t="s">
        <v>586</v>
      </c>
      <c r="F112" s="3" t="s">
        <v>581</v>
      </c>
      <c r="G112" s="3" t="s">
        <v>89</v>
      </c>
    </row>
    <row r="113" spans="1:7" ht="15" customHeight="1" x14ac:dyDescent="0.2">
      <c r="A113" s="3" t="s">
        <v>750</v>
      </c>
      <c r="B113" s="3" t="s">
        <v>559</v>
      </c>
      <c r="C113" s="3" t="s">
        <v>585</v>
      </c>
      <c r="D113" s="3"/>
      <c r="E113" s="3" t="s">
        <v>587</v>
      </c>
      <c r="F113" s="3" t="s">
        <v>578</v>
      </c>
      <c r="G113" s="3" t="s">
        <v>579</v>
      </c>
    </row>
    <row r="114" spans="1:7" ht="15" customHeight="1" x14ac:dyDescent="0.2">
      <c r="A114" s="3" t="s">
        <v>749</v>
      </c>
      <c r="B114" s="3" t="s">
        <v>559</v>
      </c>
      <c r="C114" s="3" t="s">
        <v>588</v>
      </c>
      <c r="D114" s="3"/>
      <c r="E114" s="3" t="s">
        <v>589</v>
      </c>
      <c r="F114" s="3" t="s">
        <v>581</v>
      </c>
      <c r="G114" s="3" t="s">
        <v>89</v>
      </c>
    </row>
    <row r="115" spans="1:7" ht="15" customHeight="1" x14ac:dyDescent="0.2">
      <c r="A115" s="3" t="s">
        <v>750</v>
      </c>
      <c r="B115" s="3" t="s">
        <v>559</v>
      </c>
      <c r="C115" s="3" t="s">
        <v>588</v>
      </c>
      <c r="D115" s="3"/>
      <c r="E115" s="3" t="s">
        <v>590</v>
      </c>
      <c r="F115" s="3" t="s">
        <v>578</v>
      </c>
      <c r="G115" s="3" t="s">
        <v>579</v>
      </c>
    </row>
    <row r="116" spans="1:7" ht="15" customHeight="1" x14ac:dyDescent="0.2">
      <c r="A116" s="3" t="s">
        <v>749</v>
      </c>
      <c r="B116" s="3" t="s">
        <v>597</v>
      </c>
      <c r="C116" s="3" t="s">
        <v>598</v>
      </c>
      <c r="D116" s="3"/>
      <c r="E116" s="3" t="s">
        <v>599</v>
      </c>
      <c r="F116" s="3"/>
      <c r="G116" s="3" t="s">
        <v>45</v>
      </c>
    </row>
    <row r="117" spans="1:7" ht="15" customHeight="1" x14ac:dyDescent="0.2">
      <c r="A117" s="3" t="s">
        <v>750</v>
      </c>
      <c r="B117" s="3" t="s">
        <v>597</v>
      </c>
      <c r="C117" s="3" t="s">
        <v>598</v>
      </c>
      <c r="D117" s="3"/>
      <c r="E117" s="3" t="s">
        <v>600</v>
      </c>
      <c r="F117" s="3"/>
      <c r="G117" s="3" t="s">
        <v>24</v>
      </c>
    </row>
    <row r="118" spans="1:7" ht="15" customHeight="1" x14ac:dyDescent="0.2">
      <c r="A118" s="3" t="s">
        <v>749</v>
      </c>
      <c r="B118" s="3" t="s">
        <v>597</v>
      </c>
      <c r="C118" s="3" t="s">
        <v>602</v>
      </c>
      <c r="D118" s="3"/>
      <c r="E118" s="3" t="s">
        <v>603</v>
      </c>
      <c r="F118" s="3"/>
      <c r="G118" s="3" t="s">
        <v>45</v>
      </c>
    </row>
    <row r="119" spans="1:7" ht="15" customHeight="1" x14ac:dyDescent="0.2">
      <c r="A119" s="3" t="s">
        <v>750</v>
      </c>
      <c r="B119" s="3" t="s">
        <v>597</v>
      </c>
      <c r="C119" s="3" t="s">
        <v>602</v>
      </c>
      <c r="D119" s="3"/>
      <c r="E119" s="3" t="s">
        <v>604</v>
      </c>
      <c r="F119" s="3"/>
      <c r="G119" s="3" t="s">
        <v>45</v>
      </c>
    </row>
    <row r="120" spans="1:7" ht="15" customHeight="1" x14ac:dyDescent="0.2">
      <c r="A120" s="3" t="s">
        <v>749</v>
      </c>
      <c r="B120" s="3" t="s">
        <v>597</v>
      </c>
      <c r="C120" s="3" t="s">
        <v>606</v>
      </c>
      <c r="D120" s="3"/>
      <c r="E120" s="3" t="s">
        <v>607</v>
      </c>
      <c r="F120" s="3"/>
      <c r="G120" s="3" t="s">
        <v>45</v>
      </c>
    </row>
    <row r="121" spans="1:7" ht="15" customHeight="1" x14ac:dyDescent="0.2">
      <c r="A121" s="3" t="s">
        <v>750</v>
      </c>
      <c r="B121" s="3" t="s">
        <v>597</v>
      </c>
      <c r="C121" s="3" t="s">
        <v>606</v>
      </c>
      <c r="D121" s="3"/>
      <c r="E121" s="3" t="s">
        <v>608</v>
      </c>
      <c r="F121" s="3"/>
      <c r="G121" s="3" t="s">
        <v>45</v>
      </c>
    </row>
    <row r="122" spans="1:7" ht="15" customHeight="1" x14ac:dyDescent="0.2">
      <c r="A122" s="3" t="s">
        <v>749</v>
      </c>
      <c r="B122" s="3" t="s">
        <v>597</v>
      </c>
      <c r="C122" s="3" t="s">
        <v>609</v>
      </c>
      <c r="D122" s="3"/>
      <c r="E122" s="3" t="s">
        <v>610</v>
      </c>
      <c r="F122" s="3"/>
      <c r="G122" s="3" t="s">
        <v>34</v>
      </c>
    </row>
    <row r="123" spans="1:7" ht="15" customHeight="1" x14ac:dyDescent="0.2">
      <c r="A123" s="3" t="s">
        <v>750</v>
      </c>
      <c r="B123" s="3" t="s">
        <v>597</v>
      </c>
      <c r="C123" s="3" t="s">
        <v>609</v>
      </c>
      <c r="D123" s="3"/>
      <c r="E123" s="3" t="s">
        <v>611</v>
      </c>
      <c r="F123" s="3" t="s">
        <v>304</v>
      </c>
      <c r="G123" s="3" t="s">
        <v>34</v>
      </c>
    </row>
    <row r="124" spans="1:7" ht="15" customHeight="1" x14ac:dyDescent="0.2">
      <c r="A124" s="3" t="s">
        <v>749</v>
      </c>
      <c r="B124" s="3" t="s">
        <v>597</v>
      </c>
      <c r="C124" s="3" t="s">
        <v>612</v>
      </c>
      <c r="D124" s="3"/>
      <c r="E124" s="3" t="s">
        <v>613</v>
      </c>
      <c r="F124" s="3"/>
      <c r="G124" s="3" t="s">
        <v>34</v>
      </c>
    </row>
    <row r="125" spans="1:7" ht="15" customHeight="1" x14ac:dyDescent="0.2">
      <c r="A125" s="3" t="s">
        <v>750</v>
      </c>
      <c r="B125" s="3" t="s">
        <v>597</v>
      </c>
      <c r="C125" s="3" t="s">
        <v>612</v>
      </c>
      <c r="D125" s="3"/>
      <c r="E125" s="3" t="s">
        <v>613</v>
      </c>
      <c r="F125" s="3"/>
      <c r="G125" s="3" t="s">
        <v>34</v>
      </c>
    </row>
    <row r="126" spans="1:7" ht="15" customHeight="1" x14ac:dyDescent="0.2">
      <c r="A126" s="3" t="s">
        <v>749</v>
      </c>
      <c r="B126" s="3" t="s">
        <v>597</v>
      </c>
      <c r="C126" s="3" t="s">
        <v>614</v>
      </c>
      <c r="D126" s="3"/>
      <c r="E126" s="3" t="s">
        <v>615</v>
      </c>
      <c r="F126" s="3"/>
      <c r="G126" s="3" t="s">
        <v>89</v>
      </c>
    </row>
    <row r="127" spans="1:7" ht="15" customHeight="1" x14ac:dyDescent="0.2">
      <c r="A127" s="3" t="s">
        <v>750</v>
      </c>
      <c r="B127" s="3" t="s">
        <v>597</v>
      </c>
      <c r="C127" s="3" t="s">
        <v>614</v>
      </c>
      <c r="D127" s="3"/>
      <c r="E127" s="3" t="s">
        <v>132</v>
      </c>
      <c r="F127" s="3"/>
      <c r="G127" s="3" t="s">
        <v>128</v>
      </c>
    </row>
    <row r="128" spans="1:7" ht="15" customHeight="1" x14ac:dyDescent="0.2">
      <c r="A128" s="3" t="s">
        <v>749</v>
      </c>
      <c r="B128" s="3" t="s">
        <v>597</v>
      </c>
      <c r="C128" s="3" t="s">
        <v>616</v>
      </c>
      <c r="D128" s="3"/>
      <c r="E128" s="3" t="s">
        <v>617</v>
      </c>
      <c r="F128" s="3" t="s">
        <v>618</v>
      </c>
      <c r="G128" s="3" t="s">
        <v>93</v>
      </c>
    </row>
    <row r="129" spans="1:7" ht="15" customHeight="1" x14ac:dyDescent="0.2">
      <c r="A129" s="3" t="s">
        <v>750</v>
      </c>
      <c r="B129" s="3" t="s">
        <v>597</v>
      </c>
      <c r="C129" s="3" t="s">
        <v>616</v>
      </c>
      <c r="D129" s="3"/>
      <c r="E129" s="3" t="s">
        <v>619</v>
      </c>
      <c r="F129" s="3"/>
      <c r="G129" s="3" t="s">
        <v>55</v>
      </c>
    </row>
    <row r="130" spans="1:7" ht="15" customHeight="1" x14ac:dyDescent="0.2">
      <c r="A130" s="3" t="s">
        <v>749</v>
      </c>
      <c r="B130" s="3" t="s">
        <v>597</v>
      </c>
      <c r="C130" s="3" t="s">
        <v>620</v>
      </c>
      <c r="D130" s="3"/>
      <c r="E130" s="3" t="s">
        <v>621</v>
      </c>
      <c r="F130" s="3"/>
      <c r="G130" s="3" t="s">
        <v>24</v>
      </c>
    </row>
    <row r="131" spans="1:7" ht="15" customHeight="1" x14ac:dyDescent="0.2">
      <c r="A131" s="3" t="s">
        <v>750</v>
      </c>
      <c r="B131" s="3" t="s">
        <v>597</v>
      </c>
      <c r="C131" s="3" t="s">
        <v>620</v>
      </c>
      <c r="D131" s="3"/>
      <c r="E131" s="3" t="s">
        <v>139</v>
      </c>
      <c r="F131" s="3"/>
      <c r="G131" s="3" t="s">
        <v>24</v>
      </c>
    </row>
    <row r="132" spans="1:7" ht="15" customHeight="1" x14ac:dyDescent="0.2">
      <c r="A132" s="3" t="s">
        <v>749</v>
      </c>
      <c r="B132" s="3" t="s">
        <v>622</v>
      </c>
      <c r="C132" s="3" t="s">
        <v>623</v>
      </c>
      <c r="D132" s="3"/>
      <c r="E132" s="3" t="s">
        <v>624</v>
      </c>
      <c r="F132" s="3"/>
      <c r="G132" s="3" t="s">
        <v>24</v>
      </c>
    </row>
    <row r="133" spans="1:7" ht="15" customHeight="1" x14ac:dyDescent="0.2">
      <c r="A133" s="3" t="s">
        <v>750</v>
      </c>
      <c r="B133" s="3" t="s">
        <v>622</v>
      </c>
      <c r="C133" s="3" t="s">
        <v>623</v>
      </c>
      <c r="D133" s="3"/>
      <c r="E133" s="3" t="s">
        <v>624</v>
      </c>
      <c r="F133" s="3"/>
      <c r="G133" s="3" t="s">
        <v>24</v>
      </c>
    </row>
    <row r="134" spans="1:7" ht="15" customHeight="1" x14ac:dyDescent="0.2">
      <c r="A134" s="3" t="s">
        <v>749</v>
      </c>
      <c r="B134" s="3" t="s">
        <v>622</v>
      </c>
      <c r="C134" s="3" t="s">
        <v>625</v>
      </c>
      <c r="D134" s="3"/>
      <c r="E134" s="3" t="s">
        <v>626</v>
      </c>
      <c r="F134" s="3"/>
      <c r="G134" s="3" t="s">
        <v>24</v>
      </c>
    </row>
    <row r="135" spans="1:7" ht="15" customHeight="1" x14ac:dyDescent="0.2">
      <c r="A135" s="3" t="s">
        <v>750</v>
      </c>
      <c r="B135" s="3" t="s">
        <v>622</v>
      </c>
      <c r="C135" s="3" t="s">
        <v>625</v>
      </c>
      <c r="D135" s="3"/>
      <c r="E135" s="3" t="s">
        <v>449</v>
      </c>
      <c r="F135" s="3"/>
      <c r="G135" s="3" t="s">
        <v>24</v>
      </c>
    </row>
    <row r="136" spans="1:7" ht="15" customHeight="1" x14ac:dyDescent="0.2">
      <c r="A136" s="3" t="s">
        <v>749</v>
      </c>
      <c r="B136" s="3" t="s">
        <v>622</v>
      </c>
      <c r="C136" s="3" t="s">
        <v>627</v>
      </c>
      <c r="D136" s="3"/>
      <c r="E136" s="3" t="s">
        <v>628</v>
      </c>
      <c r="F136" s="3"/>
      <c r="G136" s="3" t="s">
        <v>24</v>
      </c>
    </row>
    <row r="137" spans="1:7" ht="15" customHeight="1" x14ac:dyDescent="0.2">
      <c r="A137" s="3" t="s">
        <v>750</v>
      </c>
      <c r="B137" s="3" t="s">
        <v>622</v>
      </c>
      <c r="C137" s="3" t="s">
        <v>627</v>
      </c>
      <c r="D137" s="3"/>
      <c r="E137" s="3" t="s">
        <v>629</v>
      </c>
      <c r="F137" s="3"/>
      <c r="G137" s="3" t="s">
        <v>24</v>
      </c>
    </row>
    <row r="138" spans="1:7" ht="15" customHeight="1" x14ac:dyDescent="0.2">
      <c r="A138" s="3" t="s">
        <v>749</v>
      </c>
      <c r="B138" s="3" t="s">
        <v>622</v>
      </c>
      <c r="C138" s="3" t="s">
        <v>630</v>
      </c>
      <c r="D138" s="3"/>
      <c r="E138" s="3" t="s">
        <v>631</v>
      </c>
      <c r="F138" s="3"/>
      <c r="G138" s="3" t="s">
        <v>24</v>
      </c>
    </row>
    <row r="139" spans="1:7" ht="15" customHeight="1" x14ac:dyDescent="0.2">
      <c r="A139" s="3" t="s">
        <v>750</v>
      </c>
      <c r="B139" s="3" t="s">
        <v>622</v>
      </c>
      <c r="C139" s="3" t="s">
        <v>630</v>
      </c>
      <c r="D139" s="3"/>
      <c r="E139" s="3" t="s">
        <v>632</v>
      </c>
      <c r="F139" s="3"/>
      <c r="G139" s="3" t="s">
        <v>24</v>
      </c>
    </row>
    <row r="140" spans="1:7" ht="15" customHeight="1" x14ac:dyDescent="0.2">
      <c r="A140" s="3" t="s">
        <v>749</v>
      </c>
      <c r="B140" s="3" t="s">
        <v>622</v>
      </c>
      <c r="C140" s="3" t="s">
        <v>633</v>
      </c>
      <c r="D140" s="3"/>
      <c r="E140" s="3" t="s">
        <v>634</v>
      </c>
      <c r="F140" s="3"/>
      <c r="G140" s="3" t="s">
        <v>24</v>
      </c>
    </row>
    <row r="141" spans="1:7" ht="15" customHeight="1" x14ac:dyDescent="0.2">
      <c r="A141" s="3" t="s">
        <v>750</v>
      </c>
      <c r="B141" s="3" t="s">
        <v>622</v>
      </c>
      <c r="C141" s="3" t="s">
        <v>633</v>
      </c>
      <c r="D141" s="3"/>
      <c r="E141" s="3" t="s">
        <v>635</v>
      </c>
      <c r="F141" s="3"/>
      <c r="G141" s="3" t="s">
        <v>24</v>
      </c>
    </row>
    <row r="142" spans="1:7" ht="15" customHeight="1" x14ac:dyDescent="0.2">
      <c r="A142" s="3" t="s">
        <v>749</v>
      </c>
      <c r="B142" s="3" t="s">
        <v>636</v>
      </c>
      <c r="C142" s="3" t="s">
        <v>637</v>
      </c>
      <c r="D142" s="3"/>
      <c r="E142" s="3" t="s">
        <v>561</v>
      </c>
      <c r="F142" s="3" t="s">
        <v>562</v>
      </c>
      <c r="G142" s="3" t="s">
        <v>34</v>
      </c>
    </row>
    <row r="143" spans="1:7" ht="15" customHeight="1" x14ac:dyDescent="0.2">
      <c r="A143" s="3" t="s">
        <v>750</v>
      </c>
      <c r="B143" s="3" t="s">
        <v>636</v>
      </c>
      <c r="C143" s="3" t="s">
        <v>637</v>
      </c>
      <c r="D143" s="3"/>
      <c r="E143" s="3" t="s">
        <v>59</v>
      </c>
      <c r="F143" s="3" t="s">
        <v>60</v>
      </c>
      <c r="G143" s="3" t="s">
        <v>34</v>
      </c>
    </row>
    <row r="144" spans="1:7" ht="15" customHeight="1" x14ac:dyDescent="0.2">
      <c r="A144" s="3" t="s">
        <v>749</v>
      </c>
      <c r="B144" s="3" t="s">
        <v>636</v>
      </c>
      <c r="C144" s="3" t="s">
        <v>638</v>
      </c>
      <c r="D144" s="3"/>
      <c r="E144" s="3" t="s">
        <v>639</v>
      </c>
      <c r="F144" s="3" t="s">
        <v>23</v>
      </c>
      <c r="G144" s="3" t="s">
        <v>12</v>
      </c>
    </row>
    <row r="145" spans="1:7" ht="15" customHeight="1" x14ac:dyDescent="0.2">
      <c r="A145" s="3" t="s">
        <v>750</v>
      </c>
      <c r="B145" s="3" t="s">
        <v>636</v>
      </c>
      <c r="C145" s="3" t="s">
        <v>638</v>
      </c>
      <c r="D145" s="3"/>
      <c r="E145" s="3" t="s">
        <v>640</v>
      </c>
      <c r="F145" s="3" t="s">
        <v>162</v>
      </c>
      <c r="G145" s="3" t="s">
        <v>70</v>
      </c>
    </row>
    <row r="146" spans="1:7" ht="15" customHeight="1" x14ac:dyDescent="0.2">
      <c r="A146" s="3" t="s">
        <v>749</v>
      </c>
      <c r="B146" s="3" t="s">
        <v>636</v>
      </c>
      <c r="C146" s="3" t="s">
        <v>641</v>
      </c>
      <c r="D146" s="3"/>
      <c r="E146" s="3" t="s">
        <v>642</v>
      </c>
      <c r="F146" s="3" t="s">
        <v>643</v>
      </c>
      <c r="G146" s="3" t="s">
        <v>45</v>
      </c>
    </row>
    <row r="147" spans="1:7" ht="15" customHeight="1" x14ac:dyDescent="0.2">
      <c r="A147" s="3" t="s">
        <v>750</v>
      </c>
      <c r="B147" s="3" t="s">
        <v>636</v>
      </c>
      <c r="C147" s="3" t="s">
        <v>641</v>
      </c>
      <c r="D147" s="3"/>
      <c r="E147" s="3" t="s">
        <v>644</v>
      </c>
      <c r="F147" s="3" t="s">
        <v>643</v>
      </c>
      <c r="G147" s="3" t="s">
        <v>12</v>
      </c>
    </row>
    <row r="148" spans="1:7" ht="12.75" customHeight="1" x14ac:dyDescent="0.2">
      <c r="A148" s="3" t="s">
        <v>749</v>
      </c>
      <c r="B148" s="3" t="s">
        <v>636</v>
      </c>
      <c r="C148" s="3" t="s">
        <v>647</v>
      </c>
      <c r="D148" s="3"/>
      <c r="E148" s="3" t="s">
        <v>478</v>
      </c>
      <c r="F148" s="3" t="s">
        <v>648</v>
      </c>
      <c r="G148" s="3" t="s">
        <v>24</v>
      </c>
    </row>
    <row r="149" spans="1:7" ht="12.75" customHeight="1" x14ac:dyDescent="0.2">
      <c r="A149" s="3" t="s">
        <v>750</v>
      </c>
      <c r="B149" s="3" t="s">
        <v>636</v>
      </c>
      <c r="C149" s="3" t="s">
        <v>647</v>
      </c>
      <c r="D149" s="3"/>
      <c r="E149" s="3" t="s">
        <v>30</v>
      </c>
      <c r="F149" s="3" t="s">
        <v>648</v>
      </c>
      <c r="G149" s="3" t="s">
        <v>24</v>
      </c>
    </row>
    <row r="150" spans="1:7" ht="12.75" customHeight="1" x14ac:dyDescent="0.2">
      <c r="A150" s="3" t="s">
        <v>749</v>
      </c>
      <c r="B150" s="3" t="s">
        <v>636</v>
      </c>
      <c r="C150" s="3" t="s">
        <v>649</v>
      </c>
      <c r="D150" s="3"/>
      <c r="E150" s="3" t="s">
        <v>650</v>
      </c>
      <c r="F150" s="3" t="s">
        <v>651</v>
      </c>
      <c r="G150" s="3" t="s">
        <v>45</v>
      </c>
    </row>
    <row r="151" spans="1:7" ht="12.75" customHeight="1" x14ac:dyDescent="0.2">
      <c r="A151" s="3" t="s">
        <v>750</v>
      </c>
      <c r="B151" s="3" t="s">
        <v>636</v>
      </c>
      <c r="C151" s="3" t="s">
        <v>649</v>
      </c>
      <c r="D151" s="3"/>
      <c r="E151" s="3" t="s">
        <v>652</v>
      </c>
      <c r="F151" s="3" t="s">
        <v>653</v>
      </c>
      <c r="G151" s="3" t="s">
        <v>34</v>
      </c>
    </row>
    <row r="152" spans="1:7" ht="15" x14ac:dyDescent="0.25">
      <c r="A152" s="3" t="s">
        <v>749</v>
      </c>
      <c r="B152" s="4" t="s">
        <v>656</v>
      </c>
      <c r="C152" s="3" t="s">
        <v>657</v>
      </c>
      <c r="D152" s="3"/>
      <c r="E152" s="3" t="s">
        <v>478</v>
      </c>
      <c r="F152" s="3"/>
      <c r="G152" s="3" t="s">
        <v>24</v>
      </c>
    </row>
    <row r="153" spans="1:7" ht="15" x14ac:dyDescent="0.25">
      <c r="A153" s="3" t="s">
        <v>750</v>
      </c>
      <c r="B153" s="4" t="s">
        <v>656</v>
      </c>
      <c r="C153" s="3" t="s">
        <v>657</v>
      </c>
      <c r="D153" s="3"/>
      <c r="E153" s="3" t="s">
        <v>30</v>
      </c>
      <c r="F153" s="3"/>
      <c r="G153" s="3" t="s">
        <v>24</v>
      </c>
    </row>
    <row r="154" spans="1:7" ht="15" x14ac:dyDescent="0.25">
      <c r="A154" s="3" t="s">
        <v>749</v>
      </c>
      <c r="B154" s="4" t="s">
        <v>656</v>
      </c>
      <c r="C154" s="3" t="s">
        <v>658</v>
      </c>
      <c r="D154" s="3"/>
      <c r="E154" s="3" t="s">
        <v>73</v>
      </c>
      <c r="F154" s="3"/>
      <c r="G154" s="3" t="s">
        <v>45</v>
      </c>
    </row>
    <row r="155" spans="1:7" ht="15" x14ac:dyDescent="0.25">
      <c r="A155" s="3" t="s">
        <v>750</v>
      </c>
      <c r="B155" s="4" t="s">
        <v>656</v>
      </c>
      <c r="C155" s="3" t="s">
        <v>658</v>
      </c>
      <c r="D155" s="3"/>
      <c r="E155" s="3" t="s">
        <v>74</v>
      </c>
      <c r="F155" s="3"/>
      <c r="G155" s="3" t="s">
        <v>12</v>
      </c>
    </row>
    <row r="156" spans="1:7" ht="15" x14ac:dyDescent="0.25">
      <c r="A156" s="3" t="s">
        <v>749</v>
      </c>
      <c r="B156" s="4" t="s">
        <v>656</v>
      </c>
      <c r="C156" s="3" t="s">
        <v>659</v>
      </c>
      <c r="D156" s="3"/>
      <c r="E156" s="3" t="s">
        <v>561</v>
      </c>
      <c r="F156" s="3"/>
      <c r="G156" s="3" t="s">
        <v>34</v>
      </c>
    </row>
    <row r="157" spans="1:7" ht="15" x14ac:dyDescent="0.25">
      <c r="A157" s="3" t="s">
        <v>750</v>
      </c>
      <c r="B157" s="4" t="s">
        <v>656</v>
      </c>
      <c r="C157" s="3" t="s">
        <v>659</v>
      </c>
      <c r="D157" s="3"/>
      <c r="E157" s="3" t="s">
        <v>660</v>
      </c>
      <c r="F157" s="3"/>
      <c r="G157" s="3" t="s">
        <v>34</v>
      </c>
    </row>
    <row r="158" spans="1:7" ht="15" customHeight="1" x14ac:dyDescent="0.2">
      <c r="A158" s="3" t="s">
        <v>749</v>
      </c>
      <c r="B158" s="3" t="s">
        <v>661</v>
      </c>
      <c r="C158" s="3" t="s">
        <v>662</v>
      </c>
      <c r="D158" s="3"/>
      <c r="E158" s="3"/>
      <c r="F158" s="3"/>
      <c r="G158" s="3"/>
    </row>
    <row r="159" spans="1:7" ht="15" customHeight="1" x14ac:dyDescent="0.2">
      <c r="A159" s="3" t="s">
        <v>750</v>
      </c>
      <c r="B159" s="3" t="s">
        <v>661</v>
      </c>
      <c r="C159" s="3" t="s">
        <v>662</v>
      </c>
      <c r="D159" s="3"/>
      <c r="E159" s="3" t="s">
        <v>663</v>
      </c>
      <c r="F159" s="3"/>
      <c r="G159" s="3" t="s">
        <v>24</v>
      </c>
    </row>
    <row r="160" spans="1:7" ht="15" customHeight="1" x14ac:dyDescent="0.2">
      <c r="A160" s="3" t="s">
        <v>749</v>
      </c>
      <c r="B160" s="3" t="s">
        <v>661</v>
      </c>
      <c r="C160" s="3" t="s">
        <v>664</v>
      </c>
      <c r="D160" s="3"/>
      <c r="E160" s="3" t="s">
        <v>665</v>
      </c>
      <c r="F160" s="3"/>
      <c r="G160" s="3" t="s">
        <v>99</v>
      </c>
    </row>
    <row r="161" spans="1:7" ht="15" customHeight="1" x14ac:dyDescent="0.2">
      <c r="A161" s="3" t="s">
        <v>750</v>
      </c>
      <c r="B161" s="3" t="s">
        <v>661</v>
      </c>
      <c r="C161" s="3" t="s">
        <v>664</v>
      </c>
      <c r="D161" s="3"/>
      <c r="E161" s="3" t="s">
        <v>210</v>
      </c>
      <c r="F161" s="3"/>
      <c r="G161" s="3" t="s">
        <v>70</v>
      </c>
    </row>
    <row r="162" spans="1:7" ht="15" customHeight="1" x14ac:dyDescent="0.2">
      <c r="A162" s="3" t="s">
        <v>749</v>
      </c>
      <c r="B162" s="3" t="s">
        <v>661</v>
      </c>
      <c r="C162" s="3" t="s">
        <v>664</v>
      </c>
      <c r="D162" s="3"/>
      <c r="E162" s="3" t="s">
        <v>665</v>
      </c>
      <c r="F162" s="3"/>
      <c r="G162" s="3" t="s">
        <v>99</v>
      </c>
    </row>
    <row r="163" spans="1:7" ht="15" customHeight="1" x14ac:dyDescent="0.2">
      <c r="A163" s="3" t="s">
        <v>750</v>
      </c>
      <c r="B163" s="3" t="s">
        <v>661</v>
      </c>
      <c r="C163" s="3" t="s">
        <v>664</v>
      </c>
      <c r="D163" s="3"/>
      <c r="E163" s="3" t="s">
        <v>666</v>
      </c>
      <c r="F163" s="3"/>
      <c r="G163" s="3" t="s">
        <v>70</v>
      </c>
    </row>
    <row r="164" spans="1:7" ht="15" customHeight="1" x14ac:dyDescent="0.2">
      <c r="A164" s="3" t="s">
        <v>749</v>
      </c>
      <c r="B164" s="3" t="s">
        <v>667</v>
      </c>
      <c r="C164" s="3" t="s">
        <v>668</v>
      </c>
      <c r="D164" s="3"/>
      <c r="E164" s="3" t="s">
        <v>669</v>
      </c>
      <c r="F164" s="3"/>
      <c r="G164" s="3" t="s">
        <v>24</v>
      </c>
    </row>
    <row r="165" spans="1:7" ht="15" customHeight="1" x14ac:dyDescent="0.2">
      <c r="A165" s="3" t="s">
        <v>750</v>
      </c>
      <c r="B165" s="3" t="s">
        <v>667</v>
      </c>
      <c r="C165" s="3" t="s">
        <v>668</v>
      </c>
      <c r="D165" s="3"/>
      <c r="E165" s="3" t="s">
        <v>362</v>
      </c>
      <c r="F165" s="3"/>
      <c r="G165" s="3" t="s">
        <v>24</v>
      </c>
    </row>
    <row r="166" spans="1:7" ht="14.25" customHeight="1" x14ac:dyDescent="0.2">
      <c r="A166" s="3" t="s">
        <v>749</v>
      </c>
      <c r="B166" s="3" t="s">
        <v>667</v>
      </c>
      <c r="C166" s="3" t="s">
        <v>670</v>
      </c>
      <c r="D166" s="3"/>
      <c r="E166" s="3" t="s">
        <v>223</v>
      </c>
      <c r="F166" s="3"/>
      <c r="G166" s="3" t="s">
        <v>24</v>
      </c>
    </row>
    <row r="167" spans="1:7" ht="14.25" customHeight="1" x14ac:dyDescent="0.2">
      <c r="A167" s="3" t="s">
        <v>750</v>
      </c>
      <c r="B167" s="3" t="s">
        <v>667</v>
      </c>
      <c r="C167" s="3" t="s">
        <v>670</v>
      </c>
      <c r="D167" s="3"/>
      <c r="E167" s="3" t="s">
        <v>223</v>
      </c>
      <c r="F167" s="3"/>
      <c r="G167" s="3" t="s">
        <v>24</v>
      </c>
    </row>
    <row r="168" spans="1:7" ht="14.25" customHeight="1" x14ac:dyDescent="0.2">
      <c r="A168" s="3" t="s">
        <v>749</v>
      </c>
      <c r="B168" s="3" t="s">
        <v>667</v>
      </c>
      <c r="C168" s="3" t="s">
        <v>671</v>
      </c>
      <c r="D168" s="3"/>
      <c r="E168" s="3" t="s">
        <v>593</v>
      </c>
      <c r="F168" s="3"/>
      <c r="G168" s="3" t="s">
        <v>24</v>
      </c>
    </row>
    <row r="169" spans="1:7" ht="14.25" customHeight="1" x14ac:dyDescent="0.2">
      <c r="A169" s="3" t="s">
        <v>750</v>
      </c>
      <c r="B169" s="3" t="s">
        <v>667</v>
      </c>
      <c r="C169" s="3" t="s">
        <v>671</v>
      </c>
      <c r="D169" s="3"/>
      <c r="E169" s="3" t="s">
        <v>594</v>
      </c>
      <c r="F169" s="3"/>
      <c r="G169" s="3" t="s">
        <v>24</v>
      </c>
    </row>
    <row r="170" spans="1:7" x14ac:dyDescent="0.2">
      <c r="A170" s="3" t="s">
        <v>749</v>
      </c>
      <c r="B170" s="3" t="s">
        <v>667</v>
      </c>
      <c r="C170" s="3" t="s">
        <v>672</v>
      </c>
      <c r="D170" s="3"/>
      <c r="E170" s="3" t="s">
        <v>624</v>
      </c>
      <c r="F170" s="3"/>
      <c r="G170" s="3" t="s">
        <v>24</v>
      </c>
    </row>
    <row r="171" spans="1:7" x14ac:dyDescent="0.2">
      <c r="A171" s="3" t="s">
        <v>750</v>
      </c>
      <c r="B171" s="3" t="s">
        <v>667</v>
      </c>
      <c r="C171" s="3" t="s">
        <v>672</v>
      </c>
      <c r="D171" s="3"/>
      <c r="E171" s="3" t="s">
        <v>624</v>
      </c>
      <c r="F171" s="3"/>
      <c r="G171" s="3" t="s">
        <v>24</v>
      </c>
    </row>
    <row r="172" spans="1:7" x14ac:dyDescent="0.2">
      <c r="A172" s="3" t="s">
        <v>749</v>
      </c>
      <c r="B172" s="3" t="s">
        <v>667</v>
      </c>
      <c r="C172" s="3" t="s">
        <v>673</v>
      </c>
      <c r="D172" s="3"/>
      <c r="E172" s="3" t="s">
        <v>674</v>
      </c>
      <c r="F172" s="3"/>
      <c r="G172" s="3" t="s">
        <v>24</v>
      </c>
    </row>
    <row r="173" spans="1:7" x14ac:dyDescent="0.2">
      <c r="A173" s="3" t="s">
        <v>750</v>
      </c>
      <c r="B173" s="3" t="s">
        <v>667</v>
      </c>
      <c r="C173" s="3" t="s">
        <v>673</v>
      </c>
      <c r="D173" s="3"/>
      <c r="E173" s="3" t="s">
        <v>675</v>
      </c>
      <c r="F173" s="3"/>
      <c r="G173" s="3" t="s">
        <v>24</v>
      </c>
    </row>
    <row r="174" spans="1:7" ht="15" customHeight="1" x14ac:dyDescent="0.2">
      <c r="A174" s="3" t="s">
        <v>749</v>
      </c>
      <c r="B174" s="3" t="s">
        <v>676</v>
      </c>
      <c r="C174" s="3" t="s">
        <v>677</v>
      </c>
      <c r="D174" s="3"/>
      <c r="E174" s="3" t="s">
        <v>678</v>
      </c>
      <c r="F174" s="3" t="s">
        <v>679</v>
      </c>
      <c r="G174" s="3" t="s">
        <v>45</v>
      </c>
    </row>
    <row r="175" spans="1:7" ht="15" customHeight="1" x14ac:dyDescent="0.2">
      <c r="A175" s="3" t="s">
        <v>750</v>
      </c>
      <c r="B175" s="3" t="s">
        <v>676</v>
      </c>
      <c r="C175" s="3" t="s">
        <v>677</v>
      </c>
      <c r="D175" s="3"/>
      <c r="E175" s="3" t="s">
        <v>482</v>
      </c>
      <c r="F175" s="3" t="s">
        <v>680</v>
      </c>
      <c r="G175" s="3" t="s">
        <v>45</v>
      </c>
    </row>
    <row r="176" spans="1:7" ht="15" customHeight="1" x14ac:dyDescent="0.2">
      <c r="A176" s="3" t="s">
        <v>749</v>
      </c>
      <c r="B176" s="3" t="s">
        <v>676</v>
      </c>
      <c r="C176" s="3" t="s">
        <v>681</v>
      </c>
      <c r="D176" s="3"/>
      <c r="E176" s="3" t="s">
        <v>682</v>
      </c>
      <c r="F176" s="3"/>
      <c r="G176" s="3" t="s">
        <v>45</v>
      </c>
    </row>
    <row r="177" spans="1:7" ht="15" customHeight="1" x14ac:dyDescent="0.2">
      <c r="A177" s="3" t="s">
        <v>750</v>
      </c>
      <c r="B177" s="3" t="s">
        <v>676</v>
      </c>
      <c r="C177" s="3" t="s">
        <v>681</v>
      </c>
      <c r="D177" s="3"/>
      <c r="E177" s="3" t="s">
        <v>682</v>
      </c>
      <c r="F177" s="3"/>
      <c r="G177" s="3" t="s">
        <v>45</v>
      </c>
    </row>
    <row r="178" spans="1:7" ht="15" customHeight="1" x14ac:dyDescent="0.2">
      <c r="A178" s="3" t="s">
        <v>749</v>
      </c>
      <c r="B178" s="3" t="s">
        <v>676</v>
      </c>
      <c r="C178" s="3" t="s">
        <v>683</v>
      </c>
      <c r="D178" s="3"/>
      <c r="E178" s="3" t="s">
        <v>684</v>
      </c>
      <c r="F178" s="3"/>
      <c r="G178" s="3" t="s">
        <v>12</v>
      </c>
    </row>
    <row r="179" spans="1:7" ht="15" customHeight="1" x14ac:dyDescent="0.2">
      <c r="A179" s="3" t="s">
        <v>750</v>
      </c>
      <c r="B179" s="3" t="s">
        <v>676</v>
      </c>
      <c r="C179" s="3" t="s">
        <v>683</v>
      </c>
      <c r="D179" s="3"/>
      <c r="E179" s="3" t="s">
        <v>685</v>
      </c>
      <c r="F179" s="3"/>
      <c r="G179" s="3" t="s">
        <v>12</v>
      </c>
    </row>
    <row r="180" spans="1:7" ht="15" customHeight="1" x14ac:dyDescent="0.2">
      <c r="A180" s="3" t="s">
        <v>749</v>
      </c>
      <c r="B180" s="3" t="s">
        <v>676</v>
      </c>
      <c r="C180" s="3" t="s">
        <v>686</v>
      </c>
      <c r="D180" s="3"/>
      <c r="E180" s="3" t="s">
        <v>456</v>
      </c>
      <c r="F180" s="3"/>
      <c r="G180" s="3" t="s">
        <v>45</v>
      </c>
    </row>
    <row r="181" spans="1:7" ht="15" customHeight="1" x14ac:dyDescent="0.2">
      <c r="A181" s="3" t="s">
        <v>750</v>
      </c>
      <c r="B181" s="3" t="s">
        <v>676</v>
      </c>
      <c r="C181" s="3" t="s">
        <v>686</v>
      </c>
      <c r="D181" s="3"/>
      <c r="E181" s="3" t="s">
        <v>74</v>
      </c>
      <c r="F181" s="3"/>
      <c r="G181" s="3" t="s">
        <v>12</v>
      </c>
    </row>
    <row r="182" spans="1:7" ht="15" customHeight="1" x14ac:dyDescent="0.2">
      <c r="A182" s="3" t="s">
        <v>749</v>
      </c>
      <c r="B182" s="3" t="s">
        <v>676</v>
      </c>
      <c r="C182" s="3" t="s">
        <v>687</v>
      </c>
      <c r="D182" s="3"/>
      <c r="E182" s="3" t="s">
        <v>688</v>
      </c>
      <c r="F182" s="3"/>
      <c r="G182" s="3" t="s">
        <v>34</v>
      </c>
    </row>
    <row r="183" spans="1:7" ht="15" customHeight="1" x14ac:dyDescent="0.2">
      <c r="A183" s="3" t="s">
        <v>750</v>
      </c>
      <c r="B183" s="3" t="s">
        <v>676</v>
      </c>
      <c r="C183" s="3" t="s">
        <v>687</v>
      </c>
      <c r="D183" s="3"/>
      <c r="E183" s="3" t="s">
        <v>465</v>
      </c>
      <c r="F183" s="3"/>
      <c r="G183" s="3" t="s">
        <v>34</v>
      </c>
    </row>
    <row r="184" spans="1:7" ht="15" customHeight="1" x14ac:dyDescent="0.2">
      <c r="A184" s="3" t="s">
        <v>749</v>
      </c>
      <c r="B184" s="3" t="s">
        <v>676</v>
      </c>
      <c r="C184" s="3" t="s">
        <v>689</v>
      </c>
      <c r="D184" s="3"/>
      <c r="E184" s="3" t="s">
        <v>690</v>
      </c>
      <c r="F184" s="3"/>
      <c r="G184" s="3" t="s">
        <v>34</v>
      </c>
    </row>
    <row r="185" spans="1:7" ht="15" customHeight="1" x14ac:dyDescent="0.2">
      <c r="A185" s="3" t="s">
        <v>750</v>
      </c>
      <c r="B185" s="3" t="s">
        <v>676</v>
      </c>
      <c r="C185" s="3" t="s">
        <v>689</v>
      </c>
      <c r="D185" s="3"/>
      <c r="E185" s="3" t="s">
        <v>691</v>
      </c>
      <c r="F185" s="3"/>
      <c r="G185" s="3" t="s">
        <v>34</v>
      </c>
    </row>
    <row r="186" spans="1:7" ht="14.25" customHeight="1" x14ac:dyDescent="0.2">
      <c r="A186" s="3" t="s">
        <v>749</v>
      </c>
      <c r="B186" s="3" t="s">
        <v>676</v>
      </c>
      <c r="C186" s="3" t="s">
        <v>692</v>
      </c>
      <c r="D186" s="3"/>
      <c r="E186" s="3" t="s">
        <v>561</v>
      </c>
      <c r="F186" s="3" t="s">
        <v>693</v>
      </c>
      <c r="G186" s="3" t="s">
        <v>34</v>
      </c>
    </row>
    <row r="187" spans="1:7" ht="14.25" customHeight="1" x14ac:dyDescent="0.2">
      <c r="A187" s="3" t="s">
        <v>750</v>
      </c>
      <c r="B187" s="3" t="s">
        <v>676</v>
      </c>
      <c r="C187" s="3" t="s">
        <v>692</v>
      </c>
      <c r="D187" s="3"/>
      <c r="E187" s="3" t="s">
        <v>563</v>
      </c>
      <c r="F187" s="3" t="s">
        <v>693</v>
      </c>
      <c r="G187" s="3" t="s">
        <v>34</v>
      </c>
    </row>
    <row r="188" spans="1:7" ht="14.25" customHeight="1" x14ac:dyDescent="0.2">
      <c r="A188" s="3" t="s">
        <v>749</v>
      </c>
      <c r="B188" s="3" t="s">
        <v>676</v>
      </c>
      <c r="C188" s="3" t="s">
        <v>694</v>
      </c>
      <c r="D188" s="3"/>
      <c r="E188" s="3" t="s">
        <v>695</v>
      </c>
      <c r="F188" s="3" t="s">
        <v>696</v>
      </c>
      <c r="G188" s="3" t="s">
        <v>34</v>
      </c>
    </row>
    <row r="189" spans="1:7" ht="14.25" customHeight="1" x14ac:dyDescent="0.2">
      <c r="A189" s="3" t="s">
        <v>750</v>
      </c>
      <c r="B189" s="3" t="s">
        <v>676</v>
      </c>
      <c r="C189" s="3" t="s">
        <v>694</v>
      </c>
      <c r="D189" s="3"/>
      <c r="E189" s="3" t="s">
        <v>697</v>
      </c>
      <c r="F189" s="3"/>
      <c r="G189" s="3" t="s">
        <v>89</v>
      </c>
    </row>
    <row r="190" spans="1:7" ht="14.25" customHeight="1" x14ac:dyDescent="0.2">
      <c r="A190" s="3" t="s">
        <v>749</v>
      </c>
      <c r="B190" s="3" t="s">
        <v>676</v>
      </c>
      <c r="C190" s="3" t="s">
        <v>698</v>
      </c>
      <c r="D190" s="3"/>
      <c r="E190" s="3" t="s">
        <v>699</v>
      </c>
      <c r="F190" s="3" t="s">
        <v>581</v>
      </c>
      <c r="G190" s="3" t="s">
        <v>89</v>
      </c>
    </row>
    <row r="191" spans="1:7" ht="15" customHeight="1" x14ac:dyDescent="0.2">
      <c r="A191" s="3" t="s">
        <v>750</v>
      </c>
      <c r="B191" s="3" t="s">
        <v>676</v>
      </c>
      <c r="C191" s="3" t="s">
        <v>698</v>
      </c>
      <c r="D191" s="3"/>
      <c r="E191" s="3" t="s">
        <v>699</v>
      </c>
      <c r="F191" s="3" t="s">
        <v>578</v>
      </c>
      <c r="G191" s="3" t="s">
        <v>89</v>
      </c>
    </row>
    <row r="192" spans="1:7" ht="15" x14ac:dyDescent="0.25">
      <c r="A192" s="3" t="s">
        <v>749</v>
      </c>
      <c r="B192" s="4" t="s">
        <v>700</v>
      </c>
      <c r="C192" s="3" t="s">
        <v>701</v>
      </c>
      <c r="D192" s="3"/>
      <c r="E192" s="3" t="s">
        <v>702</v>
      </c>
      <c r="F192" s="3"/>
      <c r="G192" s="3" t="s">
        <v>45</v>
      </c>
    </row>
    <row r="193" spans="1:7" ht="14.25" customHeight="1" x14ac:dyDescent="0.25">
      <c r="A193" s="3" t="s">
        <v>750</v>
      </c>
      <c r="B193" s="4" t="s">
        <v>700</v>
      </c>
      <c r="C193" s="3" t="s">
        <v>701</v>
      </c>
      <c r="D193" s="3"/>
      <c r="E193" s="3" t="s">
        <v>703</v>
      </c>
      <c r="F193" s="3"/>
      <c r="G193" s="3" t="s">
        <v>45</v>
      </c>
    </row>
    <row r="194" spans="1:7" ht="14.25" customHeight="1" x14ac:dyDescent="0.25">
      <c r="A194" s="3" t="s">
        <v>749</v>
      </c>
      <c r="B194" s="4" t="s">
        <v>700</v>
      </c>
      <c r="C194" s="3" t="s">
        <v>704</v>
      </c>
      <c r="D194" s="3"/>
      <c r="E194" s="3" t="s">
        <v>705</v>
      </c>
      <c r="F194" s="3"/>
      <c r="G194" s="3" t="s">
        <v>45</v>
      </c>
    </row>
    <row r="195" spans="1:7" ht="14.25" customHeight="1" x14ac:dyDescent="0.25">
      <c r="A195" s="3" t="s">
        <v>750</v>
      </c>
      <c r="B195" s="4" t="s">
        <v>700</v>
      </c>
      <c r="C195" s="3" t="s">
        <v>704</v>
      </c>
      <c r="D195" s="3"/>
      <c r="E195" s="3" t="s">
        <v>143</v>
      </c>
      <c r="F195" s="3"/>
      <c r="G195" s="3" t="s">
        <v>12</v>
      </c>
    </row>
    <row r="196" spans="1:7" ht="14.25" customHeight="1" x14ac:dyDescent="0.25">
      <c r="A196" s="3" t="s">
        <v>749</v>
      </c>
      <c r="B196" s="4" t="s">
        <v>700</v>
      </c>
      <c r="C196" s="3" t="s">
        <v>706</v>
      </c>
      <c r="D196" s="3"/>
      <c r="E196" s="3" t="s">
        <v>707</v>
      </c>
      <c r="F196" s="3"/>
      <c r="G196" s="3" t="s">
        <v>12</v>
      </c>
    </row>
    <row r="197" spans="1:7" ht="14.25" customHeight="1" x14ac:dyDescent="0.25">
      <c r="A197" s="3" t="s">
        <v>750</v>
      </c>
      <c r="B197" s="4" t="s">
        <v>700</v>
      </c>
      <c r="C197" s="3" t="s">
        <v>706</v>
      </c>
      <c r="D197" s="3"/>
      <c r="E197" s="3" t="s">
        <v>707</v>
      </c>
      <c r="F197" s="3"/>
      <c r="G197" s="3" t="s">
        <v>12</v>
      </c>
    </row>
    <row r="198" spans="1:7" ht="14.25" customHeight="1" x14ac:dyDescent="0.25">
      <c r="A198" s="3" t="s">
        <v>749</v>
      </c>
      <c r="B198" s="4" t="s">
        <v>700</v>
      </c>
      <c r="C198" s="3" t="s">
        <v>708</v>
      </c>
      <c r="D198" s="3"/>
      <c r="E198" s="3" t="s">
        <v>709</v>
      </c>
      <c r="F198" s="3" t="s">
        <v>710</v>
      </c>
      <c r="G198" s="3" t="s">
        <v>34</v>
      </c>
    </row>
    <row r="199" spans="1:7" ht="14.25" customHeight="1" x14ac:dyDescent="0.25">
      <c r="A199" s="3" t="s">
        <v>750</v>
      </c>
      <c r="B199" s="4" t="s">
        <v>700</v>
      </c>
      <c r="C199" s="3" t="s">
        <v>708</v>
      </c>
      <c r="D199" s="3"/>
      <c r="E199" s="3" t="s">
        <v>711</v>
      </c>
      <c r="F199" s="3" t="s">
        <v>712</v>
      </c>
      <c r="G199" s="3" t="s">
        <v>34</v>
      </c>
    </row>
    <row r="200" spans="1:7" ht="14.25" customHeight="1" x14ac:dyDescent="0.25">
      <c r="A200" s="3" t="s">
        <v>749</v>
      </c>
      <c r="B200" s="4" t="s">
        <v>700</v>
      </c>
      <c r="C200" s="3" t="s">
        <v>713</v>
      </c>
      <c r="D200" s="3"/>
      <c r="E200" s="3" t="s">
        <v>478</v>
      </c>
      <c r="F200" s="3"/>
      <c r="G200" s="3" t="s">
        <v>24</v>
      </c>
    </row>
    <row r="201" spans="1:7" ht="14.25" customHeight="1" x14ac:dyDescent="0.25">
      <c r="A201" s="3" t="s">
        <v>750</v>
      </c>
      <c r="B201" s="4" t="s">
        <v>700</v>
      </c>
      <c r="C201" s="3" t="s">
        <v>713</v>
      </c>
      <c r="D201" s="3"/>
      <c r="E201" s="3" t="s">
        <v>30</v>
      </c>
      <c r="F201" s="3"/>
      <c r="G201" s="3" t="s">
        <v>24</v>
      </c>
    </row>
    <row r="202" spans="1:7" ht="15" customHeight="1" x14ac:dyDescent="0.2">
      <c r="A202" s="3" t="s">
        <v>749</v>
      </c>
      <c r="B202" s="3" t="s">
        <v>714</v>
      </c>
      <c r="C202" s="3" t="s">
        <v>715</v>
      </c>
      <c r="D202" s="3"/>
      <c r="E202" s="3" t="s">
        <v>716</v>
      </c>
      <c r="F202" s="3"/>
      <c r="G202" s="3" t="s">
        <v>45</v>
      </c>
    </row>
    <row r="203" spans="1:7" ht="15" customHeight="1" x14ac:dyDescent="0.2">
      <c r="A203" s="3" t="s">
        <v>750</v>
      </c>
      <c r="B203" s="3" t="s">
        <v>714</v>
      </c>
      <c r="C203" s="3" t="s">
        <v>715</v>
      </c>
      <c r="D203" s="3"/>
      <c r="E203" s="3" t="s">
        <v>717</v>
      </c>
      <c r="F203" s="3"/>
      <c r="G203" s="3" t="s">
        <v>45</v>
      </c>
    </row>
    <row r="204" spans="1:7" ht="15" customHeight="1" x14ac:dyDescent="0.2">
      <c r="A204" s="3" t="s">
        <v>749</v>
      </c>
      <c r="B204" s="3" t="s">
        <v>714</v>
      </c>
      <c r="C204" s="3" t="s">
        <v>718</v>
      </c>
      <c r="D204" s="3"/>
      <c r="E204" s="3" t="s">
        <v>478</v>
      </c>
      <c r="F204" s="3"/>
      <c r="G204" s="3" t="s">
        <v>24</v>
      </c>
    </row>
    <row r="205" spans="1:7" ht="15" customHeight="1" x14ac:dyDescent="0.2">
      <c r="A205" s="3" t="s">
        <v>750</v>
      </c>
      <c r="B205" s="3" t="s">
        <v>714</v>
      </c>
      <c r="C205" s="3" t="s">
        <v>718</v>
      </c>
      <c r="D205" s="3"/>
      <c r="E205" s="3" t="s">
        <v>30</v>
      </c>
      <c r="F205" s="3"/>
      <c r="G205" s="3" t="s">
        <v>24</v>
      </c>
    </row>
    <row r="206" spans="1:7" x14ac:dyDescent="0.2">
      <c r="A206" s="3" t="s">
        <v>749</v>
      </c>
      <c r="B206" s="3" t="s">
        <v>714</v>
      </c>
      <c r="C206" s="3" t="s">
        <v>719</v>
      </c>
      <c r="D206" s="3"/>
      <c r="E206" s="3" t="s">
        <v>210</v>
      </c>
      <c r="F206" s="3"/>
      <c r="G206" s="3" t="s">
        <v>99</v>
      </c>
    </row>
    <row r="207" spans="1:7" x14ac:dyDescent="0.2">
      <c r="A207" s="3" t="s">
        <v>750</v>
      </c>
      <c r="B207" s="3" t="s">
        <v>714</v>
      </c>
      <c r="C207" s="3" t="s">
        <v>719</v>
      </c>
      <c r="D207" s="3"/>
      <c r="E207" s="3" t="s">
        <v>210</v>
      </c>
      <c r="F207" s="3"/>
      <c r="G207" s="3" t="s">
        <v>70</v>
      </c>
    </row>
    <row r="208" spans="1:7" x14ac:dyDescent="0.2">
      <c r="A208" s="3" t="s">
        <v>749</v>
      </c>
      <c r="B208" s="3" t="s">
        <v>714</v>
      </c>
      <c r="C208" s="3" t="s">
        <v>720</v>
      </c>
      <c r="D208" s="3"/>
      <c r="E208" s="3" t="s">
        <v>47</v>
      </c>
      <c r="F208" s="3"/>
      <c r="G208" s="3" t="s">
        <v>34</v>
      </c>
    </row>
    <row r="209" spans="1:7" x14ac:dyDescent="0.2">
      <c r="A209" s="3" t="s">
        <v>750</v>
      </c>
      <c r="B209" s="3" t="s">
        <v>714</v>
      </c>
      <c r="C209" s="3" t="s">
        <v>720</v>
      </c>
      <c r="D209" s="3"/>
      <c r="E209" s="3" t="s">
        <v>48</v>
      </c>
      <c r="F209" s="3"/>
      <c r="G209" s="3" t="s">
        <v>49</v>
      </c>
    </row>
    <row r="210" spans="1:7" x14ac:dyDescent="0.2">
      <c r="A210" s="3" t="s">
        <v>749</v>
      </c>
      <c r="B210" s="3" t="s">
        <v>714</v>
      </c>
      <c r="C210" s="3" t="s">
        <v>721</v>
      </c>
      <c r="D210" s="3"/>
      <c r="E210" s="3" t="s">
        <v>561</v>
      </c>
      <c r="F210" s="3" t="s">
        <v>722</v>
      </c>
      <c r="G210" s="3" t="s">
        <v>34</v>
      </c>
    </row>
    <row r="211" spans="1:7" x14ac:dyDescent="0.2">
      <c r="A211" s="3" t="s">
        <v>750</v>
      </c>
      <c r="B211" s="3" t="s">
        <v>714</v>
      </c>
      <c r="C211" s="3" t="s">
        <v>721</v>
      </c>
      <c r="D211" s="3"/>
      <c r="E211" s="3" t="s">
        <v>59</v>
      </c>
      <c r="F211" s="3" t="s">
        <v>722</v>
      </c>
      <c r="G211" s="3" t="s">
        <v>49</v>
      </c>
    </row>
    <row r="212" spans="1:7" ht="15" customHeight="1" x14ac:dyDescent="0.2">
      <c r="A212" s="3" t="s">
        <v>749</v>
      </c>
      <c r="B212" s="3" t="s">
        <v>724</v>
      </c>
      <c r="C212" s="3" t="s">
        <v>725</v>
      </c>
      <c r="D212" s="3"/>
      <c r="E212" s="3" t="s">
        <v>726</v>
      </c>
      <c r="F212" s="3" t="s">
        <v>727</v>
      </c>
      <c r="G212" s="3" t="s">
        <v>24</v>
      </c>
    </row>
    <row r="213" spans="1:7" ht="15" customHeight="1" x14ac:dyDescent="0.2">
      <c r="A213" s="3" t="s">
        <v>750</v>
      </c>
      <c r="B213" s="3" t="s">
        <v>724</v>
      </c>
      <c r="C213" s="3" t="s">
        <v>725</v>
      </c>
      <c r="D213" s="3"/>
      <c r="E213" s="3" t="s">
        <v>728</v>
      </c>
      <c r="F213" s="3" t="s">
        <v>729</v>
      </c>
      <c r="G213" s="3" t="s">
        <v>24</v>
      </c>
    </row>
    <row r="214" spans="1:7" ht="15" customHeight="1" x14ac:dyDescent="0.2">
      <c r="A214" s="3" t="s">
        <v>749</v>
      </c>
      <c r="B214" s="3" t="s">
        <v>724</v>
      </c>
      <c r="C214" s="3" t="s">
        <v>730</v>
      </c>
      <c r="D214" s="3"/>
      <c r="E214" s="3" t="s">
        <v>225</v>
      </c>
      <c r="F214" s="3" t="s">
        <v>727</v>
      </c>
      <c r="G214" s="3" t="s">
        <v>24</v>
      </c>
    </row>
    <row r="215" spans="1:7" ht="15" customHeight="1" x14ac:dyDescent="0.2">
      <c r="A215" s="3" t="s">
        <v>750</v>
      </c>
      <c r="B215" s="3" t="s">
        <v>724</v>
      </c>
      <c r="C215" s="3" t="s">
        <v>730</v>
      </c>
      <c r="D215" s="3"/>
      <c r="E215" s="3" t="s">
        <v>225</v>
      </c>
      <c r="F215" s="3" t="s">
        <v>729</v>
      </c>
      <c r="G215" s="3" t="s">
        <v>24</v>
      </c>
    </row>
    <row r="216" spans="1:7" ht="15" customHeight="1" x14ac:dyDescent="0.2">
      <c r="A216" s="3" t="s">
        <v>749</v>
      </c>
      <c r="B216" s="3" t="s">
        <v>724</v>
      </c>
      <c r="C216" s="3" t="s">
        <v>731</v>
      </c>
      <c r="D216" s="3"/>
      <c r="E216" s="3" t="s">
        <v>732</v>
      </c>
      <c r="F216" s="3" t="s">
        <v>727</v>
      </c>
      <c r="G216" s="3" t="s">
        <v>24</v>
      </c>
    </row>
    <row r="217" spans="1:7" ht="15" customHeight="1" x14ac:dyDescent="0.2">
      <c r="A217" s="3" t="s">
        <v>750</v>
      </c>
      <c r="B217" s="3" t="s">
        <v>724</v>
      </c>
      <c r="C217" s="3" t="s">
        <v>731</v>
      </c>
      <c r="D217" s="3"/>
      <c r="E217" s="3" t="s">
        <v>353</v>
      </c>
      <c r="F217" s="3" t="s">
        <v>729</v>
      </c>
      <c r="G217" s="3" t="s">
        <v>24</v>
      </c>
    </row>
    <row r="218" spans="1:7" ht="15" customHeight="1" x14ac:dyDescent="0.2">
      <c r="A218" s="3" t="s">
        <v>749</v>
      </c>
      <c r="B218" s="3" t="s">
        <v>724</v>
      </c>
      <c r="C218" s="3" t="s">
        <v>733</v>
      </c>
      <c r="D218" s="3"/>
      <c r="E218" s="3" t="s">
        <v>734</v>
      </c>
      <c r="F218" s="3" t="s">
        <v>727</v>
      </c>
      <c r="G218" s="3" t="s">
        <v>24</v>
      </c>
    </row>
    <row r="219" spans="1:7" ht="15" customHeight="1" x14ac:dyDescent="0.2">
      <c r="A219" s="3" t="s">
        <v>750</v>
      </c>
      <c r="B219" s="3" t="s">
        <v>724</v>
      </c>
      <c r="C219" s="3" t="s">
        <v>733</v>
      </c>
      <c r="D219" s="3"/>
      <c r="E219" s="3" t="s">
        <v>734</v>
      </c>
      <c r="F219" s="3" t="s">
        <v>729</v>
      </c>
      <c r="G219" s="3" t="s">
        <v>24</v>
      </c>
    </row>
    <row r="220" spans="1:7" ht="15" customHeight="1" x14ac:dyDescent="0.2">
      <c r="A220" s="3" t="s">
        <v>749</v>
      </c>
      <c r="B220" s="3" t="s">
        <v>724</v>
      </c>
      <c r="C220" s="3" t="s">
        <v>735</v>
      </c>
      <c r="D220" s="3"/>
      <c r="E220" s="3" t="s">
        <v>223</v>
      </c>
      <c r="F220" s="3" t="s">
        <v>727</v>
      </c>
      <c r="G220" s="3" t="s">
        <v>24</v>
      </c>
    </row>
    <row r="221" spans="1:7" ht="15" customHeight="1" x14ac:dyDescent="0.2">
      <c r="A221" s="3" t="s">
        <v>750</v>
      </c>
      <c r="B221" s="3" t="s">
        <v>724</v>
      </c>
      <c r="C221" s="3" t="s">
        <v>735</v>
      </c>
      <c r="D221" s="3"/>
      <c r="E221" s="3" t="s">
        <v>223</v>
      </c>
      <c r="F221" s="3" t="s">
        <v>729</v>
      </c>
      <c r="G221" s="3" t="s">
        <v>24</v>
      </c>
    </row>
    <row r="222" spans="1:7" ht="15" customHeight="1" x14ac:dyDescent="0.2">
      <c r="A222" s="3" t="s">
        <v>749</v>
      </c>
      <c r="B222" s="3" t="s">
        <v>724</v>
      </c>
      <c r="C222" s="3" t="s">
        <v>736</v>
      </c>
      <c r="D222" s="3"/>
      <c r="E222" s="3" t="s">
        <v>737</v>
      </c>
      <c r="F222" s="3" t="s">
        <v>727</v>
      </c>
      <c r="G222" s="3" t="s">
        <v>24</v>
      </c>
    </row>
    <row r="223" spans="1:7" ht="15" customHeight="1" x14ac:dyDescent="0.2">
      <c r="A223" s="3" t="s">
        <v>750</v>
      </c>
      <c r="B223" s="3" t="s">
        <v>724</v>
      </c>
      <c r="C223" s="3" t="s">
        <v>736</v>
      </c>
      <c r="D223" s="3"/>
      <c r="E223" s="3" t="s">
        <v>738</v>
      </c>
      <c r="F223" s="3" t="s">
        <v>729</v>
      </c>
      <c r="G223" s="3" t="s">
        <v>24</v>
      </c>
    </row>
    <row r="224" spans="1:7" ht="15" customHeight="1" x14ac:dyDescent="0.2">
      <c r="A224" s="3" t="s">
        <v>749</v>
      </c>
      <c r="B224" s="3" t="s">
        <v>724</v>
      </c>
      <c r="C224" s="3" t="s">
        <v>739</v>
      </c>
      <c r="D224" s="3"/>
      <c r="E224" s="3" t="s">
        <v>626</v>
      </c>
      <c r="F224" s="3" t="s">
        <v>727</v>
      </c>
      <c r="G224" s="3" t="s">
        <v>24</v>
      </c>
    </row>
    <row r="225" spans="1:7" ht="15" customHeight="1" x14ac:dyDescent="0.2">
      <c r="A225" s="3" t="s">
        <v>750</v>
      </c>
      <c r="B225" s="3" t="s">
        <v>724</v>
      </c>
      <c r="C225" s="3" t="s">
        <v>739</v>
      </c>
      <c r="D225" s="3"/>
      <c r="E225" s="3" t="s">
        <v>449</v>
      </c>
      <c r="F225" s="3" t="s">
        <v>729</v>
      </c>
      <c r="G225" s="3" t="s">
        <v>24</v>
      </c>
    </row>
    <row r="226" spans="1:7" ht="15" customHeight="1" x14ac:dyDescent="0.2">
      <c r="A226" s="3" t="s">
        <v>749</v>
      </c>
      <c r="B226" s="3" t="s">
        <v>724</v>
      </c>
      <c r="C226" s="3" t="s">
        <v>740</v>
      </c>
      <c r="D226" s="3"/>
      <c r="E226" s="3" t="s">
        <v>593</v>
      </c>
      <c r="F226" s="3" t="s">
        <v>727</v>
      </c>
      <c r="G226" s="3" t="s">
        <v>24</v>
      </c>
    </row>
    <row r="227" spans="1:7" ht="15" customHeight="1" x14ac:dyDescent="0.2">
      <c r="A227" s="3" t="s">
        <v>750</v>
      </c>
      <c r="B227" s="3" t="s">
        <v>724</v>
      </c>
      <c r="C227" s="3" t="s">
        <v>740</v>
      </c>
      <c r="D227" s="3"/>
      <c r="E227" s="3" t="s">
        <v>594</v>
      </c>
      <c r="F227" s="3" t="s">
        <v>729</v>
      </c>
      <c r="G227" s="3" t="s">
        <v>24</v>
      </c>
    </row>
    <row r="228" spans="1:7" ht="15" customHeight="1" x14ac:dyDescent="0.2">
      <c r="A228" s="3" t="s">
        <v>749</v>
      </c>
      <c r="B228" s="3" t="s">
        <v>724</v>
      </c>
      <c r="C228" s="3" t="s">
        <v>741</v>
      </c>
      <c r="D228" s="3"/>
      <c r="E228" s="3" t="s">
        <v>596</v>
      </c>
      <c r="F228" s="3" t="s">
        <v>727</v>
      </c>
      <c r="G228" s="3" t="s">
        <v>24</v>
      </c>
    </row>
    <row r="229" spans="1:7" ht="15" customHeight="1" x14ac:dyDescent="0.2">
      <c r="A229" s="3" t="s">
        <v>750</v>
      </c>
      <c r="B229" s="3" t="s">
        <v>724</v>
      </c>
      <c r="C229" s="3" t="s">
        <v>741</v>
      </c>
      <c r="D229" s="3"/>
      <c r="E229" s="3" t="s">
        <v>65</v>
      </c>
      <c r="F229" s="3" t="s">
        <v>729</v>
      </c>
      <c r="G229" s="3" t="s">
        <v>24</v>
      </c>
    </row>
    <row r="230" spans="1:7" ht="15" customHeight="1" x14ac:dyDescent="0.2">
      <c r="A230" s="3" t="s">
        <v>749</v>
      </c>
      <c r="B230" s="3" t="s">
        <v>748</v>
      </c>
      <c r="C230" s="3" t="s">
        <v>592</v>
      </c>
      <c r="D230" s="3"/>
      <c r="E230" s="3" t="s">
        <v>274</v>
      </c>
      <c r="F230" s="3"/>
      <c r="G230" s="3" t="s">
        <v>24</v>
      </c>
    </row>
    <row r="231" spans="1:7" ht="15" customHeight="1" x14ac:dyDescent="0.2">
      <c r="A231" s="3" t="s">
        <v>750</v>
      </c>
      <c r="B231" s="3" t="s">
        <v>748</v>
      </c>
      <c r="C231" s="3" t="s">
        <v>595</v>
      </c>
      <c r="D231" s="3"/>
      <c r="E231" s="3" t="s">
        <v>275</v>
      </c>
      <c r="F231" s="3"/>
      <c r="G231" s="3" t="s">
        <v>24</v>
      </c>
    </row>
    <row r="232" spans="1:7" ht="15" customHeight="1" x14ac:dyDescent="0.25">
      <c r="A232" s="3" t="s">
        <v>749</v>
      </c>
      <c r="B232" s="4" t="s">
        <v>591</v>
      </c>
      <c r="C232" s="3" t="s">
        <v>595</v>
      </c>
      <c r="D232" s="3"/>
      <c r="E232" s="3" t="s">
        <v>596</v>
      </c>
      <c r="F232" s="3"/>
      <c r="G232" s="3" t="s">
        <v>24</v>
      </c>
    </row>
    <row r="233" spans="1:7" ht="15" customHeight="1" x14ac:dyDescent="0.25">
      <c r="A233" s="3" t="s">
        <v>750</v>
      </c>
      <c r="B233" s="4" t="s">
        <v>591</v>
      </c>
      <c r="C233" s="3" t="s">
        <v>595</v>
      </c>
      <c r="D233" s="3"/>
      <c r="E233" s="3" t="s">
        <v>65</v>
      </c>
      <c r="F233" s="3"/>
      <c r="G233" s="3" t="s">
        <v>24</v>
      </c>
    </row>
    <row r="234" spans="1:7" ht="15" customHeight="1" x14ac:dyDescent="0.2">
      <c r="A234" s="3" t="s">
        <v>749</v>
      </c>
      <c r="B234" s="3" t="s">
        <v>748</v>
      </c>
      <c r="C234" s="3" t="s">
        <v>746</v>
      </c>
      <c r="D234" s="3"/>
      <c r="E234" s="3" t="s">
        <v>276</v>
      </c>
      <c r="F234" s="3" t="s">
        <v>277</v>
      </c>
      <c r="G234" s="3" t="s">
        <v>34</v>
      </c>
    </row>
    <row r="235" spans="1:7" ht="15" customHeight="1" x14ac:dyDescent="0.2">
      <c r="A235" s="3" t="s">
        <v>750</v>
      </c>
      <c r="B235" s="3" t="s">
        <v>748</v>
      </c>
      <c r="C235" s="3" t="s">
        <v>747</v>
      </c>
      <c r="D235" s="3"/>
      <c r="E235" s="3" t="s">
        <v>276</v>
      </c>
      <c r="F235" s="3" t="s">
        <v>278</v>
      </c>
      <c r="G235" s="3" t="s">
        <v>34</v>
      </c>
    </row>
    <row r="236" spans="1:7" ht="15" customHeight="1" x14ac:dyDescent="0.25">
      <c r="A236" s="3" t="s">
        <v>749</v>
      </c>
      <c r="B236" s="4" t="s">
        <v>591</v>
      </c>
      <c r="C236" t="s">
        <v>751</v>
      </c>
      <c r="D236" s="3"/>
      <c r="E236" s="3" t="s">
        <v>593</v>
      </c>
      <c r="F236" s="3"/>
      <c r="G236" s="3" t="s">
        <v>24</v>
      </c>
    </row>
    <row r="237" spans="1:7" ht="15" customHeight="1" x14ac:dyDescent="0.25">
      <c r="A237" s="3" t="s">
        <v>750</v>
      </c>
      <c r="B237" s="4" t="s">
        <v>591</v>
      </c>
      <c r="C237" t="s">
        <v>751</v>
      </c>
      <c r="D237" s="3"/>
      <c r="E237" s="3" t="s">
        <v>594</v>
      </c>
      <c r="F237" s="3"/>
      <c r="G237" s="3" t="s">
        <v>24</v>
      </c>
    </row>
    <row r="238" spans="1:7" ht="15" customHeight="1" x14ac:dyDescent="0.25">
      <c r="A238" s="3" t="s">
        <v>749</v>
      </c>
      <c r="B238" s="4" t="s">
        <v>62</v>
      </c>
      <c r="C238" s="3" t="s">
        <v>63</v>
      </c>
      <c r="D238" s="3"/>
      <c r="E238" s="3" t="s">
        <v>64</v>
      </c>
      <c r="F238" s="3"/>
      <c r="G238" s="3" t="s">
        <v>24</v>
      </c>
    </row>
    <row r="239" spans="1:7" ht="15" customHeight="1" x14ac:dyDescent="0.25">
      <c r="A239" s="3" t="s">
        <v>750</v>
      </c>
      <c r="B239" s="4" t="s">
        <v>62</v>
      </c>
      <c r="C239" s="3" t="s">
        <v>63</v>
      </c>
      <c r="D239" s="3"/>
      <c r="E239" s="3" t="s">
        <v>65</v>
      </c>
      <c r="F239" s="3"/>
      <c r="G239" s="3" t="s">
        <v>66</v>
      </c>
    </row>
    <row r="240" spans="1:7" ht="15" customHeight="1" x14ac:dyDescent="0.25">
      <c r="A240" s="3" t="s">
        <v>749</v>
      </c>
      <c r="B240" s="4" t="s">
        <v>67</v>
      </c>
      <c r="C240" s="3" t="s">
        <v>68</v>
      </c>
      <c r="D240" s="3"/>
      <c r="E240" s="3" t="s">
        <v>69</v>
      </c>
      <c r="F240" s="3"/>
      <c r="G240" s="3" t="s">
        <v>70</v>
      </c>
    </row>
    <row r="241" spans="1:7" ht="15" customHeight="1" x14ac:dyDescent="0.25">
      <c r="A241" s="3" t="s">
        <v>750</v>
      </c>
      <c r="B241" s="4" t="s">
        <v>67</v>
      </c>
      <c r="C241" s="3" t="s">
        <v>68</v>
      </c>
      <c r="D241" s="3"/>
      <c r="E241" s="3" t="s">
        <v>71</v>
      </c>
      <c r="F241" s="3"/>
      <c r="G241" s="3" t="s">
        <v>70</v>
      </c>
    </row>
    <row r="242" spans="1:7" ht="15" customHeight="1" x14ac:dyDescent="0.25">
      <c r="A242" s="3" t="s">
        <v>749</v>
      </c>
      <c r="B242" s="4" t="s">
        <v>67</v>
      </c>
      <c r="C242" s="3" t="s">
        <v>72</v>
      </c>
      <c r="D242" s="3" t="s">
        <v>9</v>
      </c>
      <c r="E242" s="3" t="s">
        <v>73</v>
      </c>
      <c r="F242" s="3"/>
      <c r="G242" s="3" t="s">
        <v>24</v>
      </c>
    </row>
    <row r="243" spans="1:7" ht="15" customHeight="1" x14ac:dyDescent="0.25">
      <c r="A243" s="3" t="s">
        <v>750</v>
      </c>
      <c r="B243" s="4" t="s">
        <v>67</v>
      </c>
      <c r="C243" s="3" t="s">
        <v>72</v>
      </c>
      <c r="D243" s="3" t="s">
        <v>9</v>
      </c>
      <c r="E243" s="3" t="s">
        <v>74</v>
      </c>
      <c r="F243" s="3"/>
      <c r="G243" s="3" t="s">
        <v>12</v>
      </c>
    </row>
    <row r="244" spans="1:7" ht="15" customHeight="1" x14ac:dyDescent="0.25">
      <c r="A244" s="3" t="s">
        <v>749</v>
      </c>
      <c r="B244" s="4" t="s">
        <v>67</v>
      </c>
      <c r="C244" s="3" t="s">
        <v>75</v>
      </c>
      <c r="D244" s="3" t="s">
        <v>76</v>
      </c>
      <c r="E244" s="3" t="s">
        <v>77</v>
      </c>
      <c r="F244" s="3" t="s">
        <v>78</v>
      </c>
      <c r="G244" s="3" t="s">
        <v>24</v>
      </c>
    </row>
    <row r="245" spans="1:7" ht="15" customHeight="1" x14ac:dyDescent="0.25">
      <c r="A245" s="3" t="s">
        <v>750</v>
      </c>
      <c r="B245" s="4" t="s">
        <v>67</v>
      </c>
      <c r="C245" s="3" t="s">
        <v>75</v>
      </c>
      <c r="D245" s="3" t="s">
        <v>79</v>
      </c>
      <c r="E245" s="3" t="s">
        <v>80</v>
      </c>
      <c r="F245" s="3" t="s">
        <v>81</v>
      </c>
      <c r="G245" s="3" t="s">
        <v>49</v>
      </c>
    </row>
    <row r="246" spans="1:7" ht="15" customHeight="1" x14ac:dyDescent="0.25">
      <c r="A246" s="3" t="s">
        <v>749</v>
      </c>
      <c r="B246" s="4" t="s">
        <v>67</v>
      </c>
      <c r="C246" s="3" t="s">
        <v>82</v>
      </c>
      <c r="D246" s="3" t="s">
        <v>9</v>
      </c>
      <c r="E246" s="3" t="s">
        <v>83</v>
      </c>
      <c r="F246" s="3"/>
      <c r="G246" s="3" t="s">
        <v>12</v>
      </c>
    </row>
    <row r="247" spans="1:7" ht="15" customHeight="1" x14ac:dyDescent="0.25">
      <c r="A247" s="3" t="s">
        <v>750</v>
      </c>
      <c r="B247" s="4" t="s">
        <v>67</v>
      </c>
      <c r="C247" s="3" t="s">
        <v>82</v>
      </c>
      <c r="D247" s="3" t="s">
        <v>9</v>
      </c>
      <c r="E247" s="3" t="s">
        <v>83</v>
      </c>
      <c r="F247" s="3"/>
      <c r="G247" s="3" t="s">
        <v>12</v>
      </c>
    </row>
    <row r="248" spans="1:7" ht="12.75" customHeight="1" x14ac:dyDescent="0.25">
      <c r="A248" s="3" t="s">
        <v>749</v>
      </c>
      <c r="B248" s="4" t="s">
        <v>84</v>
      </c>
      <c r="C248" s="3" t="s">
        <v>85</v>
      </c>
      <c r="D248" s="3"/>
      <c r="E248" s="3" t="s">
        <v>86</v>
      </c>
      <c r="F248" s="3"/>
      <c r="G248" s="3" t="s">
        <v>87</v>
      </c>
    </row>
    <row r="249" spans="1:7" ht="12.75" customHeight="1" x14ac:dyDescent="0.25">
      <c r="A249" s="3" t="s">
        <v>750</v>
      </c>
      <c r="B249" s="4" t="s">
        <v>84</v>
      </c>
      <c r="C249" s="3" t="s">
        <v>85</v>
      </c>
      <c r="D249" s="3"/>
      <c r="E249" s="3" t="s">
        <v>88</v>
      </c>
      <c r="F249" s="3"/>
      <c r="G249" s="3" t="s">
        <v>89</v>
      </c>
    </row>
    <row r="250" spans="1:7" ht="12.75" customHeight="1" x14ac:dyDescent="0.25">
      <c r="A250" s="3" t="s">
        <v>749</v>
      </c>
      <c r="B250" s="4" t="s">
        <v>84</v>
      </c>
      <c r="C250" s="3" t="s">
        <v>110</v>
      </c>
      <c r="D250" s="3"/>
      <c r="E250" s="3" t="s">
        <v>111</v>
      </c>
      <c r="F250" s="3"/>
      <c r="G250" s="3" t="s">
        <v>34</v>
      </c>
    </row>
    <row r="251" spans="1:7" ht="12.75" customHeight="1" x14ac:dyDescent="0.25">
      <c r="A251" s="3" t="s">
        <v>750</v>
      </c>
      <c r="B251" s="4" t="s">
        <v>84</v>
      </c>
      <c r="C251" s="3" t="s">
        <v>110</v>
      </c>
      <c r="D251" s="3"/>
      <c r="E251" s="3" t="s">
        <v>111</v>
      </c>
      <c r="F251" s="3"/>
      <c r="G251" s="3" t="s">
        <v>34</v>
      </c>
    </row>
    <row r="252" spans="1:7" ht="12.75" customHeight="1" x14ac:dyDescent="0.25">
      <c r="A252" s="3" t="s">
        <v>749</v>
      </c>
      <c r="B252" s="4" t="s">
        <v>84</v>
      </c>
      <c r="C252" s="3" t="s">
        <v>112</v>
      </c>
      <c r="D252" s="3"/>
      <c r="E252" s="3" t="s">
        <v>113</v>
      </c>
      <c r="F252" s="3"/>
      <c r="G252" s="3" t="s">
        <v>114</v>
      </c>
    </row>
    <row r="253" spans="1:7" ht="12.75" customHeight="1" x14ac:dyDescent="0.25">
      <c r="A253" s="3" t="s">
        <v>750</v>
      </c>
      <c r="B253" s="4" t="s">
        <v>84</v>
      </c>
      <c r="C253" s="3" t="s">
        <v>112</v>
      </c>
      <c r="D253" s="3"/>
      <c r="E253" s="3" t="s">
        <v>115</v>
      </c>
      <c r="F253" s="3" t="s">
        <v>116</v>
      </c>
      <c r="G253" s="3" t="s">
        <v>114</v>
      </c>
    </row>
    <row r="254" spans="1:7" ht="15" x14ac:dyDescent="0.25">
      <c r="A254" s="3" t="s">
        <v>749</v>
      </c>
      <c r="B254" s="4" t="s">
        <v>84</v>
      </c>
      <c r="C254" s="4" t="s">
        <v>117</v>
      </c>
      <c r="D254" s="3"/>
      <c r="E254" s="3" t="s">
        <v>118</v>
      </c>
      <c r="F254" s="3"/>
      <c r="G254" s="3" t="s">
        <v>34</v>
      </c>
    </row>
    <row r="255" spans="1:7" ht="15" x14ac:dyDescent="0.25">
      <c r="A255" s="3" t="s">
        <v>750</v>
      </c>
      <c r="B255" s="4" t="s">
        <v>84</v>
      </c>
      <c r="C255" s="4" t="s">
        <v>117</v>
      </c>
      <c r="D255" s="3"/>
      <c r="E255" s="3" t="s">
        <v>119</v>
      </c>
      <c r="F255" s="3"/>
      <c r="G255" s="3" t="s">
        <v>49</v>
      </c>
    </row>
    <row r="256" spans="1:7" ht="15" customHeight="1" x14ac:dyDescent="0.25">
      <c r="A256" s="3" t="s">
        <v>749</v>
      </c>
      <c r="B256" s="4" t="s">
        <v>84</v>
      </c>
      <c r="C256" s="3" t="s">
        <v>120</v>
      </c>
      <c r="D256" s="3"/>
      <c r="E256" s="3" t="s">
        <v>77</v>
      </c>
      <c r="F256" s="3"/>
      <c r="G256" s="3" t="s">
        <v>34</v>
      </c>
    </row>
    <row r="257" spans="1:7" ht="15" customHeight="1" x14ac:dyDescent="0.25">
      <c r="A257" s="3" t="s">
        <v>750</v>
      </c>
      <c r="B257" s="4" t="s">
        <v>84</v>
      </c>
      <c r="C257" s="3" t="s">
        <v>120</v>
      </c>
      <c r="D257" s="3"/>
      <c r="E257" s="3" t="s">
        <v>121</v>
      </c>
      <c r="F257" s="3"/>
      <c r="G257" s="3" t="s">
        <v>34</v>
      </c>
    </row>
    <row r="258" spans="1:7" ht="15" customHeight="1" x14ac:dyDescent="0.25">
      <c r="A258" s="3" t="s">
        <v>749</v>
      </c>
      <c r="B258" s="4" t="s">
        <v>84</v>
      </c>
      <c r="C258" s="3" t="s">
        <v>122</v>
      </c>
      <c r="D258" s="3"/>
      <c r="E258" s="3" t="s">
        <v>123</v>
      </c>
      <c r="F258" s="3"/>
      <c r="G258" s="3" t="s">
        <v>34</v>
      </c>
    </row>
    <row r="259" spans="1:7" ht="15" customHeight="1" x14ac:dyDescent="0.25">
      <c r="A259" s="3" t="s">
        <v>750</v>
      </c>
      <c r="B259" s="4" t="s">
        <v>84</v>
      </c>
      <c r="C259" s="3" t="s">
        <v>122</v>
      </c>
      <c r="D259" s="3"/>
      <c r="E259" s="3" t="s">
        <v>124</v>
      </c>
      <c r="F259" s="3"/>
      <c r="G259" s="3" t="s">
        <v>34</v>
      </c>
    </row>
    <row r="260" spans="1:7" ht="15" customHeight="1" x14ac:dyDescent="0.25">
      <c r="A260" s="3" t="s">
        <v>749</v>
      </c>
      <c r="B260" s="4" t="s">
        <v>84</v>
      </c>
      <c r="C260" s="3" t="s">
        <v>125</v>
      </c>
      <c r="D260" s="3"/>
      <c r="E260" s="3" t="s">
        <v>126</v>
      </c>
      <c r="F260" s="3"/>
      <c r="G260" s="3" t="s">
        <v>89</v>
      </c>
    </row>
    <row r="261" spans="1:7" ht="15" customHeight="1" x14ac:dyDescent="0.25">
      <c r="A261" s="3" t="s">
        <v>750</v>
      </c>
      <c r="B261" s="4" t="s">
        <v>84</v>
      </c>
      <c r="C261" s="3" t="s">
        <v>125</v>
      </c>
      <c r="D261" s="3"/>
      <c r="E261" s="3" t="s">
        <v>127</v>
      </c>
      <c r="F261" s="3"/>
      <c r="G261" s="3" t="s">
        <v>128</v>
      </c>
    </row>
    <row r="262" spans="1:7" ht="15" customHeight="1" x14ac:dyDescent="0.25">
      <c r="A262" s="3" t="s">
        <v>749</v>
      </c>
      <c r="B262" s="4" t="s">
        <v>84</v>
      </c>
      <c r="C262" s="3" t="s">
        <v>91</v>
      </c>
      <c r="D262" s="3"/>
      <c r="E262" s="3" t="s">
        <v>92</v>
      </c>
      <c r="F262" s="3"/>
      <c r="G262" s="3" t="s">
        <v>93</v>
      </c>
    </row>
    <row r="263" spans="1:7" ht="15" customHeight="1" x14ac:dyDescent="0.25">
      <c r="A263" s="3" t="s">
        <v>750</v>
      </c>
      <c r="B263" s="4" t="s">
        <v>84</v>
      </c>
      <c r="C263" s="3" t="s">
        <v>91</v>
      </c>
      <c r="D263" s="3"/>
      <c r="E263" s="3" t="s">
        <v>94</v>
      </c>
      <c r="F263" s="3"/>
      <c r="G263" s="3" t="s">
        <v>89</v>
      </c>
    </row>
    <row r="264" spans="1:7" ht="15" customHeight="1" x14ac:dyDescent="0.25">
      <c r="A264" s="3" t="s">
        <v>749</v>
      </c>
      <c r="B264" s="4" t="s">
        <v>84</v>
      </c>
      <c r="C264" s="3" t="s">
        <v>95</v>
      </c>
      <c r="D264" s="3" t="s">
        <v>9</v>
      </c>
      <c r="E264" s="3" t="s">
        <v>96</v>
      </c>
      <c r="F264" s="3"/>
      <c r="G264" s="3" t="s">
        <v>45</v>
      </c>
    </row>
    <row r="265" spans="1:7" ht="15" customHeight="1" x14ac:dyDescent="0.25">
      <c r="A265" s="3" t="s">
        <v>750</v>
      </c>
      <c r="B265" s="4" t="s">
        <v>84</v>
      </c>
      <c r="C265" s="4" t="s">
        <v>95</v>
      </c>
      <c r="D265" s="3" t="s">
        <v>9</v>
      </c>
      <c r="E265" s="1" t="s">
        <v>97</v>
      </c>
      <c r="F265" s="1"/>
      <c r="G265" s="1" t="s">
        <v>12</v>
      </c>
    </row>
    <row r="266" spans="1:7" ht="15" customHeight="1" x14ac:dyDescent="0.25">
      <c r="A266" s="3" t="s">
        <v>749</v>
      </c>
      <c r="B266" s="4" t="s">
        <v>84</v>
      </c>
      <c r="C266" s="3" t="s">
        <v>98</v>
      </c>
      <c r="D266" s="3" t="s">
        <v>9</v>
      </c>
      <c r="E266" s="3" t="s">
        <v>99</v>
      </c>
      <c r="F266" s="3"/>
      <c r="G266" s="3" t="s">
        <v>70</v>
      </c>
    </row>
    <row r="267" spans="1:7" ht="15" customHeight="1" x14ac:dyDescent="0.25">
      <c r="A267" s="3" t="s">
        <v>750</v>
      </c>
      <c r="B267" s="4" t="s">
        <v>84</v>
      </c>
      <c r="C267" s="3" t="s">
        <v>98</v>
      </c>
      <c r="D267" s="3" t="s">
        <v>9</v>
      </c>
      <c r="E267" s="3" t="s">
        <v>100</v>
      </c>
      <c r="F267" s="3"/>
      <c r="G267" s="3" t="s">
        <v>70</v>
      </c>
    </row>
    <row r="268" spans="1:7" ht="15" customHeight="1" x14ac:dyDescent="0.25">
      <c r="A268" s="3" t="s">
        <v>749</v>
      </c>
      <c r="B268" s="4" t="s">
        <v>84</v>
      </c>
      <c r="C268" s="3" t="s">
        <v>101</v>
      </c>
      <c r="D268" s="3" t="s">
        <v>9</v>
      </c>
      <c r="E268" s="3" t="s">
        <v>102</v>
      </c>
      <c r="F268" s="3"/>
      <c r="G268" s="3" t="s">
        <v>12</v>
      </c>
    </row>
    <row r="269" spans="1:7" ht="15" customHeight="1" x14ac:dyDescent="0.25">
      <c r="A269" s="3" t="s">
        <v>750</v>
      </c>
      <c r="B269" s="4" t="s">
        <v>84</v>
      </c>
      <c r="C269" s="3" t="s">
        <v>101</v>
      </c>
      <c r="D269" s="3" t="s">
        <v>9</v>
      </c>
      <c r="E269" s="3" t="s">
        <v>102</v>
      </c>
      <c r="F269" s="3"/>
      <c r="G269" s="3" t="s">
        <v>24</v>
      </c>
    </row>
    <row r="270" spans="1:7" ht="15" x14ac:dyDescent="0.25">
      <c r="A270" s="3" t="s">
        <v>749</v>
      </c>
      <c r="B270" s="4" t="s">
        <v>84</v>
      </c>
      <c r="C270" s="3" t="s">
        <v>103</v>
      </c>
      <c r="D270" s="3"/>
      <c r="E270" s="3" t="s">
        <v>104</v>
      </c>
      <c r="F270" s="3"/>
      <c r="G270" s="3" t="s">
        <v>52</v>
      </c>
    </row>
    <row r="271" spans="1:7" ht="15" x14ac:dyDescent="0.25">
      <c r="A271" s="3" t="s">
        <v>750</v>
      </c>
      <c r="B271" s="4" t="s">
        <v>84</v>
      </c>
      <c r="C271" s="3" t="s">
        <v>103</v>
      </c>
      <c r="D271" s="3"/>
      <c r="E271" s="3" t="s">
        <v>105</v>
      </c>
      <c r="F271" s="3"/>
      <c r="G271" s="3" t="s">
        <v>55</v>
      </c>
    </row>
    <row r="272" spans="1:7" ht="15" x14ac:dyDescent="0.25">
      <c r="A272" s="3" t="s">
        <v>749</v>
      </c>
      <c r="B272" s="4" t="s">
        <v>84</v>
      </c>
      <c r="C272" s="3" t="s">
        <v>106</v>
      </c>
      <c r="D272" s="3"/>
      <c r="E272" s="3" t="s">
        <v>30</v>
      </c>
      <c r="F272" s="3"/>
      <c r="G272" s="3" t="s">
        <v>24</v>
      </c>
    </row>
    <row r="273" spans="1:7" ht="15" x14ac:dyDescent="0.25">
      <c r="A273" s="3" t="s">
        <v>750</v>
      </c>
      <c r="B273" s="4" t="s">
        <v>84</v>
      </c>
      <c r="C273" s="3" t="s">
        <v>106</v>
      </c>
      <c r="D273" s="3"/>
      <c r="E273" s="3" t="s">
        <v>30</v>
      </c>
      <c r="F273" s="3"/>
      <c r="G273" s="3" t="s">
        <v>24</v>
      </c>
    </row>
    <row r="274" spans="1:7" ht="15" customHeight="1" x14ac:dyDescent="0.25">
      <c r="A274" s="3" t="s">
        <v>749</v>
      </c>
      <c r="B274" s="4" t="s">
        <v>84</v>
      </c>
      <c r="C274" s="3" t="s">
        <v>107</v>
      </c>
      <c r="D274" s="3" t="s">
        <v>9</v>
      </c>
      <c r="E274" s="3" t="s">
        <v>47</v>
      </c>
      <c r="F274" s="3"/>
      <c r="G274" s="3" t="s">
        <v>34</v>
      </c>
    </row>
    <row r="275" spans="1:7" ht="15" customHeight="1" x14ac:dyDescent="0.25">
      <c r="A275" s="3" t="s">
        <v>750</v>
      </c>
      <c r="B275" s="4" t="s">
        <v>84</v>
      </c>
      <c r="C275" s="3" t="s">
        <v>107</v>
      </c>
      <c r="D275" s="3"/>
      <c r="E275" s="3" t="s">
        <v>48</v>
      </c>
      <c r="F275" s="3"/>
      <c r="G275" s="3" t="s">
        <v>49</v>
      </c>
    </row>
    <row r="276" spans="1:7" ht="12.75" customHeight="1" x14ac:dyDescent="0.25">
      <c r="A276" s="3" t="s">
        <v>749</v>
      </c>
      <c r="B276" s="4" t="s">
        <v>84</v>
      </c>
      <c r="C276" s="3" t="s">
        <v>108</v>
      </c>
      <c r="D276" s="3"/>
      <c r="E276" s="3" t="s">
        <v>109</v>
      </c>
      <c r="F276" s="3"/>
      <c r="G276" s="3" t="s">
        <v>24</v>
      </c>
    </row>
    <row r="277" spans="1:7" ht="12.75" customHeight="1" x14ac:dyDescent="0.25">
      <c r="A277" s="3" t="s">
        <v>750</v>
      </c>
      <c r="B277" s="4" t="s">
        <v>84</v>
      </c>
      <c r="C277" s="3" t="s">
        <v>108</v>
      </c>
      <c r="D277" s="3"/>
      <c r="E277" s="3" t="s">
        <v>109</v>
      </c>
      <c r="F277" s="3"/>
      <c r="G277" s="3" t="s">
        <v>24</v>
      </c>
    </row>
    <row r="278" spans="1:7" ht="12.75" customHeight="1" x14ac:dyDescent="0.25">
      <c r="A278" s="3" t="s">
        <v>749</v>
      </c>
      <c r="B278" s="4" t="s">
        <v>129</v>
      </c>
      <c r="C278" s="3" t="s">
        <v>130</v>
      </c>
      <c r="D278" s="3"/>
      <c r="E278" s="3" t="s">
        <v>131</v>
      </c>
      <c r="F278" s="3"/>
      <c r="G278" s="3" t="s">
        <v>89</v>
      </c>
    </row>
    <row r="279" spans="1:7" ht="12.75" customHeight="1" x14ac:dyDescent="0.25">
      <c r="A279" s="3" t="s">
        <v>750</v>
      </c>
      <c r="B279" s="4" t="s">
        <v>129</v>
      </c>
      <c r="C279" s="3" t="s">
        <v>130</v>
      </c>
      <c r="D279" s="3"/>
      <c r="E279" s="3" t="s">
        <v>132</v>
      </c>
      <c r="F279" s="3"/>
      <c r="G279" s="3" t="s">
        <v>128</v>
      </c>
    </row>
    <row r="280" spans="1:7" ht="12.75" customHeight="1" x14ac:dyDescent="0.25">
      <c r="A280" s="3" t="s">
        <v>749</v>
      </c>
      <c r="B280" s="4" t="s">
        <v>129</v>
      </c>
      <c r="C280" s="3" t="s">
        <v>133</v>
      </c>
      <c r="D280" s="3"/>
      <c r="E280" s="3" t="s">
        <v>134</v>
      </c>
      <c r="F280" s="3"/>
      <c r="G280" s="3" t="s">
        <v>89</v>
      </c>
    </row>
    <row r="281" spans="1:7" ht="12.75" customHeight="1" x14ac:dyDescent="0.25">
      <c r="A281" s="3" t="s">
        <v>750</v>
      </c>
      <c r="B281" s="4" t="s">
        <v>129</v>
      </c>
      <c r="C281" s="3" t="s">
        <v>133</v>
      </c>
      <c r="D281" s="3"/>
      <c r="E281" s="3" t="s">
        <v>134</v>
      </c>
      <c r="F281" s="3"/>
      <c r="G281" s="3" t="s">
        <v>128</v>
      </c>
    </row>
    <row r="282" spans="1:7" ht="12.75" customHeight="1" x14ac:dyDescent="0.25">
      <c r="A282" s="3" t="s">
        <v>749</v>
      </c>
      <c r="B282" s="4" t="s">
        <v>135</v>
      </c>
      <c r="C282" s="3" t="s">
        <v>136</v>
      </c>
      <c r="D282" s="3"/>
      <c r="E282" s="3" t="s">
        <v>137</v>
      </c>
      <c r="F282" s="3"/>
      <c r="G282" s="3" t="s">
        <v>90</v>
      </c>
    </row>
    <row r="283" spans="1:7" ht="12.75" customHeight="1" x14ac:dyDescent="0.25">
      <c r="A283" s="3" t="s">
        <v>750</v>
      </c>
      <c r="B283" s="4" t="s">
        <v>135</v>
      </c>
      <c r="C283" s="3" t="s">
        <v>136</v>
      </c>
      <c r="D283" s="3"/>
      <c r="E283" s="3" t="s">
        <v>138</v>
      </c>
      <c r="F283" s="3"/>
      <c r="G283" s="3" t="s">
        <v>52</v>
      </c>
    </row>
    <row r="284" spans="1:7" ht="12.75" customHeight="1" x14ac:dyDescent="0.25">
      <c r="A284" s="3" t="s">
        <v>749</v>
      </c>
      <c r="B284" s="4" t="s">
        <v>135</v>
      </c>
      <c r="C284" s="3" t="s">
        <v>140</v>
      </c>
      <c r="D284" s="3"/>
      <c r="E284" s="3" t="s">
        <v>30</v>
      </c>
      <c r="F284" s="3"/>
      <c r="G284" s="3" t="s">
        <v>24</v>
      </c>
    </row>
    <row r="285" spans="1:7" ht="12.75" customHeight="1" x14ac:dyDescent="0.25">
      <c r="A285" s="3" t="s">
        <v>750</v>
      </c>
      <c r="B285" s="4" t="s">
        <v>135</v>
      </c>
      <c r="C285" s="3" t="s">
        <v>140</v>
      </c>
      <c r="D285" s="3"/>
      <c r="E285" s="3" t="s">
        <v>30</v>
      </c>
      <c r="F285" s="3"/>
      <c r="G285" s="3" t="s">
        <v>24</v>
      </c>
    </row>
    <row r="286" spans="1:7" ht="12.75" customHeight="1" x14ac:dyDescent="0.25">
      <c r="A286" s="3" t="s">
        <v>749</v>
      </c>
      <c r="B286" s="4" t="s">
        <v>135</v>
      </c>
      <c r="C286" s="3" t="s">
        <v>141</v>
      </c>
      <c r="D286" s="3"/>
      <c r="E286" s="3" t="s">
        <v>142</v>
      </c>
      <c r="F286" s="3"/>
      <c r="G286" s="3" t="s">
        <v>24</v>
      </c>
    </row>
    <row r="287" spans="1:7" ht="12.75" customHeight="1" x14ac:dyDescent="0.25">
      <c r="A287" s="3" t="s">
        <v>750</v>
      </c>
      <c r="B287" s="4" t="s">
        <v>135</v>
      </c>
      <c r="C287" s="3" t="s">
        <v>141</v>
      </c>
      <c r="D287" s="3" t="s">
        <v>9</v>
      </c>
      <c r="E287" s="3" t="s">
        <v>143</v>
      </c>
      <c r="F287" s="3"/>
      <c r="G287" s="3" t="s">
        <v>12</v>
      </c>
    </row>
    <row r="288" spans="1:7" ht="12.75" customHeight="1" x14ac:dyDescent="0.25">
      <c r="A288" s="3" t="s">
        <v>749</v>
      </c>
      <c r="B288" s="4" t="s">
        <v>135</v>
      </c>
      <c r="C288" s="3" t="s">
        <v>144</v>
      </c>
      <c r="D288" s="3"/>
      <c r="E288" s="3" t="s">
        <v>47</v>
      </c>
      <c r="F288" s="3"/>
      <c r="G288" s="3" t="s">
        <v>34</v>
      </c>
    </row>
    <row r="289" spans="1:7" ht="12.75" customHeight="1" x14ac:dyDescent="0.25">
      <c r="A289" s="3" t="s">
        <v>750</v>
      </c>
      <c r="B289" s="4" t="s">
        <v>135</v>
      </c>
      <c r="C289" s="3" t="s">
        <v>144</v>
      </c>
      <c r="D289" s="3"/>
      <c r="E289" s="3" t="s">
        <v>48</v>
      </c>
      <c r="F289" s="3"/>
      <c r="G289" s="3" t="s">
        <v>49</v>
      </c>
    </row>
    <row r="290" spans="1:7" ht="12.75" customHeight="1" x14ac:dyDescent="0.25">
      <c r="A290" s="3" t="s">
        <v>749</v>
      </c>
      <c r="B290" s="4" t="s">
        <v>145</v>
      </c>
      <c r="C290" s="3" t="s">
        <v>146</v>
      </c>
      <c r="D290" s="3"/>
      <c r="E290" s="3" t="s">
        <v>147</v>
      </c>
      <c r="F290" s="3"/>
      <c r="G290" s="3" t="s">
        <v>24</v>
      </c>
    </row>
    <row r="291" spans="1:7" ht="12.75" customHeight="1" x14ac:dyDescent="0.25">
      <c r="A291" s="3" t="s">
        <v>750</v>
      </c>
      <c r="B291" s="4" t="s">
        <v>145</v>
      </c>
      <c r="C291" s="3" t="s">
        <v>146</v>
      </c>
      <c r="D291" s="3"/>
      <c r="E291" s="3" t="s">
        <v>148</v>
      </c>
      <c r="F291" s="3"/>
      <c r="G291" s="3" t="s">
        <v>66</v>
      </c>
    </row>
    <row r="292" spans="1:7" ht="12.75" customHeight="1" x14ac:dyDescent="0.25">
      <c r="A292" s="3" t="s">
        <v>749</v>
      </c>
      <c r="B292" s="4" t="s">
        <v>149</v>
      </c>
      <c r="C292" s="3" t="s">
        <v>150</v>
      </c>
      <c r="D292" s="3"/>
      <c r="E292" s="3" t="s">
        <v>147</v>
      </c>
      <c r="F292" s="3"/>
      <c r="G292" s="3" t="s">
        <v>24</v>
      </c>
    </row>
    <row r="293" spans="1:7" ht="12.75" customHeight="1" x14ac:dyDescent="0.25">
      <c r="A293" s="3" t="s">
        <v>750</v>
      </c>
      <c r="B293" s="4" t="s">
        <v>149</v>
      </c>
      <c r="C293" s="3" t="s">
        <v>150</v>
      </c>
      <c r="D293" s="3"/>
      <c r="E293" s="3" t="s">
        <v>148</v>
      </c>
      <c r="F293" s="3"/>
      <c r="G293" s="3" t="s">
        <v>66</v>
      </c>
    </row>
    <row r="294" spans="1:7" ht="12.75" customHeight="1" x14ac:dyDescent="0.25">
      <c r="A294" s="3" t="s">
        <v>749</v>
      </c>
      <c r="B294" s="4" t="s">
        <v>151</v>
      </c>
      <c r="C294" s="4" t="s">
        <v>152</v>
      </c>
      <c r="D294" s="3"/>
      <c r="E294" s="3" t="s">
        <v>57</v>
      </c>
      <c r="F294" s="3" t="s">
        <v>153</v>
      </c>
      <c r="G294" s="3" t="s">
        <v>24</v>
      </c>
    </row>
    <row r="295" spans="1:7" ht="12.75" customHeight="1" x14ac:dyDescent="0.25">
      <c r="A295" s="3" t="s">
        <v>750</v>
      </c>
      <c r="B295" s="4" t="s">
        <v>151</v>
      </c>
      <c r="C295" s="4" t="s">
        <v>152</v>
      </c>
      <c r="D295" s="3"/>
      <c r="E295" s="3" t="s">
        <v>59</v>
      </c>
      <c r="F295" s="3" t="s">
        <v>153</v>
      </c>
      <c r="G295" s="3" t="s">
        <v>49</v>
      </c>
    </row>
    <row r="296" spans="1:7" x14ac:dyDescent="0.2">
      <c r="A296" s="3" t="s">
        <v>749</v>
      </c>
      <c r="B296" s="3" t="s">
        <v>154</v>
      </c>
      <c r="C296" s="3" t="s">
        <v>155</v>
      </c>
      <c r="D296" s="3" t="s">
        <v>9</v>
      </c>
      <c r="E296" s="3" t="s">
        <v>156</v>
      </c>
      <c r="F296" s="3" t="s">
        <v>157</v>
      </c>
      <c r="G296" s="3" t="s">
        <v>45</v>
      </c>
    </row>
    <row r="297" spans="1:7" x14ac:dyDescent="0.2">
      <c r="A297" s="3" t="s">
        <v>750</v>
      </c>
      <c r="B297" s="3" t="s">
        <v>154</v>
      </c>
      <c r="C297" s="3" t="s">
        <v>155</v>
      </c>
      <c r="D297" s="3" t="s">
        <v>9</v>
      </c>
      <c r="E297" s="3" t="s">
        <v>158</v>
      </c>
      <c r="F297" s="3" t="s">
        <v>159</v>
      </c>
      <c r="G297" s="3" t="s">
        <v>45</v>
      </c>
    </row>
    <row r="298" spans="1:7" x14ac:dyDescent="0.2">
      <c r="A298" s="3" t="s">
        <v>749</v>
      </c>
      <c r="B298" s="3" t="s">
        <v>154</v>
      </c>
      <c r="C298" s="3" t="s">
        <v>185</v>
      </c>
      <c r="D298" s="3"/>
      <c r="E298" s="3" t="s">
        <v>186</v>
      </c>
      <c r="F298" s="3"/>
      <c r="G298" s="3" t="s">
        <v>24</v>
      </c>
    </row>
    <row r="299" spans="1:7" x14ac:dyDescent="0.2">
      <c r="A299" s="3" t="s">
        <v>750</v>
      </c>
      <c r="B299" s="3" t="s">
        <v>154</v>
      </c>
      <c r="C299" s="3" t="s">
        <v>185</v>
      </c>
      <c r="D299" s="3"/>
      <c r="E299" s="3" t="s">
        <v>187</v>
      </c>
      <c r="F299" s="3"/>
      <c r="G299" s="3" t="s">
        <v>128</v>
      </c>
    </row>
    <row r="300" spans="1:7" x14ac:dyDescent="0.2">
      <c r="A300" s="3" t="s">
        <v>749</v>
      </c>
      <c r="B300" s="3" t="s">
        <v>154</v>
      </c>
      <c r="C300" s="3" t="s">
        <v>188</v>
      </c>
      <c r="D300" s="3"/>
      <c r="E300" s="3" t="s">
        <v>189</v>
      </c>
      <c r="F300" s="3"/>
      <c r="G300" s="3" t="s">
        <v>89</v>
      </c>
    </row>
    <row r="301" spans="1:7" x14ac:dyDescent="0.2">
      <c r="A301" s="3" t="s">
        <v>750</v>
      </c>
      <c r="B301" s="3" t="s">
        <v>154</v>
      </c>
      <c r="C301" s="3" t="s">
        <v>188</v>
      </c>
      <c r="D301" s="3"/>
      <c r="E301" s="3" t="s">
        <v>189</v>
      </c>
      <c r="F301" s="3"/>
      <c r="G301" s="3" t="s">
        <v>128</v>
      </c>
    </row>
    <row r="302" spans="1:7" x14ac:dyDescent="0.2">
      <c r="A302" s="3" t="s">
        <v>749</v>
      </c>
      <c r="B302" s="3" t="s">
        <v>154</v>
      </c>
      <c r="C302" s="3" t="s">
        <v>160</v>
      </c>
      <c r="D302" s="3"/>
      <c r="E302" s="3" t="s">
        <v>161</v>
      </c>
      <c r="F302" s="3" t="s">
        <v>23</v>
      </c>
      <c r="G302" s="3" t="s">
        <v>24</v>
      </c>
    </row>
    <row r="303" spans="1:7" x14ac:dyDescent="0.2">
      <c r="A303" s="3" t="s">
        <v>750</v>
      </c>
      <c r="B303" s="3" t="s">
        <v>154</v>
      </c>
      <c r="C303" s="3" t="s">
        <v>160</v>
      </c>
      <c r="D303" s="3" t="s">
        <v>9</v>
      </c>
      <c r="E303" s="3" t="s">
        <v>143</v>
      </c>
      <c r="F303" s="3" t="s">
        <v>162</v>
      </c>
      <c r="G303" s="3" t="s">
        <v>12</v>
      </c>
    </row>
    <row r="304" spans="1:7" x14ac:dyDescent="0.2">
      <c r="A304" s="3" t="s">
        <v>749</v>
      </c>
      <c r="B304" s="3" t="s">
        <v>154</v>
      </c>
      <c r="C304" s="3" t="s">
        <v>163</v>
      </c>
      <c r="D304" s="3"/>
      <c r="E304" s="3" t="s">
        <v>164</v>
      </c>
      <c r="F304" s="3"/>
      <c r="G304" s="3"/>
    </row>
    <row r="305" spans="1:7" x14ac:dyDescent="0.2">
      <c r="A305" s="3" t="s">
        <v>750</v>
      </c>
      <c r="B305" s="3" t="s">
        <v>154</v>
      </c>
      <c r="C305" s="3" t="s">
        <v>163</v>
      </c>
      <c r="D305" s="3"/>
      <c r="E305" s="3" t="s">
        <v>165</v>
      </c>
      <c r="F305" s="3"/>
      <c r="G305" s="3" t="s">
        <v>166</v>
      </c>
    </row>
    <row r="306" spans="1:7" x14ac:dyDescent="0.2">
      <c r="A306" s="3" t="s">
        <v>749</v>
      </c>
      <c r="B306" s="3" t="s">
        <v>154</v>
      </c>
      <c r="C306" s="3" t="s">
        <v>168</v>
      </c>
      <c r="D306" s="3"/>
      <c r="E306" s="3" t="s">
        <v>169</v>
      </c>
      <c r="F306" s="3"/>
      <c r="G306" s="3"/>
    </row>
    <row r="307" spans="1:7" x14ac:dyDescent="0.2">
      <c r="A307" s="3" t="s">
        <v>750</v>
      </c>
      <c r="B307" s="3" t="s">
        <v>154</v>
      </c>
      <c r="C307" s="3" t="s">
        <v>168</v>
      </c>
      <c r="D307" s="3"/>
      <c r="E307" s="3" t="s">
        <v>169</v>
      </c>
      <c r="F307" s="3"/>
      <c r="G307" s="3" t="s">
        <v>166</v>
      </c>
    </row>
    <row r="308" spans="1:7" x14ac:dyDescent="0.2">
      <c r="A308" s="3" t="s">
        <v>749</v>
      </c>
      <c r="B308" s="3" t="s">
        <v>154</v>
      </c>
      <c r="C308" s="3" t="s">
        <v>171</v>
      </c>
      <c r="D308" s="3"/>
      <c r="E308" s="3" t="s">
        <v>172</v>
      </c>
      <c r="F308" s="3"/>
      <c r="G308" s="3"/>
    </row>
    <row r="309" spans="1:7" x14ac:dyDescent="0.2">
      <c r="A309" s="3" t="s">
        <v>750</v>
      </c>
      <c r="B309" s="3" t="s">
        <v>154</v>
      </c>
      <c r="C309" s="3" t="s">
        <v>171</v>
      </c>
      <c r="D309" s="3"/>
      <c r="E309" s="3" t="s">
        <v>172</v>
      </c>
      <c r="F309" s="3"/>
      <c r="G309" s="3" t="s">
        <v>90</v>
      </c>
    </row>
    <row r="310" spans="1:7" ht="12.75" customHeight="1" x14ac:dyDescent="0.2">
      <c r="A310" s="3" t="s">
        <v>749</v>
      </c>
      <c r="B310" s="3" t="s">
        <v>154</v>
      </c>
      <c r="C310" s="3" t="s">
        <v>174</v>
      </c>
      <c r="D310" s="3"/>
      <c r="E310" s="3" t="s">
        <v>175</v>
      </c>
      <c r="F310" s="3"/>
      <c r="G310" s="3"/>
    </row>
    <row r="311" spans="1:7" ht="12.75" customHeight="1" x14ac:dyDescent="0.2">
      <c r="A311" s="3" t="s">
        <v>750</v>
      </c>
      <c r="B311" s="3" t="s">
        <v>154</v>
      </c>
      <c r="C311" s="3" t="s">
        <v>174</v>
      </c>
      <c r="D311" s="3"/>
      <c r="E311" s="3" t="s">
        <v>175</v>
      </c>
      <c r="F311" s="3"/>
      <c r="G311" s="3" t="s">
        <v>128</v>
      </c>
    </row>
    <row r="312" spans="1:7" ht="12.75" customHeight="1" x14ac:dyDescent="0.2">
      <c r="A312" s="3" t="s">
        <v>749</v>
      </c>
      <c r="B312" s="3" t="s">
        <v>154</v>
      </c>
      <c r="C312" s="3" t="s">
        <v>176</v>
      </c>
      <c r="D312" s="3"/>
      <c r="E312" s="3" t="s">
        <v>131</v>
      </c>
      <c r="F312" s="3"/>
      <c r="G312" s="3"/>
    </row>
    <row r="313" spans="1:7" ht="12.75" customHeight="1" x14ac:dyDescent="0.2">
      <c r="A313" s="3" t="s">
        <v>750</v>
      </c>
      <c r="B313" s="3" t="s">
        <v>154</v>
      </c>
      <c r="C313" s="3" t="s">
        <v>176</v>
      </c>
      <c r="D313" s="3"/>
      <c r="E313" s="3" t="s">
        <v>177</v>
      </c>
      <c r="F313" s="3"/>
      <c r="G313" s="3" t="s">
        <v>128</v>
      </c>
    </row>
    <row r="314" spans="1:7" ht="12.75" customHeight="1" x14ac:dyDescent="0.2">
      <c r="A314" s="3" t="s">
        <v>749</v>
      </c>
      <c r="B314" s="3" t="s">
        <v>154</v>
      </c>
      <c r="C314" s="3" t="s">
        <v>178</v>
      </c>
      <c r="D314" s="3"/>
      <c r="E314" s="3" t="s">
        <v>179</v>
      </c>
      <c r="F314" s="3"/>
      <c r="G314" s="3" t="s">
        <v>24</v>
      </c>
    </row>
    <row r="315" spans="1:7" ht="12.75" customHeight="1" x14ac:dyDescent="0.2">
      <c r="A315" s="3" t="s">
        <v>750</v>
      </c>
      <c r="B315" s="3" t="s">
        <v>154</v>
      </c>
      <c r="C315" s="3" t="s">
        <v>178</v>
      </c>
      <c r="D315" s="3"/>
      <c r="E315" s="3" t="s">
        <v>180</v>
      </c>
      <c r="F315" s="3"/>
      <c r="G315" s="3" t="s">
        <v>24</v>
      </c>
    </row>
    <row r="316" spans="1:7" x14ac:dyDescent="0.2">
      <c r="A316" s="3" t="s">
        <v>749</v>
      </c>
      <c r="B316" s="3" t="s">
        <v>154</v>
      </c>
      <c r="C316" s="3" t="s">
        <v>178</v>
      </c>
      <c r="D316" s="3"/>
      <c r="E316" s="3" t="s">
        <v>179</v>
      </c>
      <c r="F316" s="3"/>
      <c r="G316" s="3" t="s">
        <v>24</v>
      </c>
    </row>
    <row r="317" spans="1:7" x14ac:dyDescent="0.2">
      <c r="A317" s="3" t="s">
        <v>750</v>
      </c>
      <c r="B317" s="3" t="s">
        <v>154</v>
      </c>
      <c r="C317" s="3" t="s">
        <v>178</v>
      </c>
      <c r="D317" s="3"/>
      <c r="E317" s="3" t="s">
        <v>182</v>
      </c>
      <c r="F317" s="3"/>
      <c r="G317" s="3" t="s">
        <v>24</v>
      </c>
    </row>
    <row r="318" spans="1:7" x14ac:dyDescent="0.2">
      <c r="A318" s="3" t="s">
        <v>749</v>
      </c>
      <c r="B318" s="3" t="s">
        <v>154</v>
      </c>
      <c r="C318" s="3" t="s">
        <v>183</v>
      </c>
      <c r="D318" s="3"/>
      <c r="E318" s="3" t="s">
        <v>184</v>
      </c>
      <c r="F318" s="3"/>
      <c r="G318" s="3"/>
    </row>
    <row r="319" spans="1:7" x14ac:dyDescent="0.2">
      <c r="A319" s="3" t="s">
        <v>750</v>
      </c>
      <c r="B319" s="3" t="s">
        <v>154</v>
      </c>
      <c r="C319" s="3" t="s">
        <v>183</v>
      </c>
      <c r="D319" s="3"/>
      <c r="E319" s="3" t="s">
        <v>184</v>
      </c>
      <c r="F319" s="3"/>
      <c r="G319" s="3" t="s">
        <v>128</v>
      </c>
    </row>
    <row r="320" spans="1:7" ht="14.25" customHeight="1" x14ac:dyDescent="0.25">
      <c r="A320" s="3" t="s">
        <v>749</v>
      </c>
      <c r="B320" s="4" t="s">
        <v>190</v>
      </c>
      <c r="C320" s="3" t="s">
        <v>191</v>
      </c>
      <c r="D320" s="3"/>
      <c r="E320" s="3" t="s">
        <v>192</v>
      </c>
      <c r="F320" s="3" t="s">
        <v>193</v>
      </c>
      <c r="G320" s="3" t="s">
        <v>24</v>
      </c>
    </row>
    <row r="321" spans="1:7" ht="14.25" customHeight="1" x14ac:dyDescent="0.25">
      <c r="A321" s="3" t="s">
        <v>750</v>
      </c>
      <c r="B321" s="4" t="s">
        <v>190</v>
      </c>
      <c r="C321" s="3" t="s">
        <v>191</v>
      </c>
      <c r="D321" s="3" t="s">
        <v>194</v>
      </c>
      <c r="E321" s="3" t="s">
        <v>195</v>
      </c>
      <c r="F321" s="3" t="s">
        <v>196</v>
      </c>
      <c r="G321" s="3" t="s">
        <v>197</v>
      </c>
    </row>
    <row r="322" spans="1:7" ht="14.25" customHeight="1" x14ac:dyDescent="0.25">
      <c r="A322" s="3" t="s">
        <v>749</v>
      </c>
      <c r="B322" s="4" t="s">
        <v>190</v>
      </c>
      <c r="C322" s="3" t="s">
        <v>200</v>
      </c>
      <c r="D322" s="3"/>
      <c r="E322" s="3" t="s">
        <v>201</v>
      </c>
      <c r="F322" s="3" t="s">
        <v>202</v>
      </c>
      <c r="G322" s="3" t="s">
        <v>34</v>
      </c>
    </row>
    <row r="323" spans="1:7" ht="14.25" customHeight="1" x14ac:dyDescent="0.25">
      <c r="A323" s="3" t="s">
        <v>750</v>
      </c>
      <c r="B323" s="4" t="s">
        <v>190</v>
      </c>
      <c r="C323" s="3" t="s">
        <v>200</v>
      </c>
      <c r="D323" s="3"/>
      <c r="E323" s="3" t="s">
        <v>203</v>
      </c>
      <c r="F323" s="3" t="s">
        <v>204</v>
      </c>
      <c r="G323" s="3" t="s">
        <v>34</v>
      </c>
    </row>
    <row r="324" spans="1:7" ht="14.25" customHeight="1" x14ac:dyDescent="0.25">
      <c r="A324" s="3" t="s">
        <v>749</v>
      </c>
      <c r="B324" s="4" t="s">
        <v>190</v>
      </c>
      <c r="C324" s="3" t="s">
        <v>200</v>
      </c>
      <c r="D324" s="3"/>
      <c r="E324" s="3" t="s">
        <v>201</v>
      </c>
      <c r="F324" s="3" t="s">
        <v>205</v>
      </c>
      <c r="G324" s="3" t="s">
        <v>34</v>
      </c>
    </row>
    <row r="325" spans="1:7" ht="14.25" customHeight="1" x14ac:dyDescent="0.25">
      <c r="A325" s="3" t="s">
        <v>750</v>
      </c>
      <c r="B325" s="4" t="s">
        <v>190</v>
      </c>
      <c r="C325" s="3" t="s">
        <v>200</v>
      </c>
      <c r="D325" s="3" t="s">
        <v>206</v>
      </c>
      <c r="E325" s="3" t="s">
        <v>203</v>
      </c>
      <c r="F325" s="3" t="s">
        <v>207</v>
      </c>
      <c r="G325" s="3" t="s">
        <v>34</v>
      </c>
    </row>
    <row r="326" spans="1:7" ht="12.75" customHeight="1" x14ac:dyDescent="0.25">
      <c r="A326" s="3" t="s">
        <v>749</v>
      </c>
      <c r="B326" s="4" t="s">
        <v>190</v>
      </c>
      <c r="C326" s="3" t="s">
        <v>208</v>
      </c>
      <c r="D326" s="3" t="s">
        <v>9</v>
      </c>
      <c r="E326" s="3" t="s">
        <v>209</v>
      </c>
      <c r="F326" s="3"/>
      <c r="G326" s="3" t="s">
        <v>70</v>
      </c>
    </row>
    <row r="327" spans="1:7" ht="12.75" customHeight="1" x14ac:dyDescent="0.25">
      <c r="A327" s="3" t="s">
        <v>750</v>
      </c>
      <c r="B327" s="4" t="s">
        <v>190</v>
      </c>
      <c r="C327" s="3" t="s">
        <v>208</v>
      </c>
      <c r="D327" s="3"/>
      <c r="E327" s="3" t="s">
        <v>210</v>
      </c>
      <c r="F327" s="3"/>
      <c r="G327" s="3" t="s">
        <v>70</v>
      </c>
    </row>
    <row r="328" spans="1:7" ht="12.75" customHeight="1" x14ac:dyDescent="0.25">
      <c r="A328" s="3" t="s">
        <v>749</v>
      </c>
      <c r="B328" s="4" t="s">
        <v>190</v>
      </c>
      <c r="C328" s="3" t="s">
        <v>208</v>
      </c>
      <c r="D328" s="3" t="s">
        <v>9</v>
      </c>
      <c r="E328" s="3" t="s">
        <v>211</v>
      </c>
      <c r="F328" s="3" t="s">
        <v>212</v>
      </c>
      <c r="G328" s="3" t="s">
        <v>70</v>
      </c>
    </row>
    <row r="329" spans="1:7" ht="12.75" customHeight="1" x14ac:dyDescent="0.25">
      <c r="A329" s="3" t="s">
        <v>750</v>
      </c>
      <c r="B329" s="4" t="s">
        <v>190</v>
      </c>
      <c r="C329" s="3" t="s">
        <v>208</v>
      </c>
      <c r="D329" s="3" t="s">
        <v>9</v>
      </c>
      <c r="E329" s="3" t="s">
        <v>213</v>
      </c>
      <c r="F329" s="3"/>
      <c r="G329" s="3" t="s">
        <v>12</v>
      </c>
    </row>
    <row r="330" spans="1:7" ht="12.75" customHeight="1" x14ac:dyDescent="0.25">
      <c r="A330" s="3" t="s">
        <v>749</v>
      </c>
      <c r="B330" s="4" t="s">
        <v>190</v>
      </c>
      <c r="C330" s="3" t="s">
        <v>214</v>
      </c>
      <c r="D330" s="3"/>
      <c r="E330" s="3" t="s">
        <v>215</v>
      </c>
      <c r="F330" s="3" t="s">
        <v>216</v>
      </c>
      <c r="G330" s="3" t="s">
        <v>34</v>
      </c>
    </row>
    <row r="331" spans="1:7" ht="12.75" customHeight="1" x14ac:dyDescent="0.25">
      <c r="A331" s="3" t="s">
        <v>750</v>
      </c>
      <c r="B331" s="4" t="s">
        <v>190</v>
      </c>
      <c r="C331" s="3" t="s">
        <v>214</v>
      </c>
      <c r="D331" s="3"/>
      <c r="E331" s="3" t="s">
        <v>217</v>
      </c>
      <c r="F331" s="3" t="s">
        <v>218</v>
      </c>
      <c r="G331" s="3" t="s">
        <v>34</v>
      </c>
    </row>
    <row r="332" spans="1:7" ht="15" customHeight="1" x14ac:dyDescent="0.25">
      <c r="A332" s="3" t="s">
        <v>749</v>
      </c>
      <c r="B332" s="4" t="s">
        <v>190</v>
      </c>
      <c r="C332" s="3" t="s">
        <v>219</v>
      </c>
      <c r="D332" s="3" t="s">
        <v>9</v>
      </c>
      <c r="E332" s="3" t="s">
        <v>220</v>
      </c>
      <c r="F332" s="3"/>
      <c r="G332" s="3" t="s">
        <v>45</v>
      </c>
    </row>
    <row r="333" spans="1:7" ht="15" customHeight="1" x14ac:dyDescent="0.25">
      <c r="A333" s="3" t="s">
        <v>750</v>
      </c>
      <c r="B333" s="4" t="s">
        <v>190</v>
      </c>
      <c r="C333" s="3" t="s">
        <v>219</v>
      </c>
      <c r="D333" s="3" t="s">
        <v>9</v>
      </c>
      <c r="E333" s="3" t="s">
        <v>132</v>
      </c>
      <c r="F333" s="3"/>
      <c r="G333" s="3" t="s">
        <v>128</v>
      </c>
    </row>
    <row r="334" spans="1:7" ht="12.75" customHeight="1" x14ac:dyDescent="0.25">
      <c r="A334" s="3" t="s">
        <v>749</v>
      </c>
      <c r="B334" s="4" t="s">
        <v>221</v>
      </c>
      <c r="C334" s="3" t="s">
        <v>222</v>
      </c>
      <c r="D334" s="3"/>
      <c r="E334" s="3" t="s">
        <v>223</v>
      </c>
      <c r="F334" s="3"/>
      <c r="G334" s="3" t="s">
        <v>24</v>
      </c>
    </row>
    <row r="335" spans="1:7" ht="12.75" customHeight="1" x14ac:dyDescent="0.25">
      <c r="A335" s="3" t="s">
        <v>750</v>
      </c>
      <c r="B335" s="4" t="s">
        <v>221</v>
      </c>
      <c r="C335" s="3" t="s">
        <v>222</v>
      </c>
      <c r="D335" s="3"/>
      <c r="E335" s="3" t="s">
        <v>223</v>
      </c>
      <c r="F335" s="3"/>
      <c r="G335" s="3" t="s">
        <v>24</v>
      </c>
    </row>
    <row r="336" spans="1:7" ht="12.75" customHeight="1" x14ac:dyDescent="0.25">
      <c r="A336" s="3" t="s">
        <v>749</v>
      </c>
      <c r="B336" s="4" t="s">
        <v>221</v>
      </c>
      <c r="C336" s="3" t="s">
        <v>224</v>
      </c>
      <c r="D336" s="3"/>
      <c r="E336" s="3" t="s">
        <v>225</v>
      </c>
      <c r="F336" s="3"/>
      <c r="G336" s="3" t="s">
        <v>24</v>
      </c>
    </row>
    <row r="337" spans="1:7" ht="12.75" customHeight="1" x14ac:dyDescent="0.25">
      <c r="A337" s="3" t="s">
        <v>750</v>
      </c>
      <c r="B337" s="4" t="s">
        <v>221</v>
      </c>
      <c r="C337" s="3" t="s">
        <v>224</v>
      </c>
      <c r="D337" s="3"/>
      <c r="E337" s="3" t="s">
        <v>225</v>
      </c>
      <c r="F337" s="3"/>
      <c r="G337" s="3" t="s">
        <v>24</v>
      </c>
    </row>
    <row r="338" spans="1:7" ht="12.75" customHeight="1" x14ac:dyDescent="0.25">
      <c r="A338" s="3" t="s">
        <v>749</v>
      </c>
      <c r="B338" s="4" t="s">
        <v>226</v>
      </c>
      <c r="C338" s="3" t="s">
        <v>227</v>
      </c>
      <c r="D338" s="3"/>
      <c r="E338" s="3" t="s">
        <v>48</v>
      </c>
      <c r="F338" s="3"/>
      <c r="G338" s="3" t="s">
        <v>24</v>
      </c>
    </row>
    <row r="339" spans="1:7" ht="12.75" customHeight="1" x14ac:dyDescent="0.25">
      <c r="A339" s="3" t="s">
        <v>750</v>
      </c>
      <c r="B339" s="4" t="s">
        <v>226</v>
      </c>
      <c r="C339" s="3" t="s">
        <v>227</v>
      </c>
      <c r="D339" s="3"/>
      <c r="E339" s="3" t="s">
        <v>48</v>
      </c>
      <c r="F339" s="3"/>
      <c r="G339" s="3" t="s">
        <v>24</v>
      </c>
    </row>
    <row r="340" spans="1:7" ht="12.75" customHeight="1" x14ac:dyDescent="0.25">
      <c r="A340" s="3" t="s">
        <v>749</v>
      </c>
      <c r="B340" s="4" t="s">
        <v>226</v>
      </c>
      <c r="C340" s="3" t="s">
        <v>228</v>
      </c>
      <c r="D340" s="3"/>
      <c r="E340" s="3" t="s">
        <v>229</v>
      </c>
      <c r="F340" s="3" t="s">
        <v>230</v>
      </c>
      <c r="G340" s="3" t="s">
        <v>34</v>
      </c>
    </row>
    <row r="341" spans="1:7" ht="12.75" customHeight="1" x14ac:dyDescent="0.25">
      <c r="A341" s="3" t="s">
        <v>750</v>
      </c>
      <c r="B341" s="4" t="s">
        <v>226</v>
      </c>
      <c r="C341" s="3" t="s">
        <v>228</v>
      </c>
      <c r="D341" s="3"/>
      <c r="E341" s="3" t="s">
        <v>229</v>
      </c>
      <c r="F341" s="3" t="s">
        <v>230</v>
      </c>
      <c r="G341" s="3" t="s">
        <v>34</v>
      </c>
    </row>
    <row r="342" spans="1:7" ht="12.75" customHeight="1" x14ac:dyDescent="0.25">
      <c r="A342" s="3" t="s">
        <v>749</v>
      </c>
      <c r="B342" s="4" t="s">
        <v>226</v>
      </c>
      <c r="C342" s="3" t="s">
        <v>232</v>
      </c>
      <c r="D342" s="3"/>
      <c r="E342" s="3" t="s">
        <v>233</v>
      </c>
      <c r="F342" s="3"/>
      <c r="G342" s="3" t="s">
        <v>70</v>
      </c>
    </row>
    <row r="343" spans="1:7" ht="12.75" customHeight="1" x14ac:dyDescent="0.25">
      <c r="A343" s="3" t="s">
        <v>750</v>
      </c>
      <c r="B343" s="4" t="s">
        <v>226</v>
      </c>
      <c r="C343" s="3" t="s">
        <v>232</v>
      </c>
      <c r="D343" s="3"/>
      <c r="E343" s="3" t="s">
        <v>233</v>
      </c>
      <c r="F343" s="3"/>
      <c r="G343" s="3" t="s">
        <v>70</v>
      </c>
    </row>
    <row r="344" spans="1:7" ht="12.75" customHeight="1" x14ac:dyDescent="0.25">
      <c r="A344" s="3" t="s">
        <v>749</v>
      </c>
      <c r="B344" s="4" t="s">
        <v>226</v>
      </c>
      <c r="C344" s="3" t="s">
        <v>234</v>
      </c>
      <c r="D344" s="3"/>
      <c r="E344" s="3" t="s">
        <v>235</v>
      </c>
      <c r="F344" s="3" t="s">
        <v>236</v>
      </c>
      <c r="G344" s="3" t="s">
        <v>34</v>
      </c>
    </row>
    <row r="345" spans="1:7" ht="12.75" customHeight="1" x14ac:dyDescent="0.25">
      <c r="A345" s="3" t="s">
        <v>750</v>
      </c>
      <c r="B345" s="4" t="s">
        <v>226</v>
      </c>
      <c r="C345" s="3" t="s">
        <v>234</v>
      </c>
      <c r="D345" s="3"/>
      <c r="E345" s="3" t="s">
        <v>237</v>
      </c>
      <c r="F345" s="3" t="s">
        <v>236</v>
      </c>
      <c r="G345" s="3" t="s">
        <v>34</v>
      </c>
    </row>
    <row r="346" spans="1:7" ht="12.75" customHeight="1" x14ac:dyDescent="0.25">
      <c r="A346" s="3" t="s">
        <v>749</v>
      </c>
      <c r="B346" s="4" t="s">
        <v>239</v>
      </c>
      <c r="C346" s="3" t="s">
        <v>240</v>
      </c>
      <c r="D346" s="3"/>
      <c r="E346" s="3" t="s">
        <v>241</v>
      </c>
      <c r="F346" s="3"/>
      <c r="G346" s="3" t="s">
        <v>93</v>
      </c>
    </row>
    <row r="347" spans="1:7" ht="12.75" customHeight="1" x14ac:dyDescent="0.25">
      <c r="A347" s="3" t="s">
        <v>750</v>
      </c>
      <c r="B347" s="4" t="s">
        <v>239</v>
      </c>
      <c r="C347" s="3" t="s">
        <v>240</v>
      </c>
      <c r="D347" s="3"/>
      <c r="E347" s="3" t="s">
        <v>242</v>
      </c>
      <c r="F347" s="3" t="s">
        <v>243</v>
      </c>
      <c r="G347" s="3" t="s">
        <v>89</v>
      </c>
    </row>
    <row r="348" spans="1:7" ht="15" customHeight="1" x14ac:dyDescent="0.25">
      <c r="A348" s="3" t="s">
        <v>749</v>
      </c>
      <c r="B348" s="4" t="s">
        <v>239</v>
      </c>
      <c r="C348" s="3" t="s">
        <v>244</v>
      </c>
      <c r="D348" s="3"/>
      <c r="E348" s="3" t="s">
        <v>245</v>
      </c>
      <c r="F348" s="3"/>
      <c r="G348" s="3" t="s">
        <v>45</v>
      </c>
    </row>
    <row r="349" spans="1:7" ht="15" customHeight="1" x14ac:dyDescent="0.25">
      <c r="A349" s="3" t="s">
        <v>750</v>
      </c>
      <c r="B349" s="4" t="s">
        <v>239</v>
      </c>
      <c r="C349" s="3" t="s">
        <v>244</v>
      </c>
      <c r="D349" s="3"/>
      <c r="E349" s="3" t="s">
        <v>246</v>
      </c>
      <c r="F349" s="3"/>
      <c r="G349" s="3" t="s">
        <v>55</v>
      </c>
    </row>
    <row r="350" spans="1:7" ht="15" x14ac:dyDescent="0.25">
      <c r="A350" s="3" t="s">
        <v>749</v>
      </c>
      <c r="B350" s="4" t="s">
        <v>239</v>
      </c>
      <c r="C350" s="3" t="s">
        <v>247</v>
      </c>
      <c r="D350" s="3"/>
      <c r="E350" s="3" t="s">
        <v>248</v>
      </c>
      <c r="F350" s="3"/>
      <c r="G350" s="3" t="s">
        <v>55</v>
      </c>
    </row>
    <row r="351" spans="1:7" ht="15" x14ac:dyDescent="0.25">
      <c r="A351" s="3" t="s">
        <v>750</v>
      </c>
      <c r="B351" s="4" t="s">
        <v>239</v>
      </c>
      <c r="C351" s="3" t="s">
        <v>247</v>
      </c>
      <c r="D351" s="3"/>
      <c r="E351" s="3" t="s">
        <v>248</v>
      </c>
      <c r="F351" s="3"/>
      <c r="G351" s="3" t="s">
        <v>12</v>
      </c>
    </row>
    <row r="352" spans="1:7" ht="12.75" customHeight="1" x14ac:dyDescent="0.25">
      <c r="A352" s="3" t="s">
        <v>749</v>
      </c>
      <c r="B352" s="4" t="s">
        <v>239</v>
      </c>
      <c r="C352" s="3" t="s">
        <v>249</v>
      </c>
      <c r="D352" s="3"/>
      <c r="E352" s="3" t="s">
        <v>250</v>
      </c>
      <c r="F352" s="3" t="s">
        <v>251</v>
      </c>
      <c r="G352" s="3" t="s">
        <v>34</v>
      </c>
    </row>
    <row r="353" spans="1:7" ht="12.75" customHeight="1" x14ac:dyDescent="0.25">
      <c r="A353" s="3" t="s">
        <v>750</v>
      </c>
      <c r="B353" s="4" t="s">
        <v>239</v>
      </c>
      <c r="C353" s="3" t="s">
        <v>249</v>
      </c>
      <c r="D353" s="3"/>
      <c r="E353" s="3" t="s">
        <v>252</v>
      </c>
      <c r="F353" s="3" t="s">
        <v>253</v>
      </c>
      <c r="G353" s="3" t="s">
        <v>34</v>
      </c>
    </row>
    <row r="354" spans="1:7" ht="12.75" customHeight="1" x14ac:dyDescent="0.25">
      <c r="A354" s="3" t="s">
        <v>749</v>
      </c>
      <c r="B354" s="4" t="s">
        <v>239</v>
      </c>
      <c r="C354" s="3" t="s">
        <v>255</v>
      </c>
      <c r="D354" s="3"/>
      <c r="E354" s="3" t="s">
        <v>256</v>
      </c>
      <c r="F354" s="3" t="s">
        <v>257</v>
      </c>
      <c r="G354" s="3" t="s">
        <v>34</v>
      </c>
    </row>
    <row r="355" spans="1:7" ht="12.75" customHeight="1" x14ac:dyDescent="0.25">
      <c r="A355" s="3" t="s">
        <v>750</v>
      </c>
      <c r="B355" s="4" t="s">
        <v>239</v>
      </c>
      <c r="C355" s="3" t="s">
        <v>255</v>
      </c>
      <c r="D355" s="3"/>
      <c r="E355" s="3" t="s">
        <v>258</v>
      </c>
      <c r="F355" s="3" t="s">
        <v>259</v>
      </c>
      <c r="G355" s="3" t="s">
        <v>34</v>
      </c>
    </row>
    <row r="356" spans="1:7" ht="12.75" customHeight="1" x14ac:dyDescent="0.25">
      <c r="A356" s="3" t="s">
        <v>749</v>
      </c>
      <c r="B356" s="4" t="s">
        <v>239</v>
      </c>
      <c r="C356" s="3" t="s">
        <v>261</v>
      </c>
      <c r="D356" s="3"/>
      <c r="E356" s="3" t="s">
        <v>262</v>
      </c>
      <c r="F356" s="3" t="s">
        <v>263</v>
      </c>
      <c r="G356" s="3" t="s">
        <v>24</v>
      </c>
    </row>
    <row r="357" spans="1:7" ht="12.75" customHeight="1" x14ac:dyDescent="0.25">
      <c r="A357" s="3" t="s">
        <v>750</v>
      </c>
      <c r="B357" s="4" t="s">
        <v>239</v>
      </c>
      <c r="C357" s="3" t="s">
        <v>261</v>
      </c>
      <c r="D357" s="3"/>
      <c r="E357" s="3" t="s">
        <v>264</v>
      </c>
      <c r="F357" s="3" t="s">
        <v>265</v>
      </c>
      <c r="G357" s="3" t="s">
        <v>24</v>
      </c>
    </row>
    <row r="358" spans="1:7" ht="12.75" customHeight="1" x14ac:dyDescent="0.25">
      <c r="A358" s="3" t="s">
        <v>749</v>
      </c>
      <c r="B358" s="4" t="s">
        <v>239</v>
      </c>
      <c r="C358" s="3" t="s">
        <v>266</v>
      </c>
      <c r="D358" s="3" t="s">
        <v>267</v>
      </c>
      <c r="E358" s="3" t="s">
        <v>268</v>
      </c>
      <c r="F358" s="3"/>
      <c r="G358" s="3" t="s">
        <v>24</v>
      </c>
    </row>
    <row r="359" spans="1:7" ht="12.75" customHeight="1" x14ac:dyDescent="0.25">
      <c r="A359" s="3" t="s">
        <v>750</v>
      </c>
      <c r="B359" s="4" t="s">
        <v>239</v>
      </c>
      <c r="C359" s="3" t="s">
        <v>266</v>
      </c>
      <c r="D359" s="3" t="s">
        <v>269</v>
      </c>
      <c r="E359" s="3" t="s">
        <v>268</v>
      </c>
      <c r="F359" s="3"/>
      <c r="G359" s="3" t="s">
        <v>24</v>
      </c>
    </row>
    <row r="360" spans="1:7" ht="12.75" customHeight="1" x14ac:dyDescent="0.25">
      <c r="A360" s="3" t="s">
        <v>749</v>
      </c>
      <c r="B360" s="4" t="s">
        <v>239</v>
      </c>
      <c r="C360" s="3" t="s">
        <v>270</v>
      </c>
      <c r="D360" s="3"/>
      <c r="E360" s="3" t="s">
        <v>223</v>
      </c>
      <c r="F360" s="3"/>
      <c r="G360" s="3" t="s">
        <v>24</v>
      </c>
    </row>
    <row r="361" spans="1:7" ht="12.75" customHeight="1" x14ac:dyDescent="0.25">
      <c r="A361" s="3" t="s">
        <v>750</v>
      </c>
      <c r="B361" s="4" t="s">
        <v>239</v>
      </c>
      <c r="C361" s="3" t="s">
        <v>270</v>
      </c>
      <c r="D361" s="3"/>
      <c r="E361" s="3" t="s">
        <v>223</v>
      </c>
      <c r="F361" s="3" t="s">
        <v>271</v>
      </c>
      <c r="G361" s="3" t="s">
        <v>24</v>
      </c>
    </row>
    <row r="362" spans="1:7" ht="12.75" customHeight="1" x14ac:dyDescent="0.25">
      <c r="A362" s="3" t="s">
        <v>749</v>
      </c>
      <c r="B362" s="4" t="s">
        <v>239</v>
      </c>
      <c r="C362" s="3" t="s">
        <v>272</v>
      </c>
      <c r="D362" s="3"/>
      <c r="E362" s="3" t="s">
        <v>273</v>
      </c>
      <c r="F362" s="3" t="s">
        <v>41</v>
      </c>
      <c r="G362" s="3" t="s">
        <v>24</v>
      </c>
    </row>
    <row r="363" spans="1:7" ht="12.75" customHeight="1" x14ac:dyDescent="0.25">
      <c r="A363" s="3" t="s">
        <v>750</v>
      </c>
      <c r="B363" s="4" t="s">
        <v>239</v>
      </c>
      <c r="C363" s="3" t="s">
        <v>272</v>
      </c>
      <c r="D363" s="3"/>
      <c r="E363" s="3" t="s">
        <v>43</v>
      </c>
      <c r="F363" s="3" t="s">
        <v>44</v>
      </c>
      <c r="G363" s="3" t="s">
        <v>45</v>
      </c>
    </row>
    <row r="364" spans="1:7" ht="12.75" customHeight="1" x14ac:dyDescent="0.25">
      <c r="A364" s="3" t="s">
        <v>749</v>
      </c>
      <c r="B364" s="4" t="s">
        <v>280</v>
      </c>
      <c r="C364" s="3" t="s">
        <v>281</v>
      </c>
      <c r="D364" s="3"/>
      <c r="E364" s="3" t="s">
        <v>282</v>
      </c>
      <c r="F364" s="3" t="s">
        <v>283</v>
      </c>
      <c r="G364" s="3" t="s">
        <v>12</v>
      </c>
    </row>
    <row r="365" spans="1:7" ht="12.75" customHeight="1" x14ac:dyDescent="0.25">
      <c r="A365" s="3" t="s">
        <v>750</v>
      </c>
      <c r="B365" s="4" t="s">
        <v>280</v>
      </c>
      <c r="C365" s="3" t="s">
        <v>281</v>
      </c>
      <c r="D365" s="3" t="s">
        <v>9</v>
      </c>
      <c r="E365" s="3" t="s">
        <v>284</v>
      </c>
      <c r="F365" s="3" t="s">
        <v>285</v>
      </c>
      <c r="G365" s="3" t="s">
        <v>45</v>
      </c>
    </row>
    <row r="366" spans="1:7" ht="12.75" customHeight="1" x14ac:dyDescent="0.25">
      <c r="A366" s="3" t="s">
        <v>749</v>
      </c>
      <c r="B366" s="4" t="s">
        <v>280</v>
      </c>
      <c r="C366" s="3" t="s">
        <v>288</v>
      </c>
      <c r="D366" s="3" t="s">
        <v>9</v>
      </c>
      <c r="E366" s="3" t="s">
        <v>289</v>
      </c>
      <c r="F366" s="3" t="s">
        <v>290</v>
      </c>
      <c r="G366" s="3" t="s">
        <v>34</v>
      </c>
    </row>
    <row r="367" spans="1:7" ht="12.75" customHeight="1" x14ac:dyDescent="0.25">
      <c r="A367" s="3" t="s">
        <v>750</v>
      </c>
      <c r="B367" s="4" t="s">
        <v>280</v>
      </c>
      <c r="C367" s="3" t="s">
        <v>288</v>
      </c>
      <c r="D367" s="3" t="s">
        <v>9</v>
      </c>
      <c r="E367" s="3" t="s">
        <v>291</v>
      </c>
      <c r="F367" s="3" t="s">
        <v>292</v>
      </c>
      <c r="G367" s="3" t="s">
        <v>12</v>
      </c>
    </row>
    <row r="368" spans="1:7" ht="12.75" customHeight="1" x14ac:dyDescent="0.25">
      <c r="A368" s="3" t="s">
        <v>749</v>
      </c>
      <c r="B368" s="4" t="s">
        <v>280</v>
      </c>
      <c r="C368" s="3" t="s">
        <v>294</v>
      </c>
      <c r="D368" s="3" t="s">
        <v>295</v>
      </c>
      <c r="E368" s="3" t="s">
        <v>296</v>
      </c>
      <c r="F368" s="3" t="s">
        <v>297</v>
      </c>
      <c r="G368" s="3" t="s">
        <v>34</v>
      </c>
    </row>
    <row r="369" spans="1:7" ht="12.75" customHeight="1" x14ac:dyDescent="0.25">
      <c r="A369" s="3" t="s">
        <v>750</v>
      </c>
      <c r="B369" s="4" t="s">
        <v>280</v>
      </c>
      <c r="C369" s="3" t="s">
        <v>294</v>
      </c>
      <c r="D369" s="3" t="s">
        <v>298</v>
      </c>
      <c r="E369" s="3" t="s">
        <v>299</v>
      </c>
      <c r="F369" s="3" t="s">
        <v>300</v>
      </c>
      <c r="G369" s="3" t="s">
        <v>34</v>
      </c>
    </row>
    <row r="370" spans="1:7" ht="12.75" customHeight="1" x14ac:dyDescent="0.25">
      <c r="A370" s="3" t="s">
        <v>749</v>
      </c>
      <c r="B370" s="4" t="s">
        <v>280</v>
      </c>
      <c r="C370" s="3" t="s">
        <v>302</v>
      </c>
      <c r="D370" s="3" t="s">
        <v>79</v>
      </c>
      <c r="E370" s="3" t="s">
        <v>47</v>
      </c>
      <c r="F370" s="3" t="s">
        <v>303</v>
      </c>
      <c r="G370" s="3" t="s">
        <v>34</v>
      </c>
    </row>
    <row r="371" spans="1:7" ht="12.75" customHeight="1" x14ac:dyDescent="0.25">
      <c r="A371" s="3" t="s">
        <v>750</v>
      </c>
      <c r="B371" s="4" t="s">
        <v>280</v>
      </c>
      <c r="C371" s="3" t="s">
        <v>302</v>
      </c>
      <c r="D371" s="3" t="s">
        <v>298</v>
      </c>
      <c r="E371" s="3" t="s">
        <v>48</v>
      </c>
      <c r="F371" s="3" t="s">
        <v>304</v>
      </c>
      <c r="G371" s="3" t="s">
        <v>34</v>
      </c>
    </row>
    <row r="372" spans="1:7" ht="12.75" customHeight="1" x14ac:dyDescent="0.25">
      <c r="A372" s="3" t="s">
        <v>749</v>
      </c>
      <c r="B372" s="4" t="s">
        <v>280</v>
      </c>
      <c r="C372" s="3" t="s">
        <v>305</v>
      </c>
      <c r="D372" s="3" t="s">
        <v>9</v>
      </c>
      <c r="E372" s="3" t="s">
        <v>306</v>
      </c>
      <c r="F372" s="3" t="s">
        <v>307</v>
      </c>
      <c r="G372" s="3" t="s">
        <v>34</v>
      </c>
    </row>
    <row r="373" spans="1:7" ht="12.75" customHeight="1" x14ac:dyDescent="0.25">
      <c r="A373" s="3" t="s">
        <v>750</v>
      </c>
      <c r="B373" s="4" t="s">
        <v>280</v>
      </c>
      <c r="C373" s="3" t="s">
        <v>305</v>
      </c>
      <c r="D373" s="3" t="s">
        <v>9</v>
      </c>
      <c r="E373" s="3" t="s">
        <v>308</v>
      </c>
      <c r="F373" s="3" t="s">
        <v>309</v>
      </c>
      <c r="G373" s="3" t="s">
        <v>34</v>
      </c>
    </row>
    <row r="374" spans="1:7" ht="12.75" customHeight="1" x14ac:dyDescent="0.25">
      <c r="A374" s="3" t="s">
        <v>749</v>
      </c>
      <c r="B374" s="4" t="s">
        <v>280</v>
      </c>
      <c r="C374" s="3" t="s">
        <v>311</v>
      </c>
      <c r="D374" s="3"/>
      <c r="E374" s="3" t="s">
        <v>30</v>
      </c>
      <c r="F374" s="3"/>
      <c r="G374" s="3" t="s">
        <v>24</v>
      </c>
    </row>
    <row r="375" spans="1:7" ht="12.75" customHeight="1" x14ac:dyDescent="0.25">
      <c r="A375" s="3" t="s">
        <v>750</v>
      </c>
      <c r="B375" s="4" t="s">
        <v>280</v>
      </c>
      <c r="C375" s="3" t="s">
        <v>311</v>
      </c>
      <c r="D375" s="3"/>
      <c r="E375" s="3" t="s">
        <v>30</v>
      </c>
      <c r="F375" s="3"/>
      <c r="G375" s="3" t="s">
        <v>24</v>
      </c>
    </row>
    <row r="376" spans="1:7" ht="12.75" customHeight="1" x14ac:dyDescent="0.25">
      <c r="A376" s="3" t="s">
        <v>749</v>
      </c>
      <c r="B376" s="4" t="s">
        <v>280</v>
      </c>
      <c r="C376" s="3" t="s">
        <v>312</v>
      </c>
      <c r="D376" s="3"/>
      <c r="E376" s="3" t="s">
        <v>313</v>
      </c>
      <c r="F376" s="3" t="s">
        <v>314</v>
      </c>
      <c r="G376" s="3" t="s">
        <v>24</v>
      </c>
    </row>
    <row r="377" spans="1:7" ht="12.75" customHeight="1" x14ac:dyDescent="0.25">
      <c r="A377" s="3" t="s">
        <v>750</v>
      </c>
      <c r="B377" s="4" t="s">
        <v>280</v>
      </c>
      <c r="C377" s="3" t="s">
        <v>312</v>
      </c>
      <c r="D377" s="3"/>
      <c r="E377" s="3" t="s">
        <v>139</v>
      </c>
      <c r="F377" s="3" t="s">
        <v>315</v>
      </c>
      <c r="G377" s="3" t="s">
        <v>49</v>
      </c>
    </row>
    <row r="378" spans="1:7" ht="12.75" customHeight="1" x14ac:dyDescent="0.2">
      <c r="A378" s="3" t="s">
        <v>749</v>
      </c>
      <c r="B378" s="5" t="s">
        <v>316</v>
      </c>
      <c r="C378" s="3" t="s">
        <v>317</v>
      </c>
      <c r="D378" s="3"/>
      <c r="E378" s="3" t="s">
        <v>318</v>
      </c>
      <c r="F378" s="3" t="s">
        <v>319</v>
      </c>
      <c r="G378" s="3" t="s">
        <v>24</v>
      </c>
    </row>
    <row r="379" spans="1:7" ht="12.75" customHeight="1" x14ac:dyDescent="0.2">
      <c r="A379" s="3" t="s">
        <v>750</v>
      </c>
      <c r="B379" s="5" t="s">
        <v>316</v>
      </c>
      <c r="C379" s="3" t="s">
        <v>317</v>
      </c>
      <c r="D379" s="3"/>
      <c r="E379" s="3" t="s">
        <v>320</v>
      </c>
      <c r="F379" s="3" t="s">
        <v>54</v>
      </c>
      <c r="G379" s="3" t="s">
        <v>55</v>
      </c>
    </row>
    <row r="380" spans="1:7" ht="12.75" customHeight="1" x14ac:dyDescent="0.2">
      <c r="A380" s="3" t="s">
        <v>749</v>
      </c>
      <c r="B380" s="5" t="s">
        <v>316</v>
      </c>
      <c r="C380" s="3" t="s">
        <v>321</v>
      </c>
      <c r="D380" s="3"/>
      <c r="E380" s="3" t="s">
        <v>322</v>
      </c>
      <c r="F380" s="3"/>
      <c r="G380" s="3" t="s">
        <v>34</v>
      </c>
    </row>
    <row r="381" spans="1:7" ht="12.75" customHeight="1" x14ac:dyDescent="0.2">
      <c r="A381" s="3" t="s">
        <v>750</v>
      </c>
      <c r="B381" s="5" t="s">
        <v>316</v>
      </c>
      <c r="C381" s="3" t="s">
        <v>321</v>
      </c>
      <c r="D381" s="3"/>
      <c r="E381" s="3" t="s">
        <v>323</v>
      </c>
      <c r="F381" s="3"/>
      <c r="G381" s="3" t="s">
        <v>34</v>
      </c>
    </row>
    <row r="382" spans="1:7" ht="12.75" customHeight="1" x14ac:dyDescent="0.2">
      <c r="A382" s="3" t="s">
        <v>749</v>
      </c>
      <c r="B382" s="5" t="s">
        <v>316</v>
      </c>
      <c r="C382" s="3" t="s">
        <v>324</v>
      </c>
      <c r="D382" s="3"/>
      <c r="E382" s="3" t="s">
        <v>47</v>
      </c>
      <c r="F382" s="3"/>
      <c r="G382" s="3" t="s">
        <v>34</v>
      </c>
    </row>
    <row r="383" spans="1:7" ht="12.75" customHeight="1" x14ac:dyDescent="0.2">
      <c r="A383" s="3" t="s">
        <v>750</v>
      </c>
      <c r="B383" s="5" t="s">
        <v>316</v>
      </c>
      <c r="C383" s="3" t="s">
        <v>324</v>
      </c>
      <c r="D383" s="3"/>
      <c r="E383" s="3" t="s">
        <v>48</v>
      </c>
      <c r="F383" s="3"/>
      <c r="G383" s="3" t="s">
        <v>34</v>
      </c>
    </row>
    <row r="384" spans="1:7" ht="12.75" customHeight="1" x14ac:dyDescent="0.2">
      <c r="A384" s="3" t="s">
        <v>749</v>
      </c>
      <c r="B384" s="5" t="s">
        <v>316</v>
      </c>
      <c r="C384" s="3" t="s">
        <v>325</v>
      </c>
      <c r="D384" s="3"/>
      <c r="E384" s="3" t="s">
        <v>252</v>
      </c>
      <c r="F384" s="3"/>
      <c r="G384" s="3" t="s">
        <v>55</v>
      </c>
    </row>
    <row r="385" spans="1:7" ht="12.75" customHeight="1" x14ac:dyDescent="0.2">
      <c r="A385" s="3" t="s">
        <v>750</v>
      </c>
      <c r="B385" s="5" t="s">
        <v>316</v>
      </c>
      <c r="C385" s="3" t="s">
        <v>325</v>
      </c>
      <c r="D385" s="3"/>
      <c r="E385" s="3" t="s">
        <v>326</v>
      </c>
      <c r="F385" s="3"/>
      <c r="G385" s="3" t="s">
        <v>34</v>
      </c>
    </row>
    <row r="386" spans="1:7" ht="12.75" customHeight="1" x14ac:dyDescent="0.25">
      <c r="A386" s="3" t="s">
        <v>749</v>
      </c>
      <c r="B386" s="4" t="s">
        <v>327</v>
      </c>
      <c r="C386" s="3" t="s">
        <v>328</v>
      </c>
      <c r="D386" s="3"/>
      <c r="E386" s="3" t="s">
        <v>329</v>
      </c>
      <c r="F386" s="3"/>
      <c r="G386" s="3" t="s">
        <v>24</v>
      </c>
    </row>
    <row r="387" spans="1:7" ht="12.75" customHeight="1" x14ac:dyDescent="0.25">
      <c r="A387" s="3" t="s">
        <v>750</v>
      </c>
      <c r="B387" s="4" t="s">
        <v>327</v>
      </c>
      <c r="C387" s="3" t="s">
        <v>328</v>
      </c>
      <c r="D387" s="3"/>
      <c r="E387" s="3" t="s">
        <v>330</v>
      </c>
      <c r="F387" s="3"/>
      <c r="G387" s="3" t="s">
        <v>24</v>
      </c>
    </row>
    <row r="388" spans="1:7" ht="15" x14ac:dyDescent="0.25">
      <c r="A388" s="3" t="s">
        <v>749</v>
      </c>
      <c r="B388" s="4" t="s">
        <v>331</v>
      </c>
      <c r="C388" s="3" t="s">
        <v>332</v>
      </c>
      <c r="D388" s="3"/>
      <c r="E388" s="3" t="s">
        <v>333</v>
      </c>
      <c r="F388" s="3" t="s">
        <v>334</v>
      </c>
      <c r="G388" s="3" t="s">
        <v>45</v>
      </c>
    </row>
    <row r="389" spans="1:7" ht="15" x14ac:dyDescent="0.25">
      <c r="A389" s="3" t="s">
        <v>750</v>
      </c>
      <c r="B389" s="4" t="s">
        <v>331</v>
      </c>
      <c r="C389" s="3" t="s">
        <v>332</v>
      </c>
      <c r="D389" s="3"/>
      <c r="E389" s="3" t="s">
        <v>335</v>
      </c>
      <c r="F389" s="3"/>
      <c r="G389" s="3" t="s">
        <v>12</v>
      </c>
    </row>
    <row r="390" spans="1:7" ht="15" x14ac:dyDescent="0.25">
      <c r="A390" s="3" t="s">
        <v>749</v>
      </c>
      <c r="B390" s="4" t="s">
        <v>331</v>
      </c>
      <c r="C390" s="3" t="s">
        <v>336</v>
      </c>
      <c r="D390" s="3"/>
      <c r="E390" s="3" t="s">
        <v>337</v>
      </c>
      <c r="F390" s="3"/>
      <c r="G390" s="3" t="s">
        <v>24</v>
      </c>
    </row>
    <row r="391" spans="1:7" ht="15" x14ac:dyDescent="0.25">
      <c r="A391" s="3" t="s">
        <v>750</v>
      </c>
      <c r="B391" s="4" t="s">
        <v>331</v>
      </c>
      <c r="C391" s="3" t="s">
        <v>336</v>
      </c>
      <c r="D391" s="3"/>
      <c r="E391" s="3" t="s">
        <v>337</v>
      </c>
      <c r="F391" s="3"/>
      <c r="G391" s="3" t="s">
        <v>12</v>
      </c>
    </row>
    <row r="392" spans="1:7" ht="15" x14ac:dyDescent="0.25">
      <c r="A392" s="3" t="s">
        <v>749</v>
      </c>
      <c r="B392" s="4" t="s">
        <v>331</v>
      </c>
      <c r="C392" s="3" t="s">
        <v>339</v>
      </c>
      <c r="D392" s="3"/>
      <c r="E392" s="3" t="s">
        <v>340</v>
      </c>
      <c r="F392" s="3"/>
      <c r="G392" s="3" t="s">
        <v>45</v>
      </c>
    </row>
    <row r="393" spans="1:7" ht="15" x14ac:dyDescent="0.25">
      <c r="A393" s="3" t="s">
        <v>750</v>
      </c>
      <c r="B393" s="4" t="s">
        <v>331</v>
      </c>
      <c r="C393" s="3" t="s">
        <v>339</v>
      </c>
      <c r="D393" s="3"/>
      <c r="E393" s="3" t="s">
        <v>341</v>
      </c>
      <c r="F393" s="3"/>
      <c r="G393" s="3" t="s">
        <v>12</v>
      </c>
    </row>
    <row r="394" spans="1:7" ht="12.75" customHeight="1" x14ac:dyDescent="0.25">
      <c r="A394" s="3" t="s">
        <v>749</v>
      </c>
      <c r="B394" s="4" t="s">
        <v>331</v>
      </c>
      <c r="C394" s="3" t="s">
        <v>343</v>
      </c>
      <c r="D394" s="3"/>
      <c r="E394" s="3" t="s">
        <v>344</v>
      </c>
      <c r="F394" s="3"/>
      <c r="G394" s="3" t="s">
        <v>70</v>
      </c>
    </row>
    <row r="395" spans="1:7" ht="12.75" customHeight="1" x14ac:dyDescent="0.25">
      <c r="A395" s="3" t="s">
        <v>750</v>
      </c>
      <c r="B395" s="4" t="s">
        <v>331</v>
      </c>
      <c r="C395" s="3" t="s">
        <v>343</v>
      </c>
      <c r="D395" s="3"/>
      <c r="E395" s="3" t="s">
        <v>100</v>
      </c>
      <c r="F395" s="3" t="s">
        <v>345</v>
      </c>
      <c r="G395" s="3" t="s">
        <v>70</v>
      </c>
    </row>
    <row r="396" spans="1:7" ht="12.75" customHeight="1" x14ac:dyDescent="0.25">
      <c r="A396" s="3" t="s">
        <v>749</v>
      </c>
      <c r="B396" s="4" t="s">
        <v>347</v>
      </c>
      <c r="C396" s="3" t="s">
        <v>348</v>
      </c>
      <c r="D396" s="3"/>
      <c r="E396" s="3" t="s">
        <v>349</v>
      </c>
      <c r="F396" s="3"/>
      <c r="G396" s="3" t="s">
        <v>24</v>
      </c>
    </row>
    <row r="397" spans="1:7" ht="12.75" customHeight="1" x14ac:dyDescent="0.25">
      <c r="A397" s="3" t="s">
        <v>750</v>
      </c>
      <c r="B397" s="4" t="s">
        <v>347</v>
      </c>
      <c r="C397" s="3" t="s">
        <v>348</v>
      </c>
      <c r="D397" s="3"/>
      <c r="E397" s="3" t="s">
        <v>349</v>
      </c>
      <c r="F397" s="3"/>
      <c r="G397" s="3" t="s">
        <v>24</v>
      </c>
    </row>
    <row r="398" spans="1:7" ht="12.75" customHeight="1" x14ac:dyDescent="0.2">
      <c r="A398" s="3" t="s">
        <v>749</v>
      </c>
      <c r="B398" s="5" t="s">
        <v>350</v>
      </c>
      <c r="C398" s="3" t="s">
        <v>351</v>
      </c>
      <c r="D398" s="3"/>
      <c r="E398" s="3" t="s">
        <v>352</v>
      </c>
      <c r="F398" s="3"/>
      <c r="G398" s="3" t="s">
        <v>24</v>
      </c>
    </row>
    <row r="399" spans="1:7" ht="12.75" customHeight="1" x14ac:dyDescent="0.2">
      <c r="A399" s="3" t="s">
        <v>750</v>
      </c>
      <c r="B399" s="5" t="s">
        <v>350</v>
      </c>
      <c r="C399" s="3" t="s">
        <v>351</v>
      </c>
      <c r="D399" s="3"/>
      <c r="E399" s="3" t="s">
        <v>353</v>
      </c>
      <c r="F399" s="3"/>
      <c r="G399" s="3" t="s">
        <v>24</v>
      </c>
    </row>
    <row r="400" spans="1:7" ht="14.25" x14ac:dyDescent="0.2">
      <c r="A400" s="3" t="s">
        <v>749</v>
      </c>
      <c r="B400" s="5" t="s">
        <v>350</v>
      </c>
      <c r="C400" s="3" t="s">
        <v>354</v>
      </c>
      <c r="D400" s="3"/>
      <c r="E400" s="3" t="s">
        <v>355</v>
      </c>
      <c r="F400" s="3"/>
      <c r="G400" s="3" t="s">
        <v>24</v>
      </c>
    </row>
    <row r="401" spans="1:7" ht="14.25" x14ac:dyDescent="0.2">
      <c r="A401" s="3" t="s">
        <v>750</v>
      </c>
      <c r="B401" s="5" t="s">
        <v>350</v>
      </c>
      <c r="C401" s="3" t="s">
        <v>354</v>
      </c>
      <c r="D401" s="3"/>
      <c r="E401" s="3" t="s">
        <v>356</v>
      </c>
      <c r="F401" s="3"/>
      <c r="G401" s="3" t="s">
        <v>24</v>
      </c>
    </row>
    <row r="402" spans="1:7" ht="14.25" x14ac:dyDescent="0.2">
      <c r="A402" s="3" t="s">
        <v>749</v>
      </c>
      <c r="B402" s="5" t="s">
        <v>350</v>
      </c>
      <c r="C402" s="3" t="s">
        <v>357</v>
      </c>
      <c r="D402" s="3"/>
      <c r="E402" s="3" t="s">
        <v>358</v>
      </c>
      <c r="F402" s="3"/>
      <c r="G402" s="3" t="s">
        <v>24</v>
      </c>
    </row>
    <row r="403" spans="1:7" ht="12.75" customHeight="1" x14ac:dyDescent="0.25">
      <c r="A403" s="3" t="s">
        <v>750</v>
      </c>
      <c r="B403" s="5" t="s">
        <v>350</v>
      </c>
      <c r="C403" s="4" t="s">
        <v>357</v>
      </c>
      <c r="D403" s="1"/>
      <c r="E403" s="1" t="s">
        <v>358</v>
      </c>
      <c r="F403" s="1"/>
      <c r="G403" s="3" t="s">
        <v>24</v>
      </c>
    </row>
    <row r="404" spans="1:7" ht="12.75" customHeight="1" x14ac:dyDescent="0.25">
      <c r="A404" s="3" t="s">
        <v>749</v>
      </c>
      <c r="B404" s="5" t="s">
        <v>350</v>
      </c>
      <c r="C404" s="4" t="s">
        <v>359</v>
      </c>
      <c r="D404" s="1"/>
      <c r="E404" s="1" t="s">
        <v>223</v>
      </c>
      <c r="F404" s="1"/>
      <c r="G404" s="1" t="s">
        <v>24</v>
      </c>
    </row>
    <row r="405" spans="1:7" ht="14.25" x14ac:dyDescent="0.2">
      <c r="A405" s="3" t="s">
        <v>750</v>
      </c>
      <c r="B405" s="5" t="s">
        <v>350</v>
      </c>
      <c r="C405" s="3" t="s">
        <v>359</v>
      </c>
      <c r="D405" s="3"/>
      <c r="E405" s="3" t="s">
        <v>223</v>
      </c>
      <c r="F405" s="3"/>
      <c r="G405" s="3" t="s">
        <v>24</v>
      </c>
    </row>
    <row r="406" spans="1:7" ht="14.25" x14ac:dyDescent="0.2">
      <c r="A406" s="3" t="s">
        <v>749</v>
      </c>
      <c r="B406" s="5" t="s">
        <v>350</v>
      </c>
      <c r="C406" s="3" t="s">
        <v>360</v>
      </c>
      <c r="D406" s="3"/>
      <c r="E406" s="3" t="s">
        <v>361</v>
      </c>
      <c r="F406" s="3"/>
      <c r="G406" s="3" t="s">
        <v>24</v>
      </c>
    </row>
    <row r="407" spans="1:7" ht="14.25" x14ac:dyDescent="0.2">
      <c r="A407" s="3" t="s">
        <v>750</v>
      </c>
      <c r="B407" s="5" t="s">
        <v>350</v>
      </c>
      <c r="C407" s="3" t="s">
        <v>360</v>
      </c>
      <c r="D407" s="3"/>
      <c r="E407" s="3" t="s">
        <v>362</v>
      </c>
      <c r="F407" s="3"/>
      <c r="G407" s="3" t="s">
        <v>24</v>
      </c>
    </row>
    <row r="408" spans="1:7" ht="14.25" x14ac:dyDescent="0.2">
      <c r="A408" s="3" t="s">
        <v>749</v>
      </c>
      <c r="B408" s="5" t="s">
        <v>350</v>
      </c>
      <c r="C408" s="3" t="s">
        <v>363</v>
      </c>
      <c r="D408" s="3"/>
      <c r="E408" s="3" t="s">
        <v>225</v>
      </c>
      <c r="F408" s="3"/>
      <c r="G408" s="3" t="s">
        <v>24</v>
      </c>
    </row>
    <row r="409" spans="1:7" ht="14.25" x14ac:dyDescent="0.2">
      <c r="A409" s="3" t="s">
        <v>750</v>
      </c>
      <c r="B409" s="5" t="s">
        <v>350</v>
      </c>
      <c r="C409" s="3" t="s">
        <v>363</v>
      </c>
      <c r="D409" s="3"/>
      <c r="E409" s="3" t="s">
        <v>225</v>
      </c>
      <c r="F409" s="3"/>
      <c r="G409" s="3" t="s">
        <v>24</v>
      </c>
    </row>
    <row r="410" spans="1:7" ht="14.25" x14ac:dyDescent="0.2">
      <c r="A410" s="3" t="s">
        <v>749</v>
      </c>
      <c r="B410" s="5" t="s">
        <v>350</v>
      </c>
      <c r="C410" s="3" t="s">
        <v>364</v>
      </c>
      <c r="D410" s="3"/>
      <c r="E410" s="3" t="s">
        <v>365</v>
      </c>
      <c r="F410" s="3"/>
      <c r="G410" s="3" t="s">
        <v>24</v>
      </c>
    </row>
    <row r="411" spans="1:7" ht="14.25" x14ac:dyDescent="0.2">
      <c r="A411" s="3" t="s">
        <v>750</v>
      </c>
      <c r="B411" s="5" t="s">
        <v>350</v>
      </c>
      <c r="C411" s="3" t="s">
        <v>364</v>
      </c>
      <c r="D411" s="3"/>
      <c r="E411" s="3" t="s">
        <v>365</v>
      </c>
      <c r="F411" s="3"/>
      <c r="G411" s="3" t="s">
        <v>24</v>
      </c>
    </row>
    <row r="412" spans="1:7" ht="14.25" x14ac:dyDescent="0.2">
      <c r="A412" s="3" t="s">
        <v>749</v>
      </c>
      <c r="B412" s="5" t="s">
        <v>350</v>
      </c>
      <c r="C412" s="3" t="s">
        <v>366</v>
      </c>
      <c r="D412" s="3"/>
      <c r="E412" s="3" t="s">
        <v>367</v>
      </c>
      <c r="F412" s="3"/>
      <c r="G412" s="3" t="s">
        <v>24</v>
      </c>
    </row>
    <row r="413" spans="1:7" ht="14.25" x14ac:dyDescent="0.2">
      <c r="A413" s="3" t="s">
        <v>750</v>
      </c>
      <c r="B413" s="5" t="s">
        <v>350</v>
      </c>
      <c r="C413" s="3" t="s">
        <v>366</v>
      </c>
      <c r="D413" s="3"/>
      <c r="E413" s="3" t="s">
        <v>367</v>
      </c>
      <c r="F413" s="3"/>
      <c r="G413" s="3" t="s">
        <v>24</v>
      </c>
    </row>
    <row r="414" spans="1:7" ht="12.75" customHeight="1" x14ac:dyDescent="0.25">
      <c r="A414" s="3" t="s">
        <v>749</v>
      </c>
      <c r="B414" s="4" t="s">
        <v>369</v>
      </c>
      <c r="C414" s="3" t="s">
        <v>370</v>
      </c>
      <c r="D414" s="3"/>
      <c r="E414" s="3" t="s">
        <v>371</v>
      </c>
      <c r="F414" s="3"/>
      <c r="G414" s="3" t="s">
        <v>45</v>
      </c>
    </row>
    <row r="415" spans="1:7" ht="12.75" customHeight="1" x14ac:dyDescent="0.25">
      <c r="A415" s="3" t="s">
        <v>750</v>
      </c>
      <c r="B415" s="4" t="s">
        <v>369</v>
      </c>
      <c r="C415" s="3" t="s">
        <v>370</v>
      </c>
      <c r="D415" s="3"/>
      <c r="E415" s="3" t="s">
        <v>203</v>
      </c>
      <c r="F415" s="3"/>
      <c r="G415" s="3" t="s">
        <v>45</v>
      </c>
    </row>
    <row r="416" spans="1:7" ht="12.75" customHeight="1" x14ac:dyDescent="0.25">
      <c r="A416" s="3" t="s">
        <v>749</v>
      </c>
      <c r="B416" s="4" t="s">
        <v>369</v>
      </c>
      <c r="C416" s="3" t="s">
        <v>370</v>
      </c>
      <c r="D416" s="3"/>
      <c r="E416" s="3" t="s">
        <v>372</v>
      </c>
      <c r="F416" s="3"/>
      <c r="G416" s="3" t="s">
        <v>24</v>
      </c>
    </row>
    <row r="417" spans="1:7" ht="12.75" customHeight="1" x14ac:dyDescent="0.25">
      <c r="A417" s="3" t="s">
        <v>750</v>
      </c>
      <c r="B417" s="4" t="s">
        <v>369</v>
      </c>
      <c r="C417" s="3" t="s">
        <v>370</v>
      </c>
      <c r="D417" s="3"/>
      <c r="E417" s="3" t="s">
        <v>373</v>
      </c>
      <c r="F417" s="3"/>
      <c r="G417" s="3" t="s">
        <v>24</v>
      </c>
    </row>
    <row r="418" spans="1:7" ht="12.75" customHeight="1" x14ac:dyDescent="0.2">
      <c r="A418" s="3" t="s">
        <v>749</v>
      </c>
      <c r="B418" s="3" t="s">
        <v>375</v>
      </c>
      <c r="C418" s="3" t="s">
        <v>376</v>
      </c>
      <c r="D418" s="3"/>
      <c r="E418" s="3" t="s">
        <v>250</v>
      </c>
      <c r="F418" s="3"/>
      <c r="G418" s="3" t="s">
        <v>24</v>
      </c>
    </row>
    <row r="419" spans="1:7" ht="12.75" customHeight="1" x14ac:dyDescent="0.2">
      <c r="A419" s="3" t="s">
        <v>750</v>
      </c>
      <c r="B419" s="3" t="s">
        <v>375</v>
      </c>
      <c r="C419" s="3" t="s">
        <v>376</v>
      </c>
      <c r="D419" s="3"/>
      <c r="E419" s="3" t="s">
        <v>377</v>
      </c>
      <c r="F419" s="3"/>
      <c r="G419" s="3" t="s">
        <v>55</v>
      </c>
    </row>
    <row r="420" spans="1:7" ht="12.75" customHeight="1" x14ac:dyDescent="0.2">
      <c r="A420" s="3" t="s">
        <v>749</v>
      </c>
      <c r="B420" s="3" t="s">
        <v>375</v>
      </c>
      <c r="C420" s="3" t="s">
        <v>378</v>
      </c>
      <c r="D420" s="3"/>
      <c r="E420" s="3" t="s">
        <v>47</v>
      </c>
      <c r="F420" s="3"/>
      <c r="G420" s="3" t="s">
        <v>34</v>
      </c>
    </row>
    <row r="421" spans="1:7" ht="12.75" customHeight="1" x14ac:dyDescent="0.2">
      <c r="A421" s="3" t="s">
        <v>750</v>
      </c>
      <c r="B421" s="3" t="s">
        <v>375</v>
      </c>
      <c r="C421" s="3" t="s">
        <v>378</v>
      </c>
      <c r="D421" s="3"/>
      <c r="E421" s="3" t="s">
        <v>48</v>
      </c>
      <c r="F421" s="3"/>
      <c r="G421" s="3" t="s">
        <v>49</v>
      </c>
    </row>
    <row r="422" spans="1:7" ht="12.75" customHeight="1" x14ac:dyDescent="0.2">
      <c r="A422" s="3" t="s">
        <v>749</v>
      </c>
      <c r="B422" s="3" t="s">
        <v>375</v>
      </c>
      <c r="C422" s="3" t="s">
        <v>379</v>
      </c>
      <c r="D422" s="3"/>
      <c r="E422" s="3" t="s">
        <v>380</v>
      </c>
      <c r="F422" s="3"/>
      <c r="G422" s="3" t="s">
        <v>24</v>
      </c>
    </row>
    <row r="423" spans="1:7" ht="12.75" customHeight="1" x14ac:dyDescent="0.2">
      <c r="A423" s="3" t="s">
        <v>750</v>
      </c>
      <c r="B423" s="3" t="s">
        <v>375</v>
      </c>
      <c r="C423" s="3" t="s">
        <v>379</v>
      </c>
      <c r="D423" s="3"/>
      <c r="E423" s="3" t="s">
        <v>381</v>
      </c>
      <c r="F423" s="3"/>
      <c r="G423" s="3" t="s">
        <v>24</v>
      </c>
    </row>
    <row r="424" spans="1:7" ht="12.75" customHeight="1" x14ac:dyDescent="0.25">
      <c r="A424" s="3" t="s">
        <v>749</v>
      </c>
      <c r="B424" s="4" t="s">
        <v>382</v>
      </c>
      <c r="C424" s="3" t="s">
        <v>383</v>
      </c>
      <c r="D424" s="3"/>
      <c r="E424" s="3" t="s">
        <v>384</v>
      </c>
      <c r="F424" s="3"/>
      <c r="G424" s="3" t="s">
        <v>24</v>
      </c>
    </row>
    <row r="425" spans="1:7" ht="12.75" customHeight="1" x14ac:dyDescent="0.25">
      <c r="A425" s="3" t="s">
        <v>750</v>
      </c>
      <c r="B425" s="4" t="s">
        <v>382</v>
      </c>
      <c r="C425" s="3" t="s">
        <v>383</v>
      </c>
      <c r="D425" s="3"/>
      <c r="E425" s="3" t="s">
        <v>385</v>
      </c>
      <c r="F425" s="3"/>
      <c r="G425" s="3" t="s">
        <v>34</v>
      </c>
    </row>
    <row r="426" spans="1:7" ht="12.75" customHeight="1" x14ac:dyDescent="0.25">
      <c r="A426" s="3" t="s">
        <v>749</v>
      </c>
      <c r="B426" s="4" t="s">
        <v>382</v>
      </c>
      <c r="C426" s="3" t="s">
        <v>383</v>
      </c>
      <c r="D426" s="3"/>
      <c r="E426" s="3" t="s">
        <v>384</v>
      </c>
      <c r="F426" s="3"/>
      <c r="G426" s="3" t="s">
        <v>24</v>
      </c>
    </row>
    <row r="427" spans="1:7" ht="12.75" customHeight="1" x14ac:dyDescent="0.25">
      <c r="A427" s="3" t="s">
        <v>750</v>
      </c>
      <c r="B427" s="4" t="s">
        <v>382</v>
      </c>
      <c r="C427" s="4" t="s">
        <v>383</v>
      </c>
      <c r="D427" s="1"/>
      <c r="E427" s="1" t="s">
        <v>386</v>
      </c>
      <c r="F427" s="1"/>
      <c r="G427" s="3" t="s">
        <v>24</v>
      </c>
    </row>
    <row r="428" spans="1:7" ht="15" x14ac:dyDescent="0.25">
      <c r="A428" s="3" t="s">
        <v>749</v>
      </c>
      <c r="B428" s="4" t="s">
        <v>382</v>
      </c>
      <c r="C428" s="3" t="s">
        <v>387</v>
      </c>
      <c r="D428" s="3"/>
      <c r="E428" s="3" t="s">
        <v>388</v>
      </c>
      <c r="F428" s="3"/>
      <c r="G428" s="3" t="s">
        <v>24</v>
      </c>
    </row>
    <row r="429" spans="1:7" ht="15" x14ac:dyDescent="0.25">
      <c r="A429" s="3" t="s">
        <v>750</v>
      </c>
      <c r="B429" s="4" t="s">
        <v>382</v>
      </c>
      <c r="C429" s="3" t="s">
        <v>387</v>
      </c>
      <c r="D429" s="3"/>
      <c r="E429" s="3" t="s">
        <v>389</v>
      </c>
      <c r="F429" s="3"/>
      <c r="G429" s="3" t="s">
        <v>34</v>
      </c>
    </row>
    <row r="430" spans="1:7" ht="15" x14ac:dyDescent="0.25">
      <c r="A430" s="3" t="s">
        <v>749</v>
      </c>
      <c r="B430" s="4" t="s">
        <v>382</v>
      </c>
      <c r="C430" s="3" t="s">
        <v>390</v>
      </c>
      <c r="D430" s="3"/>
      <c r="E430" s="3" t="s">
        <v>47</v>
      </c>
      <c r="F430" s="3"/>
      <c r="G430" s="3" t="s">
        <v>34</v>
      </c>
    </row>
    <row r="431" spans="1:7" ht="15" x14ac:dyDescent="0.25">
      <c r="A431" s="3" t="s">
        <v>750</v>
      </c>
      <c r="B431" s="4" t="s">
        <v>382</v>
      </c>
      <c r="C431" s="3" t="s">
        <v>390</v>
      </c>
      <c r="D431" s="3"/>
      <c r="E431" s="3" t="s">
        <v>48</v>
      </c>
      <c r="F431" s="3"/>
      <c r="G431" s="3" t="s">
        <v>49</v>
      </c>
    </row>
    <row r="432" spans="1:7" ht="15" x14ac:dyDescent="0.25">
      <c r="A432" s="3" t="s">
        <v>749</v>
      </c>
      <c r="B432" s="4" t="s">
        <v>382</v>
      </c>
      <c r="C432" s="3" t="s">
        <v>391</v>
      </c>
      <c r="D432" s="3"/>
      <c r="E432" s="3" t="s">
        <v>30</v>
      </c>
      <c r="F432" s="3"/>
      <c r="G432" s="3" t="s">
        <v>24</v>
      </c>
    </row>
    <row r="433" spans="1:7" ht="15" x14ac:dyDescent="0.25">
      <c r="A433" s="3" t="s">
        <v>750</v>
      </c>
      <c r="B433" s="4" t="s">
        <v>382</v>
      </c>
      <c r="C433" s="3" t="s">
        <v>391</v>
      </c>
      <c r="D433" s="3"/>
      <c r="E433" s="3" t="s">
        <v>30</v>
      </c>
      <c r="F433" s="3"/>
      <c r="G433" s="3" t="s">
        <v>24</v>
      </c>
    </row>
    <row r="434" spans="1:7" ht="15" x14ac:dyDescent="0.25">
      <c r="A434" s="3" t="s">
        <v>749</v>
      </c>
      <c r="B434" s="4" t="s">
        <v>382</v>
      </c>
      <c r="C434" s="3" t="s">
        <v>392</v>
      </c>
      <c r="D434" s="3"/>
      <c r="E434" s="3" t="s">
        <v>393</v>
      </c>
      <c r="F434" s="3"/>
      <c r="G434" s="3"/>
    </row>
    <row r="435" spans="1:7" ht="15" x14ac:dyDescent="0.25">
      <c r="A435" s="3" t="s">
        <v>750</v>
      </c>
      <c r="B435" s="4" t="s">
        <v>382</v>
      </c>
      <c r="C435" s="3" t="s">
        <v>392</v>
      </c>
      <c r="D435" s="3"/>
      <c r="E435" s="3" t="s">
        <v>394</v>
      </c>
      <c r="F435" s="3"/>
      <c r="G435" s="3" t="s">
        <v>89</v>
      </c>
    </row>
    <row r="436" spans="1:7" ht="15" x14ac:dyDescent="0.25">
      <c r="A436" s="3" t="s">
        <v>749</v>
      </c>
      <c r="B436" s="4" t="s">
        <v>382</v>
      </c>
      <c r="C436" s="3" t="s">
        <v>395</v>
      </c>
      <c r="D436" s="3"/>
      <c r="E436" s="3" t="s">
        <v>396</v>
      </c>
      <c r="F436" s="3"/>
      <c r="G436" s="3" t="s">
        <v>34</v>
      </c>
    </row>
    <row r="437" spans="1:7" ht="15" x14ac:dyDescent="0.25">
      <c r="A437" s="3" t="s">
        <v>750</v>
      </c>
      <c r="B437" s="4" t="s">
        <v>382</v>
      </c>
      <c r="C437" s="3" t="s">
        <v>395</v>
      </c>
      <c r="D437" s="3"/>
      <c r="E437" s="3" t="s">
        <v>397</v>
      </c>
      <c r="F437" s="3"/>
      <c r="G437" s="3" t="s">
        <v>34</v>
      </c>
    </row>
    <row r="438" spans="1:7" ht="12.75" customHeight="1" x14ac:dyDescent="0.25">
      <c r="A438" s="3" t="s">
        <v>749</v>
      </c>
      <c r="B438" s="4" t="s">
        <v>382</v>
      </c>
      <c r="C438" s="3" t="s">
        <v>398</v>
      </c>
      <c r="D438" s="3"/>
      <c r="E438" s="3" t="s">
        <v>399</v>
      </c>
      <c r="F438" s="3" t="s">
        <v>400</v>
      </c>
      <c r="G438" s="3" t="s">
        <v>34</v>
      </c>
    </row>
    <row r="439" spans="1:7" ht="12.75" customHeight="1" x14ac:dyDescent="0.25">
      <c r="A439" s="3" t="s">
        <v>750</v>
      </c>
      <c r="B439" s="4" t="s">
        <v>382</v>
      </c>
      <c r="C439" s="3" t="s">
        <v>398</v>
      </c>
      <c r="D439" s="3"/>
      <c r="E439" s="3" t="s">
        <v>401</v>
      </c>
      <c r="F439" s="3"/>
      <c r="G439" s="3" t="s">
        <v>90</v>
      </c>
    </row>
    <row r="440" spans="1:7" ht="12.75" customHeight="1" x14ac:dyDescent="0.25">
      <c r="A440" s="3" t="s">
        <v>749</v>
      </c>
      <c r="B440" s="4" t="s">
        <v>382</v>
      </c>
      <c r="C440" s="3" t="s">
        <v>403</v>
      </c>
      <c r="D440" s="3"/>
      <c r="E440" s="3" t="s">
        <v>404</v>
      </c>
      <c r="F440" s="3"/>
      <c r="G440" s="3" t="s">
        <v>45</v>
      </c>
    </row>
    <row r="441" spans="1:7" ht="12.75" customHeight="1" x14ac:dyDescent="0.25">
      <c r="A441" s="3" t="s">
        <v>750</v>
      </c>
      <c r="B441" s="4" t="s">
        <v>382</v>
      </c>
      <c r="C441" s="3" t="s">
        <v>403</v>
      </c>
      <c r="D441" s="3"/>
      <c r="E441" s="3" t="s">
        <v>404</v>
      </c>
      <c r="F441" s="3"/>
      <c r="G441" s="3" t="s">
        <v>89</v>
      </c>
    </row>
    <row r="442" spans="1:7" ht="12.75" customHeight="1" x14ac:dyDescent="0.25">
      <c r="A442" s="3" t="s">
        <v>749</v>
      </c>
      <c r="B442" s="4" t="s">
        <v>382</v>
      </c>
      <c r="C442" s="3" t="s">
        <v>403</v>
      </c>
      <c r="D442" s="3"/>
      <c r="E442" s="3" t="s">
        <v>406</v>
      </c>
      <c r="F442" s="3"/>
      <c r="G442" s="3" t="s">
        <v>89</v>
      </c>
    </row>
    <row r="443" spans="1:7" ht="12.75" customHeight="1" x14ac:dyDescent="0.25">
      <c r="A443" s="3" t="s">
        <v>750</v>
      </c>
      <c r="B443" s="4" t="s">
        <v>382</v>
      </c>
      <c r="C443" s="3" t="s">
        <v>403</v>
      </c>
      <c r="D443" s="3"/>
      <c r="E443" s="3" t="s">
        <v>406</v>
      </c>
      <c r="F443" s="3"/>
      <c r="G443" s="3" t="s">
        <v>89</v>
      </c>
    </row>
    <row r="444" spans="1:7" ht="12.75" customHeight="1" x14ac:dyDescent="0.25">
      <c r="A444" s="3" t="s">
        <v>749</v>
      </c>
      <c r="B444" s="4" t="s">
        <v>382</v>
      </c>
      <c r="C444" s="3" t="s">
        <v>408</v>
      </c>
      <c r="D444" s="3"/>
      <c r="E444" s="3" t="s">
        <v>409</v>
      </c>
      <c r="F444" s="3" t="s">
        <v>410</v>
      </c>
      <c r="G444" s="3" t="s">
        <v>34</v>
      </c>
    </row>
    <row r="445" spans="1:7" ht="12.75" customHeight="1" x14ac:dyDescent="0.25">
      <c r="A445" s="3" t="s">
        <v>750</v>
      </c>
      <c r="B445" s="4" t="s">
        <v>382</v>
      </c>
      <c r="C445" s="3" t="s">
        <v>408</v>
      </c>
      <c r="D445" s="3"/>
      <c r="E445" s="3" t="s">
        <v>411</v>
      </c>
      <c r="F445" s="3"/>
      <c r="G445" s="3" t="s">
        <v>34</v>
      </c>
    </row>
    <row r="446" spans="1:7" ht="12.75" customHeight="1" x14ac:dyDescent="0.25">
      <c r="A446" s="3" t="s">
        <v>749</v>
      </c>
      <c r="B446" s="4" t="s">
        <v>413</v>
      </c>
      <c r="C446" s="3" t="s">
        <v>414</v>
      </c>
      <c r="D446" s="3"/>
      <c r="E446" s="3" t="s">
        <v>415</v>
      </c>
      <c r="F446" s="3"/>
      <c r="G446" s="3" t="s">
        <v>45</v>
      </c>
    </row>
    <row r="447" spans="1:7" ht="12.75" customHeight="1" x14ac:dyDescent="0.25">
      <c r="A447" s="3" t="s">
        <v>750</v>
      </c>
      <c r="B447" s="4" t="s">
        <v>413</v>
      </c>
      <c r="C447" s="3" t="s">
        <v>414</v>
      </c>
      <c r="D447" s="3"/>
      <c r="E447" s="3" t="s">
        <v>213</v>
      </c>
      <c r="F447" s="3"/>
      <c r="G447" s="3" t="s">
        <v>12</v>
      </c>
    </row>
    <row r="448" spans="1:7" ht="12.75" customHeight="1" x14ac:dyDescent="0.25">
      <c r="A448" s="3" t="s">
        <v>749</v>
      </c>
      <c r="B448" s="4" t="s">
        <v>413</v>
      </c>
      <c r="C448" s="3" t="s">
        <v>416</v>
      </c>
      <c r="D448" s="3" t="s">
        <v>417</v>
      </c>
      <c r="E448" s="3" t="s">
        <v>418</v>
      </c>
      <c r="F448" s="3"/>
      <c r="G448" s="3" t="s">
        <v>419</v>
      </c>
    </row>
    <row r="449" spans="1:7" ht="12.75" customHeight="1" x14ac:dyDescent="0.25">
      <c r="A449" s="3" t="s">
        <v>750</v>
      </c>
      <c r="B449" s="4" t="s">
        <v>413</v>
      </c>
      <c r="C449" s="3" t="s">
        <v>416</v>
      </c>
      <c r="D449" s="3" t="s">
        <v>420</v>
      </c>
      <c r="E449" s="3" t="s">
        <v>421</v>
      </c>
      <c r="F449" s="3"/>
      <c r="G449" s="3" t="s">
        <v>12</v>
      </c>
    </row>
    <row r="450" spans="1:7" ht="12.75" customHeight="1" x14ac:dyDescent="0.25">
      <c r="A450" s="3" t="s">
        <v>749</v>
      </c>
      <c r="B450" s="4" t="s">
        <v>413</v>
      </c>
      <c r="C450" s="3" t="s">
        <v>422</v>
      </c>
      <c r="D450" s="3" t="s">
        <v>298</v>
      </c>
      <c r="E450" s="3" t="s">
        <v>423</v>
      </c>
      <c r="F450" s="3" t="s">
        <v>424</v>
      </c>
      <c r="G450" s="3" t="s">
        <v>34</v>
      </c>
    </row>
    <row r="451" spans="1:7" ht="12.75" customHeight="1" x14ac:dyDescent="0.25">
      <c r="A451" s="3" t="s">
        <v>750</v>
      </c>
      <c r="B451" s="4" t="s">
        <v>413</v>
      </c>
      <c r="C451" s="3" t="s">
        <v>422</v>
      </c>
      <c r="D451" s="3"/>
      <c r="E451" s="3" t="s">
        <v>425</v>
      </c>
      <c r="F451" s="3"/>
      <c r="G451" s="3" t="s">
        <v>34</v>
      </c>
    </row>
    <row r="452" spans="1:7" ht="12.75" customHeight="1" x14ac:dyDescent="0.25">
      <c r="A452" s="3" t="s">
        <v>749</v>
      </c>
      <c r="B452" s="4" t="s">
        <v>413</v>
      </c>
      <c r="C452" s="3" t="s">
        <v>426</v>
      </c>
      <c r="D452" s="3"/>
      <c r="E452" s="3" t="s">
        <v>427</v>
      </c>
      <c r="F452" s="3"/>
      <c r="G452" s="3" t="s">
        <v>34</v>
      </c>
    </row>
    <row r="453" spans="1:7" ht="12.75" customHeight="1" x14ac:dyDescent="0.25">
      <c r="A453" s="3" t="s">
        <v>750</v>
      </c>
      <c r="B453" s="4" t="s">
        <v>413</v>
      </c>
      <c r="C453" s="3" t="s">
        <v>426</v>
      </c>
      <c r="D453" s="3"/>
      <c r="E453" s="3" t="s">
        <v>428</v>
      </c>
      <c r="F453" s="3"/>
      <c r="G453" s="3" t="s">
        <v>34</v>
      </c>
    </row>
    <row r="454" spans="1:7" ht="12.75" customHeight="1" x14ac:dyDescent="0.25">
      <c r="A454" s="3" t="s">
        <v>749</v>
      </c>
      <c r="B454" s="4" t="s">
        <v>413</v>
      </c>
      <c r="C454" s="3" t="s">
        <v>429</v>
      </c>
      <c r="D454" s="3"/>
      <c r="E454" s="3" t="s">
        <v>430</v>
      </c>
      <c r="F454" s="3"/>
      <c r="G454" s="3" t="s">
        <v>45</v>
      </c>
    </row>
    <row r="455" spans="1:7" ht="12.75" customHeight="1" x14ac:dyDescent="0.25">
      <c r="A455" s="3" t="s">
        <v>750</v>
      </c>
      <c r="B455" s="4" t="s">
        <v>413</v>
      </c>
      <c r="C455" s="3" t="s">
        <v>429</v>
      </c>
      <c r="D455" s="3"/>
      <c r="E455" s="3" t="s">
        <v>430</v>
      </c>
      <c r="F455" s="3"/>
      <c r="G455" s="3" t="s">
        <v>12</v>
      </c>
    </row>
    <row r="456" spans="1:7" ht="12.75" customHeight="1" x14ac:dyDescent="0.25">
      <c r="A456" s="3" t="s">
        <v>749</v>
      </c>
      <c r="B456" s="4" t="s">
        <v>413</v>
      </c>
      <c r="C456" s="3" t="s">
        <v>429</v>
      </c>
      <c r="D456" s="3"/>
      <c r="E456" s="3" t="s">
        <v>431</v>
      </c>
      <c r="F456" s="3"/>
      <c r="G456" s="3" t="s">
        <v>45</v>
      </c>
    </row>
    <row r="457" spans="1:7" ht="12.75" customHeight="1" x14ac:dyDescent="0.25">
      <c r="A457" s="3" t="s">
        <v>750</v>
      </c>
      <c r="B457" s="4" t="s">
        <v>413</v>
      </c>
      <c r="C457" s="3" t="s">
        <v>429</v>
      </c>
      <c r="D457" s="3"/>
      <c r="E457" s="3" t="s">
        <v>431</v>
      </c>
      <c r="F457" s="3"/>
      <c r="G457" s="3" t="s">
        <v>12</v>
      </c>
    </row>
    <row r="458" spans="1:7" ht="12.75" customHeight="1" x14ac:dyDescent="0.25">
      <c r="A458" s="3" t="s">
        <v>749</v>
      </c>
      <c r="B458" s="4" t="s">
        <v>413</v>
      </c>
      <c r="C458" s="3" t="s">
        <v>432</v>
      </c>
      <c r="D458" s="3"/>
      <c r="E458" s="3" t="s">
        <v>433</v>
      </c>
      <c r="F458" s="3"/>
      <c r="G458" s="3" t="s">
        <v>24</v>
      </c>
    </row>
    <row r="459" spans="1:7" ht="12.75" customHeight="1" x14ac:dyDescent="0.25">
      <c r="A459" s="3" t="s">
        <v>750</v>
      </c>
      <c r="B459" s="4" t="s">
        <v>413</v>
      </c>
      <c r="C459" s="3" t="s">
        <v>432</v>
      </c>
      <c r="D459" s="3"/>
      <c r="E459" s="3" t="s">
        <v>434</v>
      </c>
      <c r="F459" s="3"/>
      <c r="G459" s="3" t="s">
        <v>34</v>
      </c>
    </row>
    <row r="460" spans="1:7" ht="12.75" customHeight="1" x14ac:dyDescent="0.2">
      <c r="A460" s="3" t="s">
        <v>749</v>
      </c>
      <c r="B460" s="3" t="s">
        <v>435</v>
      </c>
      <c r="C460" s="3" t="s">
        <v>436</v>
      </c>
      <c r="D460" s="3"/>
      <c r="E460" s="3" t="s">
        <v>437</v>
      </c>
      <c r="F460" s="3"/>
      <c r="G460" s="3" t="s">
        <v>419</v>
      </c>
    </row>
    <row r="461" spans="1:7" ht="12.75" customHeight="1" x14ac:dyDescent="0.2">
      <c r="A461" s="3" t="s">
        <v>750</v>
      </c>
      <c r="B461" s="3" t="s">
        <v>435</v>
      </c>
      <c r="C461" s="3" t="s">
        <v>436</v>
      </c>
      <c r="D461" s="3"/>
      <c r="E461" s="3" t="s">
        <v>437</v>
      </c>
      <c r="F461" s="3"/>
      <c r="G461" s="3" t="s">
        <v>12</v>
      </c>
    </row>
    <row r="462" spans="1:7" ht="12.75" customHeight="1" x14ac:dyDescent="0.2">
      <c r="A462" s="3" t="s">
        <v>749</v>
      </c>
      <c r="B462" s="3" t="s">
        <v>435</v>
      </c>
      <c r="C462" s="3" t="s">
        <v>438</v>
      </c>
      <c r="D462" s="3"/>
      <c r="E462" s="3" t="s">
        <v>439</v>
      </c>
      <c r="F462" s="3"/>
      <c r="G462" s="3" t="s">
        <v>12</v>
      </c>
    </row>
    <row r="463" spans="1:7" ht="12.75" customHeight="1" x14ac:dyDescent="0.2">
      <c r="A463" s="3" t="s">
        <v>750</v>
      </c>
      <c r="B463" s="3" t="s">
        <v>435</v>
      </c>
      <c r="C463" s="3" t="s">
        <v>438</v>
      </c>
      <c r="D463" s="3"/>
      <c r="E463" s="3" t="s">
        <v>439</v>
      </c>
      <c r="F463" s="3"/>
      <c r="G463" s="3" t="s">
        <v>12</v>
      </c>
    </row>
    <row r="464" spans="1:7" ht="12.75" customHeight="1" x14ac:dyDescent="0.2">
      <c r="A464" s="3" t="s">
        <v>749</v>
      </c>
      <c r="B464" s="3" t="s">
        <v>435</v>
      </c>
      <c r="C464" s="3" t="s">
        <v>440</v>
      </c>
      <c r="D464" s="3"/>
      <c r="E464" s="3" t="s">
        <v>47</v>
      </c>
      <c r="F464" s="3"/>
      <c r="G464" s="3" t="s">
        <v>34</v>
      </c>
    </row>
    <row r="465" spans="1:7" ht="12.75" customHeight="1" x14ac:dyDescent="0.2">
      <c r="A465" s="3" t="s">
        <v>750</v>
      </c>
      <c r="B465" s="3" t="s">
        <v>435</v>
      </c>
      <c r="C465" s="3" t="s">
        <v>440</v>
      </c>
      <c r="D465" s="3"/>
      <c r="E465" s="3" t="s">
        <v>48</v>
      </c>
      <c r="F465" s="3"/>
      <c r="G465" s="3" t="s">
        <v>34</v>
      </c>
    </row>
  </sheetData>
  <autoFilter ref="A1:G1" xr:uid="{520C4EF8-AF5B-4056-80A8-583D194DE1EB}"/>
  <sortState xmlns:xlrd2="http://schemas.microsoft.com/office/spreadsheetml/2017/richdata2" ref="A2:G466">
    <sortCondition ref="C2:C466"/>
    <sortCondition ref="B2:B46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7109375" defaultRowHeight="15.75" customHeight="1" x14ac:dyDescent="0.2"/>
  <cols>
    <col min="1" max="1" width="27.28515625" customWidth="1"/>
    <col min="2" max="3" width="4" customWidth="1"/>
    <col min="4" max="4" width="28.42578125" customWidth="1"/>
    <col min="5" max="5" width="2.85546875" customWidth="1"/>
    <col min="6" max="6" width="2.7109375" customWidth="1"/>
    <col min="7" max="7" width="26.28515625" customWidth="1"/>
    <col min="8" max="8" width="2" customWidth="1"/>
    <col min="9" max="9" width="2.7109375" customWidth="1"/>
    <col min="10" max="10" width="26.7109375" customWidth="1"/>
  </cols>
  <sheetData>
    <row r="1" spans="1:26" ht="15.75" customHeight="1" x14ac:dyDescent="0.2">
      <c r="A1" s="2" t="s">
        <v>742</v>
      </c>
      <c r="B1" s="1"/>
      <c r="C1" s="1"/>
      <c r="D1" s="2" t="s">
        <v>743</v>
      </c>
      <c r="E1" s="1"/>
      <c r="F1" s="1"/>
      <c r="G1" s="2" t="s">
        <v>744</v>
      </c>
      <c r="H1" s="1"/>
      <c r="I1" s="1"/>
      <c r="J1" s="1" t="s">
        <v>745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 t="str">
        <f ca="1">IFERROR(__xludf.DUMMYFUNCTION("IMPORTRANGE(""https://docs.google.com/spreadsheets/d/1Hm5w5AaYN0mC-qaERgx6luLTLTtrgI96_FivH_V5rYs"",""Input!A2:A100"")"),"attentions from the model")</f>
        <v>attentions from the model</v>
      </c>
      <c r="B2" s="1"/>
      <c r="C2" s="1"/>
      <c r="D2" s="2" t="str">
        <f ca="1">IFERROR(__xludf.DUMMYFUNCTION("IMPORTRANGE(""https://docs.google.com/spreadsheets/d/1Hm5w5AaYN0mC-qaERgx6luLTLTtrgI96_FivH_V5rYs"",""Technique!A2:A500"")"),"A-B testing")</f>
        <v>A-B testing</v>
      </c>
      <c r="E2" s="1"/>
      <c r="F2" s="1"/>
      <c r="G2" s="2" t="str">
        <f ca="1">IFERROR(__xludf.DUMMYFUNCTION("IMPORTRANGE(""https://docs.google.com/spreadsheets/d/1Hm5w5AaYN0mC-qaERgx6luLTLTtrgI96_FivH_V5rYs"",""Purpouse!A2:A400"")"),"as a way to achieve sucess/popularity, research")</f>
        <v>as a way to achieve sucess/popularity, research</v>
      </c>
      <c r="H2" s="1"/>
      <c r="I2" s="1"/>
      <c r="J2" s="1" t="str">
        <f ca="1">IFERROR(__xludf.DUMMYFUNCTION("IMPORTRANGE(""https://docs.google.com/spreadsheets/d/1Hm5w5AaYN0mC-qaERgx6luLTLTtrgI96_FivH_V5rYs"",""Pipeline!A2:A80"")"),"")</f>
        <v/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 t="str">
        <f ca="1">IFERROR(__xludf.DUMMYFUNCTION("""COMPUTED_VALUE"""),"automatically labeled data")</f>
        <v>automatically labeled data</v>
      </c>
      <c r="B3" s="1"/>
      <c r="C3" s="1"/>
      <c r="D3" s="2" t="str">
        <f ca="1">IFERROR(__xludf.DUMMYFUNCTION("""COMPUTED_VALUE"""),"A-B testing with retraining the model after 1 month")</f>
        <v>A-B testing with retraining the model after 1 month</v>
      </c>
      <c r="E3" s="1"/>
      <c r="F3" s="1"/>
      <c r="G3" s="2" t="str">
        <f ca="1">IFERROR(__xludf.DUMMYFUNCTION("""COMPUTED_VALUE"""),"for imputing missing values, when working with numerical data")</f>
        <v>for imputing missing values, when working with numerical data</v>
      </c>
      <c r="H3" s="1"/>
      <c r="I3" s="1"/>
      <c r="J3" s="1" t="str">
        <f ca="1">IFERROR(__xludf.DUMMYFUNCTION("""COMPUTED_VALUE"""),"Model Evaluation")</f>
        <v>Model Evaluation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2" t="str">
        <f ca="1">IFERROR(__xludf.DUMMYFUNCTION("""COMPUTED_VALUE"""),"big test dataset + model")</f>
        <v>big test dataset + model</v>
      </c>
      <c r="B4" s="1"/>
      <c r="C4" s="1"/>
      <c r="D4" s="2" t="str">
        <f ca="1">IFERROR(__xludf.DUMMYFUNCTION("""COMPUTED_VALUE"""),"ablation study (changing promps)")</f>
        <v>ablation study (changing promps)</v>
      </c>
      <c r="E4" s="1"/>
      <c r="F4" s="1"/>
      <c r="G4" s="2" t="str">
        <f ca="1">IFERROR(__xludf.DUMMYFUNCTION("""COMPUTED_VALUE"""),"for training deep learning models")</f>
        <v>for training deep learning models</v>
      </c>
      <c r="H4" s="1"/>
      <c r="I4" s="1"/>
      <c r="J4" s="1" t="str">
        <f ca="1">IFERROR(__xludf.DUMMYFUNCTION("""COMPUTED_VALUE"""),"Data Cleaning")</f>
        <v>Data Cleaning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2" t="str">
        <f ca="1">IFERROR(__xludf.DUMMYFUNCTION("""COMPUTED_VALUE"""),"biomedical signal (i.e., ECG data)")</f>
        <v>biomedical signal (i.e., ECG data)</v>
      </c>
      <c r="B5" s="1"/>
      <c r="C5" s="1"/>
      <c r="D5" s="2" t="str">
        <f ca="1">IFERROR(__xludf.DUMMYFUNCTION("""COMPUTED_VALUE"""),"ablation study (removing parts of data and components)")</f>
        <v>ablation study (removing parts of data and components)</v>
      </c>
      <c r="E5" s="1"/>
      <c r="F5" s="1"/>
      <c r="G5" s="2" t="str">
        <f ca="1">IFERROR(__xludf.DUMMYFUNCTION("""COMPUTED_VALUE"""),"to achieve a complex goal (i.e., mixed goal)")</f>
        <v>to achieve a complex goal (i.e., mixed goal)</v>
      </c>
      <c r="H5" s="1"/>
      <c r="I5" s="1"/>
      <c r="J5" s="1" t="str">
        <f ca="1">IFERROR(__xludf.DUMMYFUNCTION("""COMPUTED_VALUE"""),"Model Requirement, Model Training")</f>
        <v>Model Requirement, Model Training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2" t="str">
        <f ca="1">IFERROR(__xludf.DUMMYFUNCTION("""COMPUTED_VALUE"""),"code data")</f>
        <v>code data</v>
      </c>
      <c r="B6" s="1"/>
      <c r="C6" s="1"/>
      <c r="D6" s="2" t="str">
        <f ca="1">IFERROR(__xludf.DUMMYFUNCTION("""COMPUTED_VALUE"""),"active learning")</f>
        <v>active learning</v>
      </c>
      <c r="E6" s="1"/>
      <c r="F6" s="1"/>
      <c r="G6" s="2" t="str">
        <f ca="1">IFERROR(__xludf.DUMMYFUNCTION("""COMPUTED_VALUE"""),"to adapt a model architecture (transformer) to be able to receive a different input (two inputs)")</f>
        <v>to adapt a model architecture (transformer) to be able to receive a different input (two inputs)</v>
      </c>
      <c r="H6" s="1"/>
      <c r="I6" s="1"/>
      <c r="J6" s="1" t="str">
        <f ca="1">IFERROR(__xludf.DUMMYFUNCTION("""COMPUTED_VALUE"""),"Model Requirement")</f>
        <v>Model Requirement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2" t="str">
        <f ca="1">IFERROR(__xludf.DUMMYFUNCTION("""COMPUTED_VALUE"""),"code data (code from a repository)")</f>
        <v>code data (code from a repository)</v>
      </c>
      <c r="B7" s="1"/>
      <c r="C7" s="1"/>
      <c r="D7" s="2" t="str">
        <f ca="1">IFERROR(__xludf.DUMMYFUNCTION("""COMPUTED_VALUE"""),"adapt metrics and dependent variable to resemble human perception")</f>
        <v>adapt metrics and dependent variable to resemble human perception</v>
      </c>
      <c r="E7" s="1"/>
      <c r="F7" s="1"/>
      <c r="G7" s="2" t="str">
        <f ca="1">IFERROR(__xludf.DUMMYFUNCTION("""COMPUTED_VALUE"""),"to add a level of sanity checks, when labeling")</f>
        <v>to add a level of sanity checks, when labeling</v>
      </c>
      <c r="H7" s="1"/>
      <c r="I7" s="1"/>
      <c r="J7" s="1" t="str">
        <f ca="1">IFERROR(__xludf.DUMMYFUNCTION("""COMPUTED_VALUE"""),"Model Requirement, Model Evaluation")</f>
        <v>Model Requirement, Model Evaluation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2" t="str">
        <f ca="1">IFERROR(__xludf.DUMMYFUNCTION("""COMPUTED_VALUE"""),"code data (jupyter notebooks)")</f>
        <v>code data (jupyter notebooks)</v>
      </c>
      <c r="B8" s="1"/>
      <c r="C8" s="1"/>
      <c r="D8" s="2" t="str">
        <f ca="1">IFERROR(__xludf.DUMMYFUNCTION("""COMPUTED_VALUE"""),"analyze the problem to be solved and possible approaches")</f>
        <v>analyze the problem to be solved and possible approaches</v>
      </c>
      <c r="E8" s="1"/>
      <c r="F8" s="1"/>
      <c r="G8" s="2" t="str">
        <f ca="1">IFERROR(__xludf.DUMMYFUNCTION("""COMPUTED_VALUE"""),"to analyze current state of the problem in the community, research")</f>
        <v>to analyze current state of the problem in the community, research</v>
      </c>
      <c r="H8" s="1"/>
      <c r="I8" s="1"/>
      <c r="J8" s="1" t="str">
        <f ca="1">IFERROR(__xludf.DUMMYFUNCTION("""COMPUTED_VALUE"""),"Data Collection")</f>
        <v>Data Collection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2" t="str">
        <f ca="1">IFERROR(__xludf.DUMMYFUNCTION("""COMPUTED_VALUE"""),"code data (specific part + context)")</f>
        <v>code data (specific part + context)</v>
      </c>
      <c r="B9" s="1"/>
      <c r="C9" s="1"/>
      <c r="D9" s="2" t="str">
        <f ca="1">IFERROR(__xludf.DUMMYFUNCTION("""COMPUTED_VALUE"""),"analyze disagreements in labeling")</f>
        <v>analyze disagreements in labeling</v>
      </c>
      <c r="E9" s="1"/>
      <c r="F9" s="1"/>
      <c r="G9" s="2" t="str">
        <f ca="1">IFERROR(__xludf.DUMMYFUNCTION("""COMPUTED_VALUE"""),"to analyze if more model optimization is needed")</f>
        <v>to analyze if more model optimization is needed</v>
      </c>
      <c r="H9" s="1"/>
      <c r="I9" s="1"/>
      <c r="J9" s="1" t="str">
        <f ca="1">IFERROR(__xludf.DUMMYFUNCTION("""COMPUTED_VALUE"""),"Data Labeling")</f>
        <v>Data Labeling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2" t="str">
        <f ca="1">IFERROR(__xludf.DUMMYFUNCTION("""COMPUTED_VALUE"""),"code data (test set)")</f>
        <v>code data (test set)</v>
      </c>
      <c r="B10" s="1"/>
      <c r="C10" s="1"/>
      <c r="D10" s="2" t="str">
        <f ca="1">IFERROR(__xludf.DUMMYFUNCTION("""COMPUTED_VALUE"""),"analyze the attentions")</f>
        <v>analyze the attentions</v>
      </c>
      <c r="E10" s="1"/>
      <c r="F10" s="1"/>
      <c r="G10" s="2" t="str">
        <f ca="1">IFERROR(__xludf.DUMMYFUNCTION("""COMPUTED_VALUE"""),"to analyze the latent topics present in the data as part of EDA")</f>
        <v>to analyze the latent topics present in the data as part of EDA</v>
      </c>
      <c r="H10" s="1"/>
      <c r="I10" s="1"/>
      <c r="J10" s="1" t="str">
        <f ca="1">IFERROR(__xludf.DUMMYFUNCTION("""COMPUTED_VALUE"""),"Feature Engineering")</f>
        <v>Feature Engineering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2" t="str">
        <f ca="1">IFERROR(__xludf.DUMMYFUNCTION("""COMPUTED_VALUE"""),"code reviews")</f>
        <v>code reviews</v>
      </c>
      <c r="B11" s="1"/>
      <c r="C11" s="1"/>
      <c r="D11" s="2" t="str">
        <f ca="1">IFERROR(__xludf.DUMMYFUNCTION("""COMPUTED_VALUE"""),"analyze the generated embeddings")</f>
        <v>analyze the generated embeddings</v>
      </c>
      <c r="E11" s="1"/>
      <c r="F11" s="1"/>
      <c r="G11" s="2" t="str">
        <f ca="1">IFERROR(__xludf.DUMMYFUNCTION("""COMPUTED_VALUE"""),"to analyze whether the data are to blame for poor model performance")</f>
        <v>to analyze whether the data are to blame for poor model performance</v>
      </c>
      <c r="H11" s="1"/>
      <c r="I11" s="1"/>
      <c r="J11" s="1" t="str">
        <f ca="1">IFERROR(__xludf.DUMMYFUNCTION("""COMPUTED_VALUE"""),"Model Training")</f>
        <v>Model Training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2" t="str">
        <f ca="1">IFERROR(__xludf.DUMMYFUNCTION("""COMPUTED_VALUE"""),"complex model")</f>
        <v>complex model</v>
      </c>
      <c r="B12" s="1"/>
      <c r="C12" s="1"/>
      <c r="D12" s="2" t="str">
        <f ca="1">IFERROR(__xludf.DUMMYFUNCTION("""COMPUTED_VALUE"""),"analyze the model as a whole (i.e., architecture + data used + computed metrics)")</f>
        <v>analyze the model as a whole (i.e., architecture + data used + computed metrics)</v>
      </c>
      <c r="E12" s="1"/>
      <c r="F12" s="1"/>
      <c r="G12" s="2" t="str">
        <f ca="1">IFERROR(__xludf.DUMMYFUNCTION("""COMPUTED_VALUE"""),"to assess the bias given to the data")</f>
        <v>to assess the bias given to the data</v>
      </c>
      <c r="H12" s="1"/>
      <c r="I12" s="1"/>
      <c r="J12" s="1" t="str">
        <f ca="1">IFERROR(__xludf.DUMMYFUNCTION("""COMPUTED_VALUE"""),"Model Deployment")</f>
        <v>Model Deployment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2" t="str">
        <f ca="1">IFERROR(__xludf.DUMMYFUNCTION("""COMPUTED_VALUE"""),"computed metrics")</f>
        <v>computed metrics</v>
      </c>
      <c r="B13" s="1"/>
      <c r="C13" s="1"/>
      <c r="D13" s="2" t="str">
        <f ca="1">IFERROR(__xludf.DUMMYFUNCTION("""COMPUTED_VALUE"""),"anonymize")</f>
        <v>anonymize</v>
      </c>
      <c r="E13" s="1"/>
      <c r="F13" s="1"/>
      <c r="G13" s="2" t="str">
        <f ca="1">IFERROR(__xludf.DUMMYFUNCTION("""COMPUTED_VALUE"""),"to assign a final/verified label to the instances")</f>
        <v>to assign a final/verified label to the instances</v>
      </c>
      <c r="H13" s="1"/>
      <c r="I13" s="1"/>
      <c r="J13" s="1" t="str">
        <f ca="1">IFERROR(__xludf.DUMMYFUNCTION("""COMPUTED_VALUE"""),"Model Training, Model Evaluation")</f>
        <v>Model Training, Model Evaluation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2" t="str">
        <f ca="1">IFERROR(__xludf.DUMMYFUNCTION("""COMPUTED_VALUE"""),"computed metrics of multiple models")</f>
        <v>computed metrics of multiple models</v>
      </c>
      <c r="B14" s="1"/>
      <c r="C14" s="1"/>
      <c r="D14" s="2" t="str">
        <f ca="1">IFERROR(__xludf.DUMMYFUNCTION("""COMPUTED_VALUE"""),"apply manually identified cleaning rules")</f>
        <v>apply manually identified cleaning rules</v>
      </c>
      <c r="E14" s="1"/>
      <c r="F14" s="1"/>
      <c r="G14" s="2" t="str">
        <f ca="1">IFERROR(__xludf.DUMMYFUNCTION("""COMPUTED_VALUE"""),"to assign a label to the instances")</f>
        <v>to assign a label to the instances</v>
      </c>
      <c r="H14" s="1"/>
      <c r="I14" s="1"/>
      <c r="J14" s="1" t="str">
        <f ca="1">IFERROR(__xludf.DUMMYFUNCTION("""COMPUTED_VALUE"""),"Data Collection, Data Cleaning")</f>
        <v>Data Collection, Data Cleaning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2" t="str">
        <f ca="1">IFERROR(__xludf.DUMMYFUNCTION("""COMPUTED_VALUE"""),"created own metrics")</f>
        <v>created own metrics</v>
      </c>
      <c r="B15" s="1"/>
      <c r="C15" s="1"/>
      <c r="D15" s="2" t="str">
        <f ca="1">IFERROR(__xludf.DUMMYFUNCTION("""COMPUTED_VALUE"""),"apply minimal data cleaning")</f>
        <v>apply minimal data cleaning</v>
      </c>
      <c r="E15" s="1"/>
      <c r="F15" s="1"/>
      <c r="G15" s="2" t="str">
        <f ca="1">IFERROR(__xludf.DUMMYFUNCTION("""COMPUTED_VALUE"""),"to assign a final/verified label to the instances")</f>
        <v>to assign a final/verified label to the instances</v>
      </c>
      <c r="H15" s="1"/>
      <c r="I15" s="1"/>
      <c r="J15" s="1" t="str">
        <f ca="1">IFERROR(__xludf.DUMMYFUNCTION("""COMPUTED_VALUE"""),"Model Evaluation, Model Deployment")</f>
        <v>Model Evaluation, Model Deployment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2" t="str">
        <f ca="1">IFERROR(__xludf.DUMMYFUNCTION("""COMPUTED_VALUE"""),"data")</f>
        <v>data</v>
      </c>
      <c r="B16" s="1"/>
      <c r="C16" s="1"/>
      <c r="D16" s="2" t="str">
        <f ca="1">IFERROR(__xludf.DUMMYFUNCTION("""COMPUTED_VALUE"""),"apply minimal feature engineering")</f>
        <v>apply minimal feature engineering</v>
      </c>
      <c r="E16" s="1"/>
      <c r="F16" s="1"/>
      <c r="G16" s="2" t="str">
        <f ca="1">IFERROR(__xludf.DUMMYFUNCTION("""COMPUTED_VALUE"""),"to assign a label to the instances, when working with lexical annalysis")</f>
        <v>to assign a label to the instances, when working with lexical annalysis</v>
      </c>
      <c r="H16" s="1"/>
      <c r="I16" s="1"/>
      <c r="J16" s="1" t="str">
        <f ca="1">IFERROR(__xludf.DUMMYFUNCTION("""COMPUTED_VALUE"""),"Model Evaluation, Model Monitoring")</f>
        <v>Model Evaluation, Model Monitoring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2" t="str">
        <f ca="1">IFERROR(__xludf.DUMMYFUNCTION("""COMPUTED_VALUE"""),"data (current/updated) + model")</f>
        <v>data (current/updated) + model</v>
      </c>
      <c r="B17" s="1"/>
      <c r="C17" s="1"/>
      <c r="D17" s="2" t="str">
        <f ca="1">IFERROR(__xludf.DUMMYFUNCTION("""COMPUTED_VALUE"""),"assess compilability of generated code")</f>
        <v>assess compilability of generated code</v>
      </c>
      <c r="E17" s="1"/>
      <c r="F17" s="1"/>
      <c r="G17" s="2" t="str">
        <f ca="1">IFERROR(__xludf.DUMMYFUNCTION("""COMPUTED_VALUE"""),"to assign unverified labels to the instances")</f>
        <v>to assign unverified labels to the instances</v>
      </c>
      <c r="H17" s="1"/>
      <c r="I17" s="1"/>
      <c r="J17" s="1" t="str">
        <f ca="1">IFERROR(__xludf.DUMMYFUNCTION("""COMPUTED_VALUE"""),"Data Cleaning, Data Labeling")</f>
        <v>Data Cleaning, Data Labeling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2" t="str">
        <f ca="1">IFERROR(__xludf.DUMMYFUNCTION("""COMPUTED_VALUE"""),"data (new version) + model")</f>
        <v>data (new version) + model</v>
      </c>
      <c r="B18" s="1"/>
      <c r="C18" s="1"/>
      <c r="D18" s="2" t="str">
        <f ca="1">IFERROR(__xludf.DUMMYFUNCTION("""COMPUTED_VALUE"""),"assess correctness of generated code")</f>
        <v>assess correctness of generated code</v>
      </c>
      <c r="E18" s="1"/>
      <c r="F18" s="1"/>
      <c r="G18" s="2" t="str">
        <f ca="1">IFERROR(__xludf.DUMMYFUNCTION("""COMPUTED_VALUE"""),"to automate the cleaning process of the data based on the issues found")</f>
        <v>to automate the cleaning process of the data based on the issues found</v>
      </c>
      <c r="H18" s="1"/>
      <c r="I18" s="1"/>
      <c r="J18" s="1" t="str">
        <f ca="1">IFERROR(__xludf.DUMMYFUNCTION("""COMPUTED_VALUE"""),"Implementation")</f>
        <v>Implementation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2" t="str">
        <f ca="1">IFERROR(__xludf.DUMMYFUNCTION("""COMPUTED_VALUE"""),"data (own training data and existing training sets) + model(s)")</f>
        <v>data (own training data and existing training sets) + model(s)</v>
      </c>
      <c r="B19" s="1"/>
      <c r="C19" s="1"/>
      <c r="D19" s="2" t="str">
        <f ca="1">IFERROR(__xludf.DUMMYFUNCTION("""COMPUTED_VALUE"""),"assess correctness, syntax, of generated code")</f>
        <v>assess correctness, syntax, of generated code</v>
      </c>
      <c r="E19" s="1"/>
      <c r="F19" s="1"/>
      <c r="G19" s="2" t="str">
        <f ca="1">IFERROR(__xludf.DUMMYFUNCTION("""COMPUTED_VALUE"""),"to avoid biases")</f>
        <v>to avoid biases</v>
      </c>
      <c r="H19" s="1"/>
      <c r="I19" s="1"/>
      <c r="J19" s="1" t="str">
        <f ca="1">IFERROR(__xludf.DUMMYFUNCTION("""COMPUTED_VALUE"""),"Data Cleaning, Model Training, Model Evaluation")</f>
        <v>Data Cleaning, Model Training, Model Evaluation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2" t="str">
        <f ca="1">IFERROR(__xludf.DUMMYFUNCTION("""COMPUTED_VALUE"""),"data (test set) + model output")</f>
        <v>data (test set) + model output</v>
      </c>
      <c r="B20" s="1"/>
      <c r="C20" s="1"/>
      <c r="D20" s="2" t="str">
        <f ca="1">IFERROR(__xludf.DUMMYFUNCTION("""COMPUTED_VALUE"""),"assess runability of generated code")</f>
        <v>assess runability of generated code</v>
      </c>
      <c r="E20" s="1"/>
      <c r="F20" s="1"/>
      <c r="G20" s="2" t="str">
        <f ca="1">IFERROR(__xludf.DUMMYFUNCTION("""COMPUTED_VALUE"""),"to avoid biases in the evaluation metric due to data refinenment")</f>
        <v>to avoid biases in the evaluation metric due to data refinenment</v>
      </c>
      <c r="H20" s="1"/>
      <c r="I20" s="1"/>
      <c r="J20" s="1" t="str">
        <f ca="1">IFERROR(__xludf.DUMMYFUNCTION("""COMPUTED_VALUE"""),"Model Requirement, cross cutting")</f>
        <v>Model Requirement, cross cutting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2" t="str">
        <f ca="1">IFERROR(__xludf.DUMMYFUNCTION("""COMPUTED_VALUE"""),"data (test set) + model(s)")</f>
        <v>data (test set) + model(s)</v>
      </c>
      <c r="B21" s="1"/>
      <c r="C21" s="1"/>
      <c r="D21" s="2" t="str">
        <f ca="1">IFERROR(__xludf.DUMMYFUNCTION("""COMPUTED_VALUE"""),"assessing feasibility")</f>
        <v>assessing feasibility</v>
      </c>
      <c r="E21" s="1"/>
      <c r="F21" s="1"/>
      <c r="G21" s="2" t="str">
        <f ca="1">IFERROR(__xludf.DUMMYFUNCTION("""COMPUTED_VALUE"""),"to avoid biases, data biases related to the knowledge that the human has")</f>
        <v>to avoid biases, data biases related to the knowledge that the human has</v>
      </c>
      <c r="H21" s="1"/>
      <c r="I21" s="1"/>
      <c r="J21" s="1" t="str">
        <f ca="1">IFERROR(__xludf.DUMMYFUNCTION("""COMPUTED_VALUE"""),"Data Collection, Data Labeling")</f>
        <v>Data Collection, Data Labeling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2" t="str">
        <f ca="1">IFERROR(__xludf.DUMMYFUNCTION("""COMPUTED_VALUE"""),"data (train and validation sets) + model(s)")</f>
        <v>data (train and validation sets) + model(s)</v>
      </c>
      <c r="B22" s="1"/>
      <c r="C22" s="1"/>
      <c r="D22" s="2" t="str">
        <f ca="1">IFERROR(__xludf.DUMMYFUNCTION("""COMPUTED_VALUE"""),"augment datasets")</f>
        <v>augment datasets</v>
      </c>
      <c r="E22" s="1"/>
      <c r="F22" s="1"/>
      <c r="G22" s="2" t="str">
        <f ca="1">IFERROR(__xludf.DUMMYFUNCTION("""COMPUTED_VALUE"""),"to avoid biases, data biases showing all posible scenarios")</f>
        <v>to avoid biases, data biases showing all posible scenarios</v>
      </c>
      <c r="H22" s="1"/>
      <c r="I22" s="1"/>
      <c r="J22" s="1" t="str">
        <f ca="1">IFERROR(__xludf.DUMMYFUNCTION("""COMPUTED_VALUE"""),"cross cutting")</f>
        <v>cross cutting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2" t="str">
        <f ca="1">IFERROR(__xludf.DUMMYFUNCTION("""COMPUTED_VALUE"""),"data (training set) + model(s)")</f>
        <v>data (training set) + model(s)</v>
      </c>
      <c r="B23" s="1"/>
      <c r="C23" s="1"/>
      <c r="D23" s="2" t="str">
        <f ca="1">IFERROR(__xludf.DUMMYFUNCTION("""COMPUTED_VALUE"""),"auto-labeling, code smells")</f>
        <v>auto-labeling, code smells</v>
      </c>
      <c r="E23" s="1"/>
      <c r="F23" s="1"/>
      <c r="G23" s="2" t="str">
        <f ca="1">IFERROR(__xludf.DUMMYFUNCTION("""COMPUTED_VALUE"""),"to avoid data snoopping")</f>
        <v>to avoid data snoopping</v>
      </c>
      <c r="H23" s="1"/>
      <c r="I23" s="1"/>
      <c r="J23" s="1" t="str">
        <f ca="1">IFERROR(__xludf.DUMMYFUNCTION("""COMPUTED_VALUE"""),"Model Monitoring")</f>
        <v>Model Monitoring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2" t="str">
        <f ca="1">IFERROR(__xludf.DUMMYFUNCTION("""COMPUTED_VALUE"""),"data (validation set) + model(s)")</f>
        <v>data (validation set) + model(s)</v>
      </c>
      <c r="B24" s="1"/>
      <c r="C24" s="1"/>
      <c r="D24" s="2" t="str">
        <f ca="1">IFERROR(__xludf.DUMMYFUNCTION("""COMPUTED_VALUE"""),"auto-labeling, use commit history as data sources and ""labels"" (diff patches)")</f>
        <v>auto-labeling, use commit history as data sources and "labels" (diff patches)</v>
      </c>
      <c r="E24" s="1"/>
      <c r="F24" s="1"/>
      <c r="G24" s="2" t="str">
        <f ca="1">IFERROR(__xludf.DUMMYFUNCTION("""COMPUTED_VALUE"""),"to avoid data snoopping while training a LLM model in which training data is known")</f>
        <v>to avoid data snoopping while training a LLM model in which training data is known</v>
      </c>
      <c r="H24" s="1"/>
      <c r="I24" s="1"/>
      <c r="J24" s="1" t="str">
        <f ca="1">IFERROR(__xludf.DUMMYFUNCTION("""COMPUTED_VALUE"""),"Model Deployment, Model Monitoring")</f>
        <v>Model Deployment, Model Monitoring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2" t="str">
        <f ca="1">IFERROR(__xludf.DUMMYFUNCTION("""COMPUTED_VALUE"""),"data + baseline model(s)")</f>
        <v>data + baseline model(s)</v>
      </c>
      <c r="B25" s="1"/>
      <c r="C25" s="1"/>
      <c r="D25" s="2" t="str">
        <f ca="1">IFERROR(__xludf.DUMMYFUNCTION("""COMPUTED_VALUE"""),"auto-labeling, use the already existing code (e.g., asserts) as label")</f>
        <v>auto-labeling, use the already existing code (e.g., asserts) as label</v>
      </c>
      <c r="E25" s="1"/>
      <c r="F25" s="1"/>
      <c r="G25" s="2" t="str">
        <f ca="1">IFERROR(__xludf.DUMMYFUNCTION("""COMPUTED_VALUE"""),"to avoid data snoopping, when working with pre-trained models")</f>
        <v>to avoid data snoopping, when working with pre-trained models</v>
      </c>
      <c r="H25" s="1"/>
      <c r="I25" s="1"/>
      <c r="J25" s="1" t="str">
        <f ca="1">IFERROR(__xludf.DUMMYFUNCTION("""COMPUTED_VALUE"""),"Model Deployment, cross cutting")</f>
        <v>Model Deployment, cross cutting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2" t="str">
        <f ca="1">IFERROR(__xludf.DUMMYFUNCTION("""COMPUTED_VALUE"""),"data + metadata")</f>
        <v>data + metadata</v>
      </c>
      <c r="B26" s="1"/>
      <c r="C26" s="1"/>
      <c r="D26" s="2" t="str">
        <f ca="1">IFERROR(__xludf.DUMMYFUNCTION("""COMPUTED_VALUE"""),"auto-labeling, use the context from where the code belongs as label")</f>
        <v>auto-labeling, use the context from where the code belongs as label</v>
      </c>
      <c r="E26" s="1"/>
      <c r="F26" s="1"/>
      <c r="G26" s="2" t="str">
        <f ca="1">IFERROR(__xludf.DUMMYFUNCTION("""COMPUTED_VALUE"""),"to avoid sampling bias")</f>
        <v>to avoid sampling bias</v>
      </c>
      <c r="H26" s="1"/>
      <c r="I26" s="1"/>
      <c r="J26" s="1" t="str">
        <f ca="1">IFERROR(__xludf.DUMMYFUNCTION("""COMPUTED_VALUE"""),"Model Evaluation, cross cutting")</f>
        <v>Model Evaluation, cross cutting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2" t="str">
        <f ca="1">IFERROR(__xludf.DUMMYFUNCTION("""COMPUTED_VALUE"""),"data + model + default hyperparamers")</f>
        <v>data + model + default hyperparamers</v>
      </c>
      <c r="B27" s="1"/>
      <c r="C27" s="1"/>
      <c r="D27" s="2" t="str">
        <f ca="1">IFERROR(__xludf.DUMMYFUNCTION("""COMPUTED_VALUE"""),"automated assessments")</f>
        <v>automated assessments</v>
      </c>
      <c r="E27" s="1"/>
      <c r="F27" s="1"/>
      <c r="G27" s="2" t="str">
        <f ca="1">IFERROR(__xludf.DUMMYFUNCTION("""COMPUTED_VALUE"""),"to balance the data")</f>
        <v>to balance the data</v>
      </c>
      <c r="H27" s="1"/>
      <c r="I27" s="1"/>
      <c r="J27" s="1" t="str">
        <f ca="1">IFERROR(__xludf.DUMMYFUNCTION("""COMPUTED_VALUE"""),"Data Cleaning, Feature Engineering")</f>
        <v>Data Cleaning, Feature Engineering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2" t="str">
        <f ca="1">IFERROR(__xludf.DUMMYFUNCTION("""COMPUTED_VALUE"""),"data + model(s)")</f>
        <v>data + model(s)</v>
      </c>
      <c r="B28" s="1"/>
      <c r="C28" s="1"/>
      <c r="D28" s="2" t="str">
        <f ca="1">IFERROR(__xludf.DUMMYFUNCTION("""COMPUTED_VALUE"""),"automated data cleaning scripts")</f>
        <v>automated data cleaning scripts</v>
      </c>
      <c r="E28" s="1"/>
      <c r="F28" s="1"/>
      <c r="G28" s="2" t="str">
        <f ca="1">IFERROR(__xludf.DUMMYFUNCTION("""COMPUTED_VALUE"""),"to be able to access more data sources")</f>
        <v>to be able to access more data sources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2" t="str">
        <f ca="1">IFERROR(__xludf.DUMMYFUNCTION("""COMPUTED_VALUE"""),"data + model(s) + computed metrics")</f>
        <v>data + model(s) + computed metrics</v>
      </c>
      <c r="B29" s="1"/>
      <c r="C29" s="1"/>
      <c r="D29" s="2" t="str">
        <f ca="1">IFERROR(__xludf.DUMMYFUNCTION("""COMPUTED_VALUE"""),"automated evaluation")</f>
        <v>automated evaluation</v>
      </c>
      <c r="E29" s="1"/>
      <c r="F29" s="1"/>
      <c r="G29" s="2" t="str">
        <f ca="1">IFERROR(__xludf.DUMMYFUNCTION("""COMPUTED_VALUE"""),"to be able to draw correct conclusions from the results.")</f>
        <v>to be able to draw correct conclusions from the results.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2" t="str">
        <f ca="1">IFERROR(__xludf.DUMMYFUNCTION("""COMPUTED_VALUE"""),"data + sources")</f>
        <v>data + sources</v>
      </c>
      <c r="B30" s="1"/>
      <c r="C30" s="1"/>
      <c r="D30" s="2" t="str">
        <f ca="1">IFERROR(__xludf.DUMMYFUNCTION("""COMPUTED_VALUE"""),"automated feature extraction")</f>
        <v>automated feature extraction</v>
      </c>
      <c r="E30" s="1"/>
      <c r="F30" s="1"/>
      <c r="G30" s="2" t="str">
        <f ca="1">IFERROR(__xludf.DUMMYFUNCTION("""COMPUTED_VALUE"""),"to be able to replicate/reproduce a study, research")</f>
        <v>to be able to replicate/reproduce a study, research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8.25" x14ac:dyDescent="0.2">
      <c r="A31" s="2" t="str">
        <f ca="1">IFERROR(__xludf.DUMMYFUNCTION("""COMPUTED_VALUE"""),"data + unverified labels")</f>
        <v>data + unverified labels</v>
      </c>
      <c r="B31" s="1"/>
      <c r="C31" s="1"/>
      <c r="D31" s="2" t="str">
        <f ca="1">IFERROR(__xludf.DUMMYFUNCTION("""COMPUTED_VALUE"""),"binary classification")</f>
        <v>binary classification</v>
      </c>
      <c r="E31" s="1"/>
      <c r="F31" s="1"/>
      <c r="G31" s="2" t="str">
        <f ca="1">IFERROR(__xludf.DUMMYFUNCTION("""COMPUTED_VALUE"""),"to be transparent about why existing metrics are not enough, research")</f>
        <v>to be transparent about why existing metrics are not enough, research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5.5" x14ac:dyDescent="0.2">
      <c r="A32" s="2" t="str">
        <f ca="1">IFERROR(__xludf.DUMMYFUNCTION("""COMPUTED_VALUE"""),"data mined from Q&amp;As (i.e., stack overflow)")</f>
        <v>data mined from Q&amp;As (i.e., stack overflow)</v>
      </c>
      <c r="B32" s="1"/>
      <c r="C32" s="1"/>
      <c r="D32" s="2" t="str">
        <f ca="1">IFERROR(__xludf.DUMMYFUNCTION("""COMPUTED_VALUE"""),"build an AST adding different types of edges to the AST")</f>
        <v>build an AST adding different types of edges to the AST</v>
      </c>
      <c r="E32" s="1"/>
      <c r="F32" s="1"/>
      <c r="G32" s="2" t="str">
        <f ca="1">IFERROR(__xludf.DUMMYFUNCTION("""COMPUTED_VALUE"""),"to build a model")</f>
        <v>to build a model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5.5" x14ac:dyDescent="0.2">
      <c r="A33" s="2" t="str">
        <f ca="1">IFERROR(__xludf.DUMMYFUNCTION("""COMPUTED_VALUE"""),"data mined from repositories")</f>
        <v>data mined from repositories</v>
      </c>
      <c r="B33" s="1"/>
      <c r="C33" s="1"/>
      <c r="D33" s="2" t="str">
        <f ca="1">IFERROR(__xludf.DUMMYFUNCTION("""COMPUTED_VALUE"""),"check for data leakage")</f>
        <v>check for data leakage</v>
      </c>
      <c r="E33" s="1"/>
      <c r="F33" s="1"/>
      <c r="G33" s="2" t="str">
        <f ca="1">IFERROR(__xludf.DUMMYFUNCTION("""COMPUTED_VALUE"""),"to build a model, a transformer model")</f>
        <v>to build a model, a transformer model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8.25" x14ac:dyDescent="0.2">
      <c r="A34" s="2" t="str">
        <f ca="1">IFERROR(__xludf.DUMMYFUNCTION("""COMPUTED_VALUE"""),"data mined from repositories (i.e., GitHub) + model(s)")</f>
        <v>data mined from repositories (i.e., GitHub) + model(s)</v>
      </c>
      <c r="B34" s="1"/>
      <c r="C34" s="1"/>
      <c r="D34" s="2" t="str">
        <f ca="1">IFERROR(__xludf.DUMMYFUNCTION("""COMPUTED_VALUE"""),"check for prolonged fluctuations of concepts in data")</f>
        <v>check for prolonged fluctuations of concepts in data</v>
      </c>
      <c r="E34" s="1"/>
      <c r="F34" s="1"/>
      <c r="G34" s="2" t="str">
        <f ca="1">IFERROR(__xludf.DUMMYFUNCTION("""COMPUTED_VALUE"""),"to build a model, when dealing with high dimensional data")</f>
        <v>to build a model, when dealing with high dimensional data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5.5" x14ac:dyDescent="0.2">
      <c r="A35" s="2" t="str">
        <f ca="1">IFERROR(__xludf.DUMMYFUNCTION("""COMPUTED_VALUE"""),"data (train and test sets) + model")</f>
        <v>data (train and test sets) + model</v>
      </c>
      <c r="B35" s="1"/>
      <c r="C35" s="1"/>
      <c r="D35" s="2" t="str">
        <f ca="1">IFERROR(__xludf.DUMMYFUNCTION("""COMPUTED_VALUE"""),"check for safety threats")</f>
        <v>check for safety threats</v>
      </c>
      <c r="E35" s="1"/>
      <c r="F35" s="1"/>
      <c r="G35" s="2" t="str">
        <f ca="1">IFERROR(__xludf.DUMMYFUNCTION("""COMPUTED_VALUE"""),"to check for overfitting")</f>
        <v>to check for overfitting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5.5" x14ac:dyDescent="0.2">
      <c r="A36" s="2" t="str">
        <f ca="1">IFERROR(__xludf.DUMMYFUNCTION("""COMPUTED_VALUE"""),"data (validation and test sets) + model(s)")</f>
        <v>data (validation and test sets) + model(s)</v>
      </c>
      <c r="B36" s="1"/>
      <c r="C36" s="1"/>
      <c r="D36" s="2" t="str">
        <f ca="1">IFERROR(__xludf.DUMMYFUNCTION("""COMPUTED_VALUE"""),"check for sampling bias")</f>
        <v>check for sampling bias</v>
      </c>
      <c r="E36" s="1"/>
      <c r="F36" s="1"/>
      <c r="G36" s="2" t="str">
        <f ca="1">IFERROR(__xludf.DUMMYFUNCTION("""COMPUTED_VALUE"""),"to check for underfitting")</f>
        <v>to check for underfitting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5.5" x14ac:dyDescent="0.2">
      <c r="A37" s="2" t="str">
        <f ca="1">IFERROR(__xludf.DUMMYFUNCTION("""COMPUTED_VALUE"""),"deep learning model(s)")</f>
        <v>deep learning model(s)</v>
      </c>
      <c r="B37" s="1"/>
      <c r="C37" s="1"/>
      <c r="D37" s="2" t="str">
        <f ca="1">IFERROR(__xludf.DUMMYFUNCTION("""COMPUTED_VALUE"""),"check issues with the model (e.g., learning)")</f>
        <v>check issues with the model (e.g., learning)</v>
      </c>
      <c r="E37" s="1"/>
      <c r="F37" s="1"/>
      <c r="G37" s="2" t="str">
        <f ca="1">IFERROR(__xludf.DUMMYFUNCTION("""COMPUTED_VALUE"""),"to check that there are no issues with the model")</f>
        <v>to check that there are no issues with the model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8.25" x14ac:dyDescent="0.2">
      <c r="A38" s="2" t="str">
        <f ca="1">IFERROR(__xludf.DUMMYFUNCTION("""COMPUTED_VALUE"""),"deployed model")</f>
        <v>deployed model</v>
      </c>
      <c r="B38" s="1"/>
      <c r="C38" s="1"/>
      <c r="D38" s="2" t="str">
        <f ca="1">IFERROR(__xludf.DUMMYFUNCTION("""COMPUTED_VALUE"""),"check the representativeness of data")</f>
        <v>check the representativeness of data</v>
      </c>
      <c r="E38" s="1"/>
      <c r="F38" s="1"/>
      <c r="G38" s="2" t="str">
        <f ca="1">IFERROR(__xludf.DUMMYFUNCTION("""COMPUTED_VALUE"""),"to clean code data, when comments do not enrich the model")</f>
        <v>to clean code data, when comments do not enrich the model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5.5" x14ac:dyDescent="0.2">
      <c r="A39" s="2" t="str">
        <f ca="1">IFERROR(__xludf.DUMMYFUNCTION("""COMPUTED_VALUE"""),"embeddings")</f>
        <v>embeddings</v>
      </c>
      <c r="B39" s="1"/>
      <c r="C39" s="1"/>
      <c r="D39" s="2" t="str">
        <f ca="1">IFERROR(__xludf.DUMMYFUNCTION("""COMPUTED_VALUE"""),"clean data until it matches the use case")</f>
        <v>clean data until it matches the use case</v>
      </c>
      <c r="E39" s="1"/>
      <c r="F39" s="1"/>
      <c r="G39" s="2" t="str">
        <f ca="1">IFERROR(__xludf.DUMMYFUNCTION("""COMPUTED_VALUE"""),"to clean code data, when comments enrich the model")</f>
        <v>to clean code data, when comments enrich the model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8.25" x14ac:dyDescent="0.2">
      <c r="A40" s="2" t="str">
        <f ca="1">IFERROR(__xludf.DUMMYFUNCTION("""COMPUTED_VALUE"""),"existing datasets")</f>
        <v>existing datasets</v>
      </c>
      <c r="B40" s="1"/>
      <c r="C40" s="1"/>
      <c r="D40" s="2" t="str">
        <f ca="1">IFERROR(__xludf.DUMMYFUNCTION("""COMPUTED_VALUE"""),"clustering")</f>
        <v>clustering</v>
      </c>
      <c r="E40" s="1"/>
      <c r="F40" s="1"/>
      <c r="G40" s="2" t="str">
        <f ca="1">IFERROR(__xludf.DUMMYFUNCTION("""COMPUTED_VALUE"""),"to clean code data, when non-final code do not enrich the model")</f>
        <v>to clean code data, when non-final code do not enrich the model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5.5" x14ac:dyDescent="0.2">
      <c r="A41" s="2" t="str">
        <f ca="1">IFERROR(__xludf.DUMMYFUNCTION("""COMPUTED_VALUE"""),"image data")</f>
        <v>image data</v>
      </c>
      <c r="B41" s="1"/>
      <c r="C41" s="1"/>
      <c r="D41" s="2" t="str">
        <f ca="1">IFERROR(__xludf.DUMMYFUNCTION("""COMPUTED_VALUE"""),"collect as much data as you can")</f>
        <v>collect as much data as you can</v>
      </c>
      <c r="E41" s="1"/>
      <c r="F41" s="1"/>
      <c r="G41" s="2" t="str">
        <f ca="1">IFERROR(__xludf.DUMMYFUNCTION("""COMPUTED_VALUE"""),"to clean data")</f>
        <v>to clean data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5.5" x14ac:dyDescent="0.2">
      <c r="A42" s="2" t="str">
        <f ca="1">IFERROR(__xludf.DUMMYFUNCTION("""COMPUTED_VALUE"""),"image data (screenshots)")</f>
        <v>image data (screenshots)</v>
      </c>
      <c r="B42" s="1"/>
      <c r="C42" s="1"/>
      <c r="D42" s="2" t="str">
        <f ca="1">IFERROR(__xludf.DUMMYFUNCTION("""COMPUTED_VALUE"""),"collect multimodal data (e.g., images, code, text)")</f>
        <v>collect multimodal data (e.g., images, code, text)</v>
      </c>
      <c r="E42" s="1"/>
      <c r="F42" s="1"/>
      <c r="G42" s="2" t="str">
        <f ca="1">IFERROR(__xludf.DUMMYFUNCTION("""COMPUTED_VALUE"""),"to clean data, categorical data")</f>
        <v>to clean data, categorical data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5.5" x14ac:dyDescent="0.2">
      <c r="A43" s="2" t="str">
        <f ca="1">IFERROR(__xludf.DUMMYFUNCTION("""COMPUTED_VALUE"""),"image-based model / computer-vision model")</f>
        <v>image-based model / computer-vision model</v>
      </c>
      <c r="B43" s="1"/>
      <c r="C43" s="1"/>
      <c r="D43" s="2" t="str">
        <f ca="1">IFERROR(__xludf.DUMMYFUNCTION("""COMPUTED_VALUE"""),"collect own data")</f>
        <v>collect own data</v>
      </c>
      <c r="E43" s="1"/>
      <c r="F43" s="1"/>
      <c r="G43" s="2" t="str">
        <f ca="1">IFERROR(__xludf.DUMMYFUNCTION("""COMPUTED_VALUE"""),"to clean data, code data")</f>
        <v>to clean data, code data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8.25" x14ac:dyDescent="0.2">
      <c r="A44" s="2" t="str">
        <f ca="1">IFERROR(__xludf.DUMMYFUNCTION("""COMPUTED_VALUE"""),"images data (screenshots) + unverified labels (crowdsourced)")</f>
        <v>images data (screenshots) + unverified labels (crowdsourced)</v>
      </c>
      <c r="B44" s="1"/>
      <c r="C44" s="1"/>
      <c r="D44" s="2" t="str">
        <f ca="1">IFERROR(__xludf.DUMMYFUNCTION("""COMPUTED_VALUE"""),"compare datasets and models")</f>
        <v>compare datasets and models</v>
      </c>
      <c r="E44" s="1"/>
      <c r="F44" s="1"/>
      <c r="G44" s="2" t="str">
        <f ca="1">IFERROR(__xludf.DUMMYFUNCTION("""COMPUTED_VALUE"""),"to clean data, data from repositories")</f>
        <v>to clean data, data from repositories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8.25" x14ac:dyDescent="0.2">
      <c r="A45" s="2" t="str">
        <f ca="1">IFERROR(__xludf.DUMMYFUNCTION("""COMPUTED_VALUE"""),"model + model features")</f>
        <v>model + model features</v>
      </c>
      <c r="B45" s="1"/>
      <c r="C45" s="1"/>
      <c r="D45" s="2" t="str">
        <f ca="1">IFERROR(__xludf.DUMMYFUNCTION("""COMPUTED_VALUE"""),"compare similarity metrics (Meteor, Rouge, BLEU) with human judgments from study")</f>
        <v>compare similarity metrics (Meteor, Rouge, BLEU) with human judgments from study</v>
      </c>
      <c r="E45" s="1"/>
      <c r="F45" s="1"/>
      <c r="G45" s="2" t="str">
        <f ca="1">IFERROR(__xludf.DUMMYFUNCTION("""COMPUTED_VALUE"""),"to clean data, data from repositories ensuring to have separate train and test set")</f>
        <v>to clean data, data from repositories ensuring to have separate train and test set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51" x14ac:dyDescent="0.2">
      <c r="A46" s="2" t="str">
        <f ca="1">IFERROR(__xludf.DUMMYFUNCTION("""COMPUTED_VALUE"""),"model architecture")</f>
        <v>model architecture</v>
      </c>
      <c r="B46" s="1"/>
      <c r="C46" s="1"/>
      <c r="D46" s="2" t="str">
        <f ca="1">IFERROR(__xludf.DUMMYFUNCTION("""COMPUTED_VALUE"""),"compare the current approach (i.e., ""as is"" solution) with the proposed solution (i.e., ""to be"" solution)")</f>
        <v>compare the current approach (i.e., "as is" solution) with the proposed solution (i.e., "to be" solution)</v>
      </c>
      <c r="E46" s="1"/>
      <c r="F46" s="1"/>
      <c r="G46" s="2" t="str">
        <f ca="1">IFERROR(__xludf.DUMMYFUNCTION("""COMPUTED_VALUE"""),"to clean data, existing data")</f>
        <v>to clean data, existing data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5.5" x14ac:dyDescent="0.2">
      <c r="A47" s="2" t="str">
        <f ca="1">IFERROR(__xludf.DUMMYFUNCTION("""COMPUTED_VALUE"""),"model features")</f>
        <v>model features</v>
      </c>
      <c r="B47" s="1"/>
      <c r="C47" s="1"/>
      <c r="D47" s="2" t="str">
        <f ca="1">IFERROR(__xludf.DUMMYFUNCTION("""COMPUTED_VALUE"""),"compare with simpler baseline models (Occam's razor)")</f>
        <v>compare with simpler baseline models (Occam's razor)</v>
      </c>
      <c r="E47" s="1"/>
      <c r="F47" s="1"/>
      <c r="G47" s="2" t="str">
        <f ca="1">IFERROR(__xludf.DUMMYFUNCTION("""COMPUTED_VALUE"""),"to clean data, image data")</f>
        <v>to clean data, image data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5.5" x14ac:dyDescent="0.2">
      <c r="A48" s="2" t="str">
        <f ca="1">IFERROR(__xludf.DUMMYFUNCTION("""COMPUTED_VALUE"""),"model output")</f>
        <v>model output</v>
      </c>
      <c r="B48" s="1"/>
      <c r="C48" s="1"/>
      <c r="D48" s="2" t="str">
        <f ca="1">IFERROR(__xludf.DUMMYFUNCTION("""COMPUTED_VALUE"""),"compute classical metrics (i.e.., Accuracy, Precision, Recall)")</f>
        <v>compute classical metrics (i.e.., Accuracy, Precision, Recall)</v>
      </c>
      <c r="E48" s="1"/>
      <c r="F48" s="1"/>
      <c r="G48" s="2" t="str">
        <f ca="1">IFERROR(__xludf.DUMMYFUNCTION("""COMPUTED_VALUE"""),"to collect data")</f>
        <v>to collect data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5.5" x14ac:dyDescent="0.2">
      <c r="A49" s="2" t="str">
        <f ca="1">IFERROR(__xludf.DUMMYFUNCTION("""COMPUTED_VALUE"""),"model output (i.e., generated code snippets)")</f>
        <v>model output (i.e., generated code snippets)</v>
      </c>
      <c r="B49" s="1"/>
      <c r="C49" s="1"/>
      <c r="D49" s="2" t="str">
        <f ca="1">IFERROR(__xludf.DUMMYFUNCTION("""COMPUTED_VALUE"""),"compute classical metrics (i.e.., F1, MCC, AUC)")</f>
        <v>compute classical metrics (i.e.., F1, MCC, AUC)</v>
      </c>
      <c r="E49" s="1"/>
      <c r="F49" s="1"/>
      <c r="G49" s="2" t="str">
        <f ca="1">IFERROR(__xludf.DUMMYFUNCTION("""COMPUTED_VALUE"""),"to collect data, code data")</f>
        <v>to collect data, code data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8.25" x14ac:dyDescent="0.2">
      <c r="A50" s="2" t="str">
        <f ca="1">IFERROR(__xludf.DUMMYFUNCTION("""COMPUTED_VALUE"""),"model(s)")</f>
        <v>model(s)</v>
      </c>
      <c r="B50" s="1"/>
      <c r="C50" s="1"/>
      <c r="D50" s="2" t="str">
        <f ca="1">IFERROR(__xludf.DUMMYFUNCTION("""COMPUTED_VALUE"""),"compute classical metrics (i.e.., Precision, Recall. F-meassure, AUROC)")</f>
        <v>compute classical metrics (i.e.., Precision, Recall. F-meassure, AUROC)</v>
      </c>
      <c r="E50" s="1"/>
      <c r="F50" s="1"/>
      <c r="G50" s="2" t="str">
        <f ca="1">IFERROR(__xludf.DUMMYFUNCTION("""COMPUTED_VALUE"""),"to collect data, code data made by humans")</f>
        <v>to collect data, code data made by humans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5.5" x14ac:dyDescent="0.2">
      <c r="A51" s="2" t="str">
        <f ca="1">IFERROR(__xludf.DUMMYFUNCTION("""COMPUTED_VALUE"""),"multimodal data (i.e., UI components + code)")</f>
        <v>multimodal data (i.e., UI components + code)</v>
      </c>
      <c r="B51" s="1"/>
      <c r="C51" s="1"/>
      <c r="D51" s="2" t="str">
        <f ca="1">IFERROR(__xludf.DUMMYFUNCTION("""COMPUTED_VALUE"""),"compute metrics (i.e., any BLEU configuration)")</f>
        <v>compute metrics (i.e., any BLEU configuration)</v>
      </c>
      <c r="E51" s="1"/>
      <c r="F51" s="1"/>
      <c r="G51" s="2" t="str">
        <f ca="1">IFERROR(__xludf.DUMMYFUNCTION("""COMPUTED_VALUE"""),"to collect data, code data made by machines")</f>
        <v>to collect data, code data made by machines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38.25" x14ac:dyDescent="0.2">
      <c r="A52" s="2" t="str">
        <f ca="1">IFERROR(__xludf.DUMMYFUNCTION("""COMPUTED_VALUE"""),"multimodal data +  model(s)")</f>
        <v>multimodal data +  model(s)</v>
      </c>
      <c r="B52" s="1"/>
      <c r="C52" s="1"/>
      <c r="D52" s="2" t="str">
        <f ca="1">IFERROR(__xludf.DUMMYFUNCTION("""COMPUTED_VALUE"""),"compute metrics (i.e., area under the curve, specifically AUROC)")</f>
        <v>compute metrics (i.e., area under the curve, specifically AUROC)</v>
      </c>
      <c r="E52" s="1"/>
      <c r="F52" s="1"/>
      <c r="G52" s="2" t="str">
        <f ca="1">IFERROR(__xludf.DUMMYFUNCTION("""COMPUTED_VALUE"""),"to collect data, data for specific use cases")</f>
        <v>to collect data, data for specific use cases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38.25" x14ac:dyDescent="0.2">
      <c r="A53" s="2" t="str">
        <f ca="1">IFERROR(__xludf.DUMMYFUNCTION("""COMPUTED_VALUE"""),"problem")</f>
        <v>problem</v>
      </c>
      <c r="B53" s="1"/>
      <c r="C53" s="1"/>
      <c r="D53" s="2" t="str">
        <f ca="1">IFERROR(__xludf.DUMMYFUNCTION("""COMPUTED_VALUE"""),"compute metrics (i.e., area under the curve)")</f>
        <v>compute metrics (i.e., area under the curve)</v>
      </c>
      <c r="E53" s="1"/>
      <c r="F53" s="1"/>
      <c r="G53" s="2" t="str">
        <f ca="1">IFERROR(__xludf.DUMMYFUNCTION("""COMPUTED_VALUE"""),"to collect data, data for specific use cases, mobile app undesired behaivour")</f>
        <v>to collect data, data for specific use cases, mobile app undesired behaivour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5.5" x14ac:dyDescent="0.2">
      <c r="A54" s="2" t="str">
        <f ca="1">IFERROR(__xludf.DUMMYFUNCTION("""COMPUTED_VALUE"""),"problem + its context (i.e, option space)")</f>
        <v>problem + its context (i.e, option space)</v>
      </c>
      <c r="B54" s="1"/>
      <c r="C54" s="1"/>
      <c r="D54" s="2" t="str">
        <f ca="1">IFERROR(__xludf.DUMMYFUNCTION("""COMPUTED_VALUE"""),"compute metrics (i.e., BLEU and ROUGE)")</f>
        <v>compute metrics (i.e., BLEU and ROUGE)</v>
      </c>
      <c r="E54" s="1"/>
      <c r="F54" s="1"/>
      <c r="G54" s="2" t="str">
        <f ca="1">IFERROR(__xludf.DUMMYFUNCTION("""COMPUTED_VALUE"""),"to collect data, data from repositories")</f>
        <v>to collect data, data from repositories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38.25" x14ac:dyDescent="0.2">
      <c r="A55" s="2" t="str">
        <f ca="1">IFERROR(__xludf.DUMMYFUNCTION("""COMPUTED_VALUE"""),"tabular data")</f>
        <v>tabular data</v>
      </c>
      <c r="B55" s="1"/>
      <c r="C55" s="1"/>
      <c r="D55" s="2" t="str">
        <f ca="1">IFERROR(__xludf.DUMMYFUNCTION("""COMPUTED_VALUE"""),"compute metrics (i.e., BLEU, Meteor and USE)")</f>
        <v>compute metrics (i.e., BLEU, Meteor and USE)</v>
      </c>
      <c r="E55" s="1"/>
      <c r="F55" s="1"/>
      <c r="G55" s="2" t="str">
        <f ca="1">IFERROR(__xludf.DUMMYFUNCTION("""COMPUTED_VALUE"""),"to collect data, data from repositories in a exhaustive way")</f>
        <v>to collect data, data from repositories in a exhaustive way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38.25" x14ac:dyDescent="0.2">
      <c r="A56" s="2" t="str">
        <f ca="1">IFERROR(__xludf.DUMMYFUNCTION("""COMPUTED_VALUE"""),"textual data (i.e., code or NLP)")</f>
        <v>textual data (i.e., code or NLP)</v>
      </c>
      <c r="B56" s="1"/>
      <c r="C56" s="1"/>
      <c r="D56" s="2" t="str">
        <f ca="1">IFERROR(__xludf.DUMMYFUNCTION("""COMPUTED_VALUE"""),"compute metrics (i.e., BLUE)")</f>
        <v>compute metrics (i.e., BLUE)</v>
      </c>
      <c r="E56" s="1"/>
      <c r="F56" s="1"/>
      <c r="G56" s="2" t="str">
        <f ca="1">IFERROR(__xludf.DUMMYFUNCTION("""COMPUTED_VALUE"""),"to collect data, data with labels (not manually assigned)")</f>
        <v>to collect data, data with labels (not manually assigned)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38.25" x14ac:dyDescent="0.2">
      <c r="A57" s="2" t="str">
        <f ca="1">IFERROR(__xludf.DUMMYFUNCTION("""COMPUTED_VALUE"""),"textual data (i.e., NLP) + model output (i.e., code data) + model(s)")</f>
        <v>textual data (i.e., NLP) + model output (i.e., code data) + model(s)</v>
      </c>
      <c r="B57" s="1"/>
      <c r="C57" s="1"/>
      <c r="D57" s="2" t="str">
        <f ca="1">IFERROR(__xludf.DUMMYFUNCTION("""COMPUTED_VALUE"""),"compute metrics (i.e., click-through rate)")</f>
        <v>compute metrics (i.e., click-through rate)</v>
      </c>
      <c r="E57" s="1"/>
      <c r="F57" s="1"/>
      <c r="G57" s="2" t="str">
        <f ca="1">IFERROR(__xludf.DUMMYFUNCTION("""COMPUTED_VALUE"""),"to collect data, medical data")</f>
        <v>to collect data, medical data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5.5" x14ac:dyDescent="0.2">
      <c r="A58" s="2" t="str">
        <f ca="1">IFERROR(__xludf.DUMMYFUNCTION("""COMPUTED_VALUE"""),"textual data (i.e., NLP) + textual data (i.e., code data)")</f>
        <v>textual data (i.e., NLP) + textual data (i.e., code data)</v>
      </c>
      <c r="B58" s="1"/>
      <c r="C58" s="1"/>
      <c r="D58" s="2" t="str">
        <f ca="1">IFERROR(__xludf.DUMMYFUNCTION("""COMPUTED_VALUE"""),"compute metrics (i.e., Mean Reciprocal Rank)")</f>
        <v>compute metrics (i.e., Mean Reciprocal Rank)</v>
      </c>
      <c r="E58" s="1"/>
      <c r="F58" s="1"/>
      <c r="G58" s="2" t="str">
        <f ca="1">IFERROR(__xludf.DUMMYFUNCTION("""COMPUTED_VALUE"""),"to collect data, paired data (i.e., NLP with code)")</f>
        <v>to collect data, paired data (i.e., NLP with code)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5.5" x14ac:dyDescent="0.2">
      <c r="A59" s="2" t="str">
        <f ca="1">IFERROR(__xludf.DUMMYFUNCTION("""COMPUTED_VALUE"""),"textual data, (developers conversations)")</f>
        <v>textual data, (developers conversations)</v>
      </c>
      <c r="B59" s="1"/>
      <c r="C59" s="1"/>
      <c r="D59" s="2" t="str">
        <f ca="1">IFERROR(__xludf.DUMMYFUNCTION("""COMPUTED_VALUE"""),"compute metrics that are good proxies for the wanted goal")</f>
        <v>compute metrics that are good proxies for the wanted goal</v>
      </c>
      <c r="E59" s="1"/>
      <c r="F59" s="1"/>
      <c r="G59" s="2" t="str">
        <f ca="1">IFERROR(__xludf.DUMMYFUNCTION("""COMPUTED_VALUE"""),"to collect data, SE related data")</f>
        <v>to collect data, SE related data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5.5" x14ac:dyDescent="0.2">
      <c r="A60" s="2" t="str">
        <f ca="1">IFERROR(__xludf.DUMMYFUNCTION("""COMPUTED_VALUE"""),"textual data (generated comments)")</f>
        <v>textual data (generated comments)</v>
      </c>
      <c r="B60" s="1"/>
      <c r="C60" s="1"/>
      <c r="D60" s="2" t="str">
        <f ca="1">IFERROR(__xludf.DUMMYFUNCTION("""COMPUTED_VALUE"""),"compute multiple metrics not only one")</f>
        <v>compute multiple metrics not only one</v>
      </c>
      <c r="E60" s="1"/>
      <c r="F60" s="1"/>
      <c r="G60" s="2" t="str">
        <f ca="1">IFERROR(__xludf.DUMMYFUNCTION("""COMPUTED_VALUE"""),"to collect data, when existing data is available")</f>
        <v>to collect data, when existing data is available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38.25" x14ac:dyDescent="0.2">
      <c r="A61" s="2" t="str">
        <f ca="1">IFERROR(__xludf.DUMMYFUNCTION("""COMPUTED_VALUE"""),"trained model")</f>
        <v>trained model</v>
      </c>
      <c r="B61" s="1"/>
      <c r="C61" s="1"/>
      <c r="D61" s="2" t="str">
        <f ca="1">IFERROR(__xludf.DUMMYFUNCTION("""COMPUTED_VALUE"""),"compute multiple metrics not only one, large amount of metrics")</f>
        <v>compute multiple metrics not only one, large amount of metrics</v>
      </c>
      <c r="E61" s="1"/>
      <c r="F61" s="1"/>
      <c r="G61" s="2" t="str">
        <f ca="1">IFERROR(__xludf.DUMMYFUNCTION("""COMPUTED_VALUE"""),"to collect data, when the existing data does not meet quality standards")</f>
        <v>to collect data, when the existing data does not meet quality standards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5.5" x14ac:dyDescent="0.2">
      <c r="A62" s="2" t="str">
        <f ca="1">IFERROR(__xludf.DUMMYFUNCTION("""COMPUTED_VALUE"""),"trained model with default hyperparameters")</f>
        <v>trained model with default hyperparameters</v>
      </c>
      <c r="B62" s="1"/>
      <c r="C62" s="1"/>
      <c r="D62" s="2" t="str">
        <f ca="1">IFERROR(__xludf.DUMMYFUNCTION("""COMPUTED_VALUE"""),"computer performance metrics")</f>
        <v>computer performance metrics</v>
      </c>
      <c r="E62" s="1"/>
      <c r="F62" s="1"/>
      <c r="G62" s="2" t="str">
        <f ca="1">IFERROR(__xludf.DUMMYFUNCTION("""COMPUTED_VALUE"""),"to collect data, when the required data does not exist")</f>
        <v>to collect data, when the required data does not exist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51" x14ac:dyDescent="0.2">
      <c r="A63" s="2" t="str">
        <f ca="1">IFERROR(__xludf.DUMMYFUNCTION("""COMPUTED_VALUE"""),"unlabeled data partitions")</f>
        <v>unlabeled data partitions</v>
      </c>
      <c r="B63" s="1"/>
      <c r="C63" s="1"/>
      <c r="D63" s="2" t="str">
        <f ca="1">IFERROR(__xludf.DUMMYFUNCTION("""COMPUTED_VALUE"""),"consider bias from data collection")</f>
        <v>consider bias from data collection</v>
      </c>
      <c r="E63" s="1"/>
      <c r="F63" s="1"/>
      <c r="G63" s="2" t="str">
        <f ca="1">IFERROR(__xludf.DUMMYFUNCTION("""COMPUTED_VALUE"""),"to collect data, when the required data does not exist or the available data is too complex")</f>
        <v>to collect data, when the required data does not exist or the available data is too complex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5.5" x14ac:dyDescent="0.2">
      <c r="A64" s="2" t="str">
        <f ca="1">IFERROR(__xludf.DUMMYFUNCTION("""COMPUTED_VALUE"""),"unlabeled data partitions + model")</f>
        <v>unlabeled data partitions + model</v>
      </c>
      <c r="B64" s="1"/>
      <c r="C64" s="1"/>
      <c r="D64" s="2" t="str">
        <f ca="1">IFERROR(__xludf.DUMMYFUNCTION("""COMPUTED_VALUE"""),"consider bias when filtering")</f>
        <v>consider bias when filtering</v>
      </c>
      <c r="E64" s="1"/>
      <c r="F64" s="1"/>
      <c r="G64" s="2" t="str">
        <f ca="1">IFERROR(__xludf.DUMMYFUNCTION("""COMPUTED_VALUE"""),"to compare the result between groups of interest")</f>
        <v>to compare the result between groups of interest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5.5" x14ac:dyDescent="0.2">
      <c r="A65" s="2" t="str">
        <f ca="1">IFERROR(__xludf.DUMMYFUNCTION("""COMPUTED_VALUE"""),"unlabeled images")</f>
        <v>unlabeled images</v>
      </c>
      <c r="B65" s="1"/>
      <c r="C65" s="1"/>
      <c r="D65" s="2" t="str">
        <f ca="1">IFERROR(__xludf.DUMMYFUNCTION("""COMPUTED_VALUE"""),"consider data, model (own), baselines, and metrics")</f>
        <v>consider data, model (own), baselines, and metrics</v>
      </c>
      <c r="E65" s="1"/>
      <c r="F65" s="1"/>
      <c r="G65" s="2" t="str">
        <f ca="1">IFERROR(__xludf.DUMMYFUNCTION("""COMPUTED_VALUE"""),"to compare the result with other approaches")</f>
        <v>to compare the result with other approaches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51" x14ac:dyDescent="0.2">
      <c r="A66" s="2" t="str">
        <f ca="1">IFERROR(__xludf.DUMMYFUNCTION("""COMPUTED_VALUE"""),"unustructured data")</f>
        <v>unustructured data</v>
      </c>
      <c r="B66" s="1"/>
      <c r="C66" s="1"/>
      <c r="D66" s="2" t="str">
        <f ca="1">IFERROR(__xludf.DUMMYFUNCTION("""COMPUTED_VALUE"""),"consider non functional aspects")</f>
        <v>consider non functional aspects</v>
      </c>
      <c r="E66" s="1"/>
      <c r="F66" s="1"/>
      <c r="G66" s="2" t="str">
        <f ca="1">IFERROR(__xludf.DUMMYFUNCTION("""COMPUTED_VALUE"""),"to compare the result with other approaches, when replicating/reproducing a study")</f>
        <v>to compare the result with other approaches, when replicating/reproducing a study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38.25" x14ac:dyDescent="0.2">
      <c r="A67" s="2" t="str">
        <f ca="1">IFERROR(__xludf.DUMMYFUNCTION("""COMPUTED_VALUE"""),"validated model")</f>
        <v>validated model</v>
      </c>
      <c r="B67" s="1"/>
      <c r="C67" s="1"/>
      <c r="D67" s="2" t="str">
        <f ca="1">IFERROR(__xludf.DUMMYFUNCTION("""COMPUTED_VALUE"""),"consider non ML approaches (e.g., logic and static programing)")</f>
        <v>consider non ML approaches (e.g., logic and static programing)</v>
      </c>
      <c r="E67" s="1"/>
      <c r="F67" s="1"/>
      <c r="G67" s="2" t="str">
        <f ca="1">IFERROR(__xludf.DUMMYFUNCTION("""COMPUTED_VALUE"""),"to consider different approaches, and not only the in trend approach")</f>
        <v>to consider different approaches, and not only the in trend approach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5.5" x14ac:dyDescent="0.2">
      <c r="A68" s="2" t="str">
        <f ca="1">IFERROR(__xludf.DUMMYFUNCTION("""COMPUTED_VALUE"""),"wanted goal")</f>
        <v>wanted goal</v>
      </c>
      <c r="B68" s="1"/>
      <c r="C68" s="1"/>
      <c r="D68" s="2" t="str">
        <f ca="1">IFERROR(__xludf.DUMMYFUNCTION("""COMPUTED_VALUE"""),"consider provided descriptve statistics by the dataset")</f>
        <v>consider provided descriptve statistics by the dataset</v>
      </c>
      <c r="E68" s="1"/>
      <c r="F68" s="1"/>
      <c r="G68" s="2" t="str">
        <f ca="1">IFERROR(__xludf.DUMMYFUNCTION("""COMPUTED_VALUE"""),"to control bias")</f>
        <v>to control bias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8.25" x14ac:dyDescent="0.2">
      <c r="A69" s="2" t="str">
        <f ca="1">IFERROR(__xludf.DUMMYFUNCTION("""COMPUTED_VALUE"""),"data + model output")</f>
        <v>data + model output</v>
      </c>
      <c r="B69" s="1"/>
      <c r="C69" s="1"/>
      <c r="D69" s="2" t="str">
        <f ca="1">IFERROR(__xludf.DUMMYFUNCTION("""COMPUTED_VALUE"""),"consider socio-technical concerns and environmental aspects")</f>
        <v>consider socio-technical concerns and environmental aspects</v>
      </c>
      <c r="E69" s="1"/>
      <c r="F69" s="1"/>
      <c r="G69" s="2" t="str">
        <f ca="1">IFERROR(__xludf.DUMMYFUNCTION("""COMPUTED_VALUE"""),"to control bias in an appropiate stage")</f>
        <v>to control bias in an appropiate stage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5.5" x14ac:dyDescent="0.2">
      <c r="A70" s="2" t="str">
        <f ca="1">IFERROR(__xludf.DUMMYFUNCTION("""COMPUTED_VALUE"""),"report ablation study metrics")</f>
        <v>report ablation study metrics</v>
      </c>
      <c r="B70" s="1"/>
      <c r="C70" s="1"/>
      <c r="D70" s="2" t="str">
        <f ca="1">IFERROR(__xludf.DUMMYFUNCTION("""COMPUTED_VALUE"""),"consider state-of-the-art models and evaluate them")</f>
        <v>consider state-of-the-art models and evaluate them</v>
      </c>
      <c r="E70" s="1"/>
      <c r="F70" s="1"/>
      <c r="G70" s="2" t="str">
        <f ca="1">IFERROR(__xludf.DUMMYFUNCTION("""COMPUTED_VALUE"""),"to control bias, when using classification models")</f>
        <v>to control bias, when using classification models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38.25" x14ac:dyDescent="0.2">
      <c r="A71" s="1"/>
      <c r="B71" s="1"/>
      <c r="C71" s="1"/>
      <c r="D71" s="2" t="str">
        <f ca="1">IFERROR(__xludf.DUMMYFUNCTION("""COMPUTED_VALUE"""),"consider state-of-the-art models with model/architecture adapatation")</f>
        <v>consider state-of-the-art models with model/architecture adapatation</v>
      </c>
      <c r="E71" s="1"/>
      <c r="F71" s="1"/>
      <c r="G71" s="2" t="str">
        <f ca="1">IFERROR(__xludf.DUMMYFUNCTION("""COMPUTED_VALUE"""),"to control overfitting")</f>
        <v>to control overfitting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5.5" x14ac:dyDescent="0.2">
      <c r="A72" s="1"/>
      <c r="B72" s="1"/>
      <c r="C72" s="1"/>
      <c r="D72" s="2" t="str">
        <f ca="1">IFERROR(__xludf.DUMMYFUNCTION("""COMPUTED_VALUE"""),"consider the context of the code (e.g., function -&gt; file)")</f>
        <v>consider the context of the code (e.g., function -&gt; file)</v>
      </c>
      <c r="E72" s="1"/>
      <c r="F72" s="1"/>
      <c r="G72" s="2" t="str">
        <f ca="1">IFERROR(__xludf.DUMMYFUNCTION("""COMPUTED_VALUE"""),"to control sample bias, research")</f>
        <v>to control sample bias, research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5.5" x14ac:dyDescent="0.2">
      <c r="A73" s="1"/>
      <c r="B73" s="1"/>
      <c r="C73" s="1"/>
      <c r="D73" s="2" t="str">
        <f ca="1">IFERROR(__xludf.DUMMYFUNCTION("""COMPUTED_VALUE"""),"consider the logic of the code (e.g., code overloading )")</f>
        <v>consider the logic of the code (e.g., code overloading )</v>
      </c>
      <c r="E73" s="1"/>
      <c r="F73" s="1"/>
      <c r="G73" s="2" t="str">
        <f ca="1">IFERROR(__xludf.DUMMYFUNCTION("""COMPUTED_VALUE"""),"to convert a serie to tabular data")</f>
        <v>to convert a serie to tabular data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38.25" x14ac:dyDescent="0.2">
      <c r="A74" s="1"/>
      <c r="B74" s="1"/>
      <c r="C74" s="1"/>
      <c r="D74" s="2" t="str">
        <f ca="1">IFERROR(__xludf.DUMMYFUNCTION("""COMPUTED_VALUE"""),"consider the prominent features/factors identified during EDA")</f>
        <v>consider the prominent features/factors identified during EDA</v>
      </c>
      <c r="E74" s="1"/>
      <c r="F74" s="1"/>
      <c r="G74" s="2" t="str">
        <f ca="1">IFERROR(__xludf.DUMMYFUNCTION("""COMPUTED_VALUE"""),"to correct existing labels")</f>
        <v>to correct existing labels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5.5" x14ac:dyDescent="0.2">
      <c r="A75" s="1"/>
      <c r="B75" s="1"/>
      <c r="C75" s="1"/>
      <c r="D75" s="2" t="str">
        <f ca="1">IFERROR(__xludf.DUMMYFUNCTION("""COMPUTED_VALUE"""),"consider whether the data are balanced or not ")</f>
        <v xml:space="preserve">consider whether the data are balanced or not </v>
      </c>
      <c r="E75" s="1"/>
      <c r="F75" s="1"/>
      <c r="G75" s="2" t="str">
        <f ca="1">IFERROR(__xludf.DUMMYFUNCTION("""COMPUTED_VALUE"""),"to correct existing labels, specially in massive datasets")</f>
        <v>to correct existing labels, specially in massive datasets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5.5" x14ac:dyDescent="0.2">
      <c r="A76" s="1"/>
      <c r="B76" s="1"/>
      <c r="C76" s="1"/>
      <c r="D76" s="2" t="str">
        <f ca="1">IFERROR(__xludf.DUMMYFUNCTION("""COMPUTED_VALUE"""),"consult a machine learning expert")</f>
        <v>consult a machine learning expert</v>
      </c>
      <c r="E76" s="1"/>
      <c r="F76" s="1"/>
      <c r="G76" s="2" t="str">
        <f ca="1">IFERROR(__xludf.DUMMYFUNCTION("""COMPUTED_VALUE"""),"to cover each of the research questions, research")</f>
        <v>to cover each of the research questions, research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51" x14ac:dyDescent="0.2">
      <c r="A77" s="1"/>
      <c r="B77" s="1"/>
      <c r="C77" s="1"/>
      <c r="D77" s="2" t="str">
        <f ca="1">IFERROR(__xludf.DUMMYFUNCTION("""COMPUTED_VALUE"""),"continuous deployment")</f>
        <v>continuous deployment</v>
      </c>
      <c r="E77" s="1"/>
      <c r="F77" s="1"/>
      <c r="G77" s="2" t="str">
        <f ca="1">IFERROR(__xludf.DUMMYFUNCTION("""COMPUTED_VALUE"""),"to generate an abstract syntax tree, the bare bone of a graph for a graph neural models (GNN)")</f>
        <v>to generate an abstract syntax tree, the bare bone of a graph for a graph neural models (GNN)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5.5" x14ac:dyDescent="0.2">
      <c r="A78" s="1"/>
      <c r="B78" s="1"/>
      <c r="C78" s="1"/>
      <c r="D78" s="2" t="str">
        <f ca="1">IFERROR(__xludf.DUMMYFUNCTION("""COMPUTED_VALUE"""),"continuous deployment with model updates")</f>
        <v>continuous deployment with model updates</v>
      </c>
      <c r="E78" s="1"/>
      <c r="F78" s="1"/>
      <c r="G78" s="2" t="str">
        <f ca="1">IFERROR(__xludf.DUMMYFUNCTION("""COMPUTED_VALUE"""),"to decide if a new approach is needed")</f>
        <v>to decide if a new approach is needed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51" x14ac:dyDescent="0.2">
      <c r="A79" s="1"/>
      <c r="B79" s="1"/>
      <c r="C79" s="1"/>
      <c r="D79" s="2" t="str">
        <f ca="1">IFERROR(__xludf.DUMMYFUNCTION("""COMPUTED_VALUE"""),"control overfitting")</f>
        <v>control overfitting</v>
      </c>
      <c r="E79" s="1"/>
      <c r="F79" s="1"/>
      <c r="G79" s="2" t="str">
        <f ca="1">IFERROR(__xludf.DUMMYFUNCTION("""COMPUTED_VALUE"""),"to decribe how the process is being done, therefore peers can judge the quality by themselves, research")</f>
        <v>to decribe how the process is being done, therefore peers can judge the quality by themselves, research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2" t="str">
        <f ca="1">IFERROR(__xludf.DUMMYFUNCTION("""COMPUTED_VALUE"""),"control random seeds")</f>
        <v>control random seeds</v>
      </c>
      <c r="E80" s="1"/>
      <c r="F80" s="1"/>
      <c r="G80" s="2" t="str">
        <f ca="1">IFERROR(__xludf.DUMMYFUNCTION("""COMPUTED_VALUE"""),"to deploy a model")</f>
        <v>to deploy a model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2" t="str">
        <f ca="1">IFERROR(__xludf.DUMMYFUNCTION("""COMPUTED_VALUE"""),"control random splits")</f>
        <v>control random splits</v>
      </c>
      <c r="E81" s="1"/>
      <c r="F81" s="1"/>
      <c r="G81" s="2" t="str">
        <f ca="1">IFERROR(__xludf.DUMMYFUNCTION("""COMPUTED_VALUE"""),"to deploy a model, industry")</f>
        <v>to deploy a model, industry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5.5" x14ac:dyDescent="0.2">
      <c r="A82" s="1"/>
      <c r="B82" s="1"/>
      <c r="C82" s="1"/>
      <c r="D82" s="2" t="str">
        <f ca="1">IFERROR(__xludf.DUMMYFUNCTION("""COMPUTED_VALUE"""),"correct labels (collected/automatic labeled)")</f>
        <v>correct labels (collected/automatic labeled)</v>
      </c>
      <c r="E82" s="1"/>
      <c r="F82" s="1"/>
      <c r="G82" s="2" t="str">
        <f ca="1">IFERROR(__xludf.DUMMYFUNCTION("""COMPUTED_VALUE"""),"to deploy a model, research")</f>
        <v>to deploy a model, research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5.5" x14ac:dyDescent="0.2">
      <c r="A83" s="1"/>
      <c r="B83" s="1"/>
      <c r="C83" s="1"/>
      <c r="D83" s="2" t="str">
        <f ca="1">IFERROR(__xludf.DUMMYFUNCTION("""COMPUTED_VALUE"""),"counterfactual privacy")</f>
        <v>counterfactual privacy</v>
      </c>
      <c r="E83" s="1"/>
      <c r="F83" s="1"/>
      <c r="G83" s="2" t="str">
        <f ca="1">IFERROR(__xludf.DUMMYFUNCTION("""COMPUTED_VALUE"""),"to describe how bias is avoided, research")</f>
        <v>to describe how bias is avoided, research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5.5" x14ac:dyDescent="0.2">
      <c r="A84" s="1"/>
      <c r="B84" s="1"/>
      <c r="C84" s="1"/>
      <c r="D84" s="2" t="str">
        <f ca="1">IFERROR(__xludf.DUMMYFUNCTION("""COMPUTED_VALUE"""),"create their own metrics")</f>
        <v>create their own metrics</v>
      </c>
      <c r="E84" s="1"/>
      <c r="F84" s="1"/>
      <c r="G84" s="2" t="str">
        <f ca="1">IFERROR(__xludf.DUMMYFUNCTION("""COMPUTED_VALUE"""),"to design a ML pipeline, for shallow ML models")</f>
        <v>to design a ML pipeline, for shallow ML models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38.25" x14ac:dyDescent="0.2">
      <c r="A85" s="1"/>
      <c r="B85" s="1"/>
      <c r="C85" s="1"/>
      <c r="D85" s="2" t="str">
        <f ca="1">IFERROR(__xludf.DUMMYFUNCTION("""COMPUTED_VALUE"""),"create their own model")</f>
        <v>create their own model</v>
      </c>
      <c r="E85" s="1"/>
      <c r="F85" s="1"/>
      <c r="G85" s="2" t="str">
        <f ca="1">IFERROR(__xludf.DUMMYFUNCTION("""COMPUTED_VALUE"""),"to design a ML pipeline, when unsure of the correct design for shallow ML models")</f>
        <v>to design a ML pipeline, when unsure of the correct design for shallow ML models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5.5" x14ac:dyDescent="0.2">
      <c r="A86" s="1"/>
      <c r="B86" s="1"/>
      <c r="C86" s="1"/>
      <c r="D86" s="2" t="str">
        <f ca="1">IFERROR(__xludf.DUMMYFUNCTION("""COMPUTED_VALUE"""),"create their own test data")</f>
        <v>create their own test data</v>
      </c>
      <c r="E86" s="1"/>
      <c r="F86" s="1"/>
      <c r="G86" s="2" t="str">
        <f ca="1">IFERROR(__xludf.DUMMYFUNCTION("""COMPUTED_VALUE"""),"to detect and correct flaws in labeling protocol")</f>
        <v>to detect and correct flaws in labeling protocol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5.5" x14ac:dyDescent="0.2">
      <c r="A87" s="1"/>
      <c r="B87" s="1"/>
      <c r="C87" s="1"/>
      <c r="D87" s="2" t="str">
        <f ca="1">IFERROR(__xludf.DUMMYFUNCTION("""COMPUTED_VALUE"""),"create their own test data, curated data")</f>
        <v>create their own test data, curated data</v>
      </c>
      <c r="E87" s="1"/>
      <c r="F87" s="1"/>
      <c r="G87" s="2" t="str">
        <f ca="1">IFERROR(__xludf.DUMMYFUNCTION("""COMPUTED_VALUE"""),"to do sanity checks")</f>
        <v>to do sanity checks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2" t="str">
        <f ca="1">IFERROR(__xludf.DUMMYFUNCTION("""COMPUTED_VALUE"""),"cross validation")</f>
        <v>cross validation</v>
      </c>
      <c r="E88" s="1"/>
      <c r="F88" s="1"/>
      <c r="G88" s="2" t="str">
        <f ca="1">IFERROR(__xludf.DUMMYFUNCTION("""COMPUTED_VALUE"""),"to embed code and text")</f>
        <v>to embed code and text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51" x14ac:dyDescent="0.2">
      <c r="A89" s="1"/>
      <c r="B89" s="1"/>
      <c r="C89" s="1"/>
      <c r="D89" s="2" t="str">
        <f ca="1">IFERROR(__xludf.DUMMYFUNCTION("""COMPUTED_VALUE"""),"data cleaning")</f>
        <v>data cleaning</v>
      </c>
      <c r="E89" s="1"/>
      <c r="F89" s="1"/>
      <c r="G89" s="2" t="str">
        <f ca="1">IFERROR(__xludf.DUMMYFUNCTION("""COMPUTED_VALUE"""),"to enable the comparizion of the result with other approaches (subsequent studies)")</f>
        <v>to enable the comparizion of the result with other approaches (subsequent studies)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38.25" x14ac:dyDescent="0.2">
      <c r="A90" s="1"/>
      <c r="B90" s="1"/>
      <c r="C90" s="1"/>
      <c r="D90" s="2" t="str">
        <f ca="1">IFERROR(__xludf.DUMMYFUNCTION("""COMPUTED_VALUE"""),"data cleaning, multiple rounds")</f>
        <v>data cleaning, multiple rounds</v>
      </c>
      <c r="E90" s="1"/>
      <c r="F90" s="1"/>
      <c r="G90" s="2" t="str">
        <f ca="1">IFERROR(__xludf.DUMMYFUNCTION("""COMPUTED_VALUE"""),"to enable the understanding of the quality attributes of a model")</f>
        <v>to enable the understanding of the quality attributes of a model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38.25" x14ac:dyDescent="0.2">
      <c r="A91" s="1"/>
      <c r="B91" s="1"/>
      <c r="C91" s="1"/>
      <c r="D91" s="2" t="str">
        <f ca="1">IFERROR(__xludf.DUMMYFUNCTION("""COMPUTED_VALUE"""),"data deduplication")</f>
        <v>data deduplication</v>
      </c>
      <c r="E91" s="1"/>
      <c r="F91" s="1"/>
      <c r="G91" s="2" t="str">
        <f ca="1">IFERROR(__xludf.DUMMYFUNCTION("""COMPUTED_VALUE"""),"to enable the usage of a more complex model, when not enough initial data is available")</f>
        <v>to enable the usage of a more complex model, when not enough initial data is available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38.25" x14ac:dyDescent="0.2">
      <c r="A92" s="1"/>
      <c r="B92" s="1"/>
      <c r="C92" s="1"/>
      <c r="D92" s="2" t="str">
        <f ca="1">IFERROR(__xludf.DUMMYFUNCTION("""COMPUTED_VALUE"""),"data pre-procesing")</f>
        <v>data pre-procesing</v>
      </c>
      <c r="E92" s="1"/>
      <c r="F92" s="1"/>
      <c r="G92" s="2" t="str">
        <f ca="1">IFERROR(__xludf.DUMMYFUNCTION("""COMPUTED_VALUE"""),"to encode two different pieces of information (i.e., code and context)")</f>
        <v>to encode two different pieces of information (i.e., code and context)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2" t="str">
        <f ca="1">IFERROR(__xludf.DUMMYFUNCTION("""COMPUTED_VALUE"""),"define good research questions")</f>
        <v>define good research questions</v>
      </c>
      <c r="E93" s="1"/>
      <c r="F93" s="1"/>
      <c r="G93" s="2" t="str">
        <f ca="1">IFERROR(__xludf.DUMMYFUNCTION("""COMPUTED_VALUE"""),"to ensure data quality")</f>
        <v>to ensure data quality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5.5" x14ac:dyDescent="0.2">
      <c r="A94" s="1"/>
      <c r="B94" s="1"/>
      <c r="C94" s="1"/>
      <c r="D94" s="2" t="str">
        <f ca="1">IFERROR(__xludf.DUMMYFUNCTION("""COMPUTED_VALUE"""),"defining the reason of need of machine learning")</f>
        <v>defining the reason of need of machine learning</v>
      </c>
      <c r="E94" s="1"/>
      <c r="F94" s="1"/>
      <c r="G94" s="2" t="str">
        <f ca="1">IFERROR(__xludf.DUMMYFUNCTION("""COMPUTED_VALUE"""),"to ensure data quality (i.e., well-maintained, up-to-date)")</f>
        <v>to ensure data quality (i.e., well-maintained, up-to-date)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5.5" x14ac:dyDescent="0.2">
      <c r="A95" s="1"/>
      <c r="B95" s="1"/>
      <c r="C95" s="1"/>
      <c r="D95" s="2" t="str">
        <f ca="1">IFERROR(__xludf.DUMMYFUNCTION("""COMPUTED_VALUE"""),"defining the target function")</f>
        <v>defining the target function</v>
      </c>
      <c r="E95" s="1"/>
      <c r="F95" s="1"/>
      <c r="G95" s="2" t="str">
        <f ca="1">IFERROR(__xludf.DUMMYFUNCTION("""COMPUTED_VALUE"""),"to ensure ML principles are executed correctly")</f>
        <v>to ensure ML principles are executed correctly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5.5" x14ac:dyDescent="0.2">
      <c r="A96" s="1"/>
      <c r="B96" s="1"/>
      <c r="C96" s="1"/>
      <c r="D96" s="2" t="str">
        <f ca="1">IFERROR(__xludf.DUMMYFUNCTION("""COMPUTED_VALUE"""),"defy (challenge vrb) the current state-of-the-art")</f>
        <v>defy (challenge vrb) the current state-of-the-art</v>
      </c>
      <c r="E96" s="1"/>
      <c r="F96" s="1"/>
      <c r="G96" s="2" t="str">
        <f ca="1">IFERROR(__xludf.DUMMYFUNCTION("""COMPUTED_VALUE"""),"to ensure model quality")</f>
        <v>to ensure model quality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5.5" x14ac:dyDescent="0.2">
      <c r="A97" s="1"/>
      <c r="B97" s="1"/>
      <c r="C97" s="1"/>
      <c r="D97" s="2" t="str">
        <f ca="1">IFERROR(__xludf.DUMMYFUNCTION("""COMPUTED_VALUE"""),"deploy model in a web service")</f>
        <v>deploy model in a web service</v>
      </c>
      <c r="E97" s="1"/>
      <c r="F97" s="1"/>
      <c r="G97" s="2" t="str">
        <f ca="1">IFERROR(__xludf.DUMMYFUNCTION("""COMPUTED_VALUE"""),"to ensure quality and high integrity, research")</f>
        <v>to ensure quality and high integrity, research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5.5" x14ac:dyDescent="0.2">
      <c r="A98" s="1"/>
      <c r="B98" s="1"/>
      <c r="C98" s="1"/>
      <c r="D98" s="2" t="str">
        <f ca="1">IFERROR(__xludf.DUMMYFUNCTION("""COMPUTED_VALUE"""),"deploy the model as a demo")</f>
        <v>deploy the model as a demo</v>
      </c>
      <c r="E98" s="1"/>
      <c r="F98" s="1"/>
      <c r="G98" s="2" t="str">
        <f ca="1">IFERROR(__xludf.DUMMYFUNCTION("""COMPUTED_VALUE"""),"to ensure quality in labels (i.e., summary)")</f>
        <v>to ensure quality in labels (i.e., summary)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8.25" x14ac:dyDescent="0.2">
      <c r="A99" s="1"/>
      <c r="B99" s="1"/>
      <c r="C99" s="1"/>
      <c r="D99" s="2" t="str">
        <f ca="1">IFERROR(__xludf.DUMMYFUNCTION("""COMPUTED_VALUE"""),"deploy the model not in production environment")</f>
        <v>deploy the model not in production environment</v>
      </c>
      <c r="E99" s="1"/>
      <c r="F99" s="1"/>
      <c r="G99" s="2" t="str">
        <f ca="1">IFERROR(__xludf.DUMMYFUNCTION("""COMPUTED_VALUE"""),"to ensure reliability in labels, when manual labeling is not possible")</f>
        <v>to ensure reliability in labels, when manual labeling is not possible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5.5" x14ac:dyDescent="0.2">
      <c r="A100" s="1"/>
      <c r="B100" s="1"/>
      <c r="C100" s="1"/>
      <c r="D100" s="2" t="str">
        <f ca="1">IFERROR(__xludf.DUMMYFUNCTION("""COMPUTED_VALUE"""),"describe the labeling process in a clear guideline")</f>
        <v>describe the labeling process in a clear guideline</v>
      </c>
      <c r="E100" s="1"/>
      <c r="F100" s="1"/>
      <c r="G100" s="2" t="str">
        <f ca="1">IFERROR(__xludf.DUMMYFUNCTION("""COMPUTED_VALUE"""),"to ensure representative, when collecting data")</f>
        <v>to ensure representative, when collecting data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5.5" x14ac:dyDescent="0.2">
      <c r="A101" s="1"/>
      <c r="B101" s="1"/>
      <c r="C101" s="1"/>
      <c r="D101" s="2" t="str">
        <f ca="1">IFERROR(__xludf.DUMMYFUNCTION("""COMPUTED_VALUE"""),"describe the labeling process with examples")</f>
        <v>describe the labeling process with examples</v>
      </c>
      <c r="E101" s="1"/>
      <c r="F101" s="1"/>
      <c r="G101" s="2" t="str">
        <f ca="1">IFERROR(__xludf.DUMMYFUNCTION("""COMPUTED_VALUE"""),"to ensure security as quality attribute in the data")</f>
        <v>to ensure security as quality attribute in the data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38.25" x14ac:dyDescent="0.2">
      <c r="A102" s="1"/>
      <c r="B102" s="1"/>
      <c r="C102" s="1"/>
      <c r="D102" s="2" t="str">
        <f ca="1">IFERROR(__xludf.DUMMYFUNCTION("""COMPUTED_VALUE"""),"describe the labeling with contrastive examples")</f>
        <v>describe the labeling with contrastive examples</v>
      </c>
      <c r="E102" s="1"/>
      <c r="F102" s="1"/>
      <c r="G102" s="2" t="str">
        <f ca="1">IFERROR(__xludf.DUMMYFUNCTION("""COMPUTED_VALUE"""),"to ensure that no issues are present in the ML pipeline design, before executing it")</f>
        <v>to ensure that no issues are present in the ML pipeline design, before executing it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63.75" x14ac:dyDescent="0.2">
      <c r="A103" s="1"/>
      <c r="B103" s="1"/>
      <c r="C103" s="1"/>
      <c r="D103" s="2" t="str">
        <f ca="1">IFERROR(__xludf.DUMMYFUNCTION("""COMPUTED_VALUE"""),"design a machine learning workflow to follow before implementing")</f>
        <v>design a machine learning workflow to follow before implementing</v>
      </c>
      <c r="E103" s="1"/>
      <c r="F103" s="1"/>
      <c r="G103" s="2" t="str">
        <f ca="1">IFERROR(__xludf.DUMMYFUNCTION("""COMPUTED_VALUE"""),"to ensure that the code (not the model) is optimized (i.e., in terms of time and precision), when building a model")</f>
        <v>to ensure that the code (not the model) is optimized (i.e., in terms of time and precision), when building a model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51" x14ac:dyDescent="0.2">
      <c r="A104" s="1"/>
      <c r="B104" s="1"/>
      <c r="C104" s="1"/>
      <c r="D104" s="2" t="str">
        <f ca="1">IFERROR(__xludf.DUMMYFUNCTION("""COMPUTED_VALUE"""),"diagram the machine learning piepline")</f>
        <v>diagram the machine learning piepline</v>
      </c>
      <c r="E104" s="1"/>
      <c r="F104" s="1"/>
      <c r="G104" s="2" t="str">
        <f ca="1">IFERROR(__xludf.DUMMYFUNCTION("""COMPUTED_VALUE"""),"to ensure that the data cleaning process has not deviated from the original intention")</f>
        <v>to ensure that the data cleaning process has not deviated from the original intention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51" x14ac:dyDescent="0.2">
      <c r="A105" s="1"/>
      <c r="B105" s="1"/>
      <c r="C105" s="1"/>
      <c r="D105" s="2" t="str">
        <f ca="1">IFERROR(__xludf.DUMMYFUNCTION("""COMPUTED_VALUE"""),"discuss inconsistencies between taggers")</f>
        <v>discuss inconsistencies between taggers</v>
      </c>
      <c r="E105" s="1"/>
      <c r="F105" s="1"/>
      <c r="G105" s="2" t="str">
        <f ca="1">IFERROR(__xludf.DUMMYFUNCTION("""COMPUTED_VALUE"""),"to ensure that the model has not learned machine generated data (e.g., summaries)")</f>
        <v>to ensure that the model has not learned machine generated data (e.g., summaries)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38.25" x14ac:dyDescent="0.2">
      <c r="A106" s="1"/>
      <c r="B106" s="1"/>
      <c r="C106" s="1"/>
      <c r="D106" s="2" t="str">
        <f ca="1">IFERROR(__xludf.DUMMYFUNCTION("""COMPUTED_VALUE"""),"do hypothesis tests for model hyperparameters on different sets")</f>
        <v>do hypothesis tests for model hyperparameters on different sets</v>
      </c>
      <c r="E106" s="1"/>
      <c r="F106" s="1"/>
      <c r="G106" s="2" t="str">
        <f ca="1">IFERROR(__xludf.DUMMYFUNCTION("""COMPUTED_VALUE"""),"to ensure that the model is capable of generalize")</f>
        <v>to ensure that the model is capable of generalize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38.25" x14ac:dyDescent="0.2">
      <c r="A107" s="1"/>
      <c r="B107" s="1"/>
      <c r="C107" s="1"/>
      <c r="D107" s="2" t="str">
        <f ca="1">IFERROR(__xludf.DUMMYFUNCTION("""COMPUTED_VALUE"""),"do not perform data cleaning, use data as it is")</f>
        <v>do not perform data cleaning, use data as it is</v>
      </c>
      <c r="E107" s="1"/>
      <c r="F107" s="1"/>
      <c r="G107" s="2" t="str">
        <f ca="1">IFERROR(__xludf.DUMMYFUNCTION("""COMPUTED_VALUE"""),"to ensure that the problem cannot be solved with something simpler")</f>
        <v>to ensure that the problem cannot be solved with something simpler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5.5" x14ac:dyDescent="0.2">
      <c r="A108" s="1"/>
      <c r="B108" s="1"/>
      <c r="C108" s="1"/>
      <c r="D108" s="2" t="str">
        <f ca="1">IFERROR(__xludf.DUMMYFUNCTION("""COMPUTED_VALUE"""),"do not use cross validation")</f>
        <v>do not use cross validation</v>
      </c>
      <c r="E108" s="1"/>
      <c r="F108" s="1"/>
      <c r="G108" s="2" t="str">
        <f ca="1">IFERROR(__xludf.DUMMYFUNCTION("""COMPUTED_VALUE"""),"to ensure the model is learning")</f>
        <v>to ensure the model is learning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8.25" x14ac:dyDescent="0.2">
      <c r="A109" s="1"/>
      <c r="B109" s="1"/>
      <c r="C109" s="1"/>
      <c r="D109" s="2" t="str">
        <f ca="1">IFERROR(__xludf.DUMMYFUNCTION("""COMPUTED_VALUE"""),"do sanity checks")</f>
        <v>do sanity checks</v>
      </c>
      <c r="E109" s="1"/>
      <c r="F109" s="1"/>
      <c r="G109" s="2" t="str">
        <f ca="1">IFERROR(__xludf.DUMMYFUNCTION("""COMPUTED_VALUE"""),"to establish the minimum quality (metric) that the model must meet")</f>
        <v>to establish the minimum quality (metric) that the model must meet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8.25" x14ac:dyDescent="0.2">
      <c r="A110" s="1"/>
      <c r="B110" s="1"/>
      <c r="C110" s="1"/>
      <c r="D110" s="2" t="str">
        <f ca="1">IFERROR(__xludf.DUMMYFUNCTION("""COMPUTED_VALUE"""),"do stability tests, test same hyperparameters in different test sets")</f>
        <v>do stability tests, test same hyperparameters in different test sets</v>
      </c>
      <c r="E110" s="1"/>
      <c r="F110" s="1"/>
      <c r="G110" s="2" t="str">
        <f ca="1">IFERROR(__xludf.DUMMYFUNCTION("""COMPUTED_VALUE"""),"to estimate the accuracy of a model, based on the automated labels quality")</f>
        <v>to estimate the accuracy of a model, based on the automated labels quality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38.25" x14ac:dyDescent="0.2">
      <c r="A111" s="1"/>
      <c r="B111" s="1"/>
      <c r="C111" s="1"/>
      <c r="D111" s="2" t="str">
        <f ca="1">IFERROR(__xludf.DUMMYFUNCTION("""COMPUTED_VALUE"""),"dogfooding deployment")</f>
        <v>dogfooding deployment</v>
      </c>
      <c r="E111" s="1"/>
      <c r="F111" s="1"/>
      <c r="G111" s="2" t="str">
        <f ca="1">IFERROR(__xludf.DUMMYFUNCTION("""COMPUTED_VALUE"""),"to evaluate a ML solution non-functionally (i.e., usability/usefulness) ")</f>
        <v xml:space="preserve">to evaluate a ML solution non-functionally (i.e., usability/usefulness) 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5.5" x14ac:dyDescent="0.2">
      <c r="A112" s="1"/>
      <c r="B112" s="1"/>
      <c r="C112" s="1"/>
      <c r="D112" s="2" t="str">
        <f ca="1">IFERROR(__xludf.DUMMYFUNCTION("""COMPUTED_VALUE"""),"drop not fair data")</f>
        <v>drop not fair data</v>
      </c>
      <c r="E112" s="1"/>
      <c r="F112" s="1"/>
      <c r="G112" s="2" t="str">
        <f ca="1">IFERROR(__xludf.DUMMYFUNCTION("""COMPUTED_VALUE"""),"to evaluate and monitor model performance")</f>
        <v>to evaluate and monitor model performance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51" x14ac:dyDescent="0.2">
      <c r="A113" s="1"/>
      <c r="B113" s="1"/>
      <c r="C113" s="1"/>
      <c r="D113" s="2" t="str">
        <f ca="1">IFERROR(__xludf.DUMMYFUNCTION("""COMPUTED_VALUE"""),"early stopping")</f>
        <v>early stopping</v>
      </c>
      <c r="E113" s="1"/>
      <c r="F113" s="1"/>
      <c r="G113" s="2" t="str">
        <f ca="1">IFERROR(__xludf.DUMMYFUNCTION("""COMPUTED_VALUE"""),"to evaluate consistency between textual data (i.e., NLP) and textual data (i.e., generated code)")</f>
        <v>to evaluate consistency between textual data (i.e., NLP) and textual data (i.e., generated code)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5.5" x14ac:dyDescent="0.2">
      <c r="A114" s="1"/>
      <c r="B114" s="1"/>
      <c r="C114" s="1"/>
      <c r="D114" s="2" t="str">
        <f ca="1">IFERROR(__xludf.DUMMYFUNCTION("""COMPUTED_VALUE"""),"embeddings, use BERT embeddings")</f>
        <v>embeddings, use BERT embeddings</v>
      </c>
      <c r="E114" s="1"/>
      <c r="F114" s="1"/>
      <c r="G114" s="2" t="str">
        <f ca="1">IFERROR(__xludf.DUMMYFUNCTION("""COMPUTED_VALUE"""),"to evaluate data quality")</f>
        <v>to evaluate data quality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5.5" x14ac:dyDescent="0.2">
      <c r="A115" s="1"/>
      <c r="B115" s="1"/>
      <c r="C115" s="1"/>
      <c r="D115" s="2" t="str">
        <f ca="1">IFERROR(__xludf.DUMMYFUNCTION("""COMPUTED_VALUE"""),"ensemble models")</f>
        <v>ensemble models</v>
      </c>
      <c r="E115" s="1"/>
      <c r="F115" s="1"/>
      <c r="G115" s="2" t="str">
        <f ca="1">IFERROR(__xludf.DUMMYFUNCTION("""COMPUTED_VALUE"""),"to evaluate data quality, before training a model")</f>
        <v>to evaluate data quality, before training a model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5.5" x14ac:dyDescent="0.2">
      <c r="A116" s="1"/>
      <c r="B116" s="1"/>
      <c r="C116" s="1"/>
      <c r="D116" s="2" t="str">
        <f ca="1">IFERROR(__xludf.DUMMYFUNCTION("""COMPUTED_VALUE"""),"ensemble models, state-of-the-art models with different goals")</f>
        <v>ensemble models, state-of-the-art models with different goals</v>
      </c>
      <c r="E116" s="1"/>
      <c r="F116" s="1"/>
      <c r="G116" s="2" t="str">
        <f ca="1">IFERROR(__xludf.DUMMYFUNCTION("""COMPUTED_VALUE"""),"to evaluate feasibility of project")</f>
        <v>to evaluate feasibility of project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51" x14ac:dyDescent="0.2">
      <c r="A117" s="1"/>
      <c r="B117" s="1"/>
      <c r="C117" s="1"/>
      <c r="D117" s="2" t="str">
        <f ca="1">IFERROR(__xludf.DUMMYFUNCTION("""COMPUTED_VALUE"""),"ensemble models, weighted voting")</f>
        <v>ensemble models, weighted voting</v>
      </c>
      <c r="E117" s="1"/>
      <c r="F117" s="1"/>
      <c r="G117" s="2" t="str">
        <f ca="1">IFERROR(__xludf.DUMMYFUNCTION("""COMPUTED_VALUE"""),"to evaluate human impression (developers) of the model in a functional and non-functionall manner, ")</f>
        <v xml:space="preserve">to evaluate human impression (developers) of the model in a functional and non-functionall manner, 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89.25" x14ac:dyDescent="0.2">
      <c r="A118" s="1"/>
      <c r="B118" s="1"/>
      <c r="C118" s="1"/>
      <c r="D118" s="2" t="str">
        <f ca="1">IFERROR(__xludf.DUMMYFUNCTION("""COMPUTED_VALUE"""),"ensure data consistency")</f>
        <v>ensure data consistency</v>
      </c>
      <c r="E118" s="1"/>
      <c r="F118" s="1"/>
      <c r="G118" s="2" t="str">
        <f ca="1">IFERROR(__xludf.DUMMYFUNCTION("""COMPUTED_VALUE"""),"to evaluate human impression (developers) of the model in a functional and non-functionall manner, specially in cases in which is a well known problem and the model improvemnt is not significant")</f>
        <v>to evaluate human impression (developers) of the model in a functional and non-functionall manner, specially in cases in which is a well known problem and the model improvemnt is not significant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5.5" x14ac:dyDescent="0.2">
      <c r="A119" s="1"/>
      <c r="B119" s="1"/>
      <c r="C119" s="1"/>
      <c r="D119" s="2" t="str">
        <f ca="1">IFERROR(__xludf.DUMMYFUNCTION("""COMPUTED_VALUE"""),"ensure diversity in the data")</f>
        <v>ensure diversity in the data</v>
      </c>
      <c r="E119" s="1"/>
      <c r="F119" s="1"/>
      <c r="G119" s="2" t="str">
        <f ca="1">IFERROR(__xludf.DUMMYFUNCTION("""COMPUTED_VALUE"""),"to evaluate human impression of the model, industry")</f>
        <v>to evaluate human impression of the model, industry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8.25" x14ac:dyDescent="0.2">
      <c r="A120" s="1"/>
      <c r="B120" s="1"/>
      <c r="C120" s="1"/>
      <c r="D120" s="2" t="str">
        <f ca="1">IFERROR(__xludf.DUMMYFUNCTION("""COMPUTED_VALUE"""),"ensure having an even distribution in the different splits of the data")</f>
        <v>ensure having an even distribution in the different splits of the data</v>
      </c>
      <c r="E120" s="1"/>
      <c r="F120" s="1"/>
      <c r="G120" s="2" t="str">
        <f ca="1">IFERROR(__xludf.DUMMYFUNCTION("""COMPUTED_VALUE"""),"to evaluate if a new dataset is consistent witn previous datasets")</f>
        <v>to evaluate if a new dataset is consistent witn previous datasets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51" x14ac:dyDescent="0.2">
      <c r="A121" s="1"/>
      <c r="B121" s="1"/>
      <c r="C121" s="1"/>
      <c r="D121" s="2" t="str">
        <f ca="1">IFERROR(__xludf.DUMMYFUNCTION("""COMPUTED_VALUE"""),"ensure that the model has access to all  the information that a human would have to execute a task")</f>
        <v>ensure that the model has access to all  the information that a human would have to execute a task</v>
      </c>
      <c r="E121" s="1"/>
      <c r="F121" s="1"/>
      <c r="G121" s="2" t="str">
        <f ca="1">IFERROR(__xludf.DUMMYFUNCTION("""COMPUTED_VALUE"""),"to evaluate if it is worth trying the model(s) on validation and test set")</f>
        <v>to evaluate if it is worth trying the model(s) on validation and test set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5.5" x14ac:dyDescent="0.2">
      <c r="A122" s="1"/>
      <c r="B122" s="1"/>
      <c r="C122" s="1"/>
      <c r="D122" s="2" t="str">
        <f ca="1">IFERROR(__xludf.DUMMYFUNCTION("""COMPUTED_VALUE"""),"ensure that the size of samples per class is similar")</f>
        <v>ensure that the size of samples per class is similar</v>
      </c>
      <c r="E122" s="1"/>
      <c r="F122" s="1"/>
      <c r="G122" s="2" t="str">
        <f ca="1">IFERROR(__xludf.DUMMYFUNCTION("""COMPUTED_VALUE"""),"to evaluate large language model(s)")</f>
        <v>to evaluate large language model(s)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5.5" x14ac:dyDescent="0.2">
      <c r="A123" s="1"/>
      <c r="B123" s="1"/>
      <c r="C123" s="1"/>
      <c r="D123" s="2" t="str">
        <f ca="1">IFERROR(__xludf.DUMMYFUNCTION("""COMPUTED_VALUE"""),"ensure the representativeness of data")</f>
        <v>ensure the representativeness of data</v>
      </c>
      <c r="E123" s="1"/>
      <c r="F123" s="1"/>
      <c r="G123" s="2" t="str">
        <f ca="1">IFERROR(__xludf.DUMMYFUNCTION("""COMPUTED_VALUE"""),"to evaluate model(s)")</f>
        <v>to evaluate model(s)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5.5" x14ac:dyDescent="0.2">
      <c r="A124" s="1"/>
      <c r="B124" s="1"/>
      <c r="C124" s="1"/>
      <c r="D124" s="2" t="str">
        <f ca="1">IFERROR(__xludf.DUMMYFUNCTION("""COMPUTED_VALUE"""),"ensure the representativiness of data, test data")</f>
        <v>ensure the representativiness of data, test data</v>
      </c>
      <c r="E124" s="1"/>
      <c r="F124" s="1"/>
      <c r="G124" s="2" t="str">
        <f ca="1">IFERROR(__xludf.DUMMYFUNCTION("""COMPUTED_VALUE"""),"to evaluate model(s) avoiding bias")</f>
        <v>to evaluate model(s) avoiding bias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38.25" x14ac:dyDescent="0.2">
      <c r="A125" s="1"/>
      <c r="B125" s="1"/>
      <c r="C125" s="1"/>
      <c r="D125" s="2" t="str">
        <f ca="1">IFERROR(__xludf.DUMMYFUNCTION("""COMPUTED_VALUE"""),"ensure the representativiness of data, test data should include all possible real world scenarios")</f>
        <v>ensure the representativiness of data, test data should include all possible real world scenarios</v>
      </c>
      <c r="E125" s="1"/>
      <c r="F125" s="1"/>
      <c r="G125" s="2" t="str">
        <f ca="1">IFERROR(__xludf.DUMMYFUNCTION("""COMPUTED_VALUE"""),"to evaluate model(s) functional and non-functional attributes")</f>
        <v>to evaluate model(s) functional and non-functional attributes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5.5" x14ac:dyDescent="0.2">
      <c r="A126" s="1"/>
      <c r="B126" s="1"/>
      <c r="C126" s="1"/>
      <c r="D126" s="2" t="str">
        <f ca="1">IFERROR(__xludf.DUMMYFUNCTION("""COMPUTED_VALUE"""),"ensure train set is not contained in test set")</f>
        <v>ensure train set is not contained in test set</v>
      </c>
      <c r="E126" s="1"/>
      <c r="F126" s="1"/>
      <c r="G126" s="2" t="str">
        <f ca="1">IFERROR(__xludf.DUMMYFUNCTION("""COMPUTED_VALUE"""),"to evaluate model(s) functionally (e.g., accuracy)")</f>
        <v>to evaluate model(s) functionally (e.g., accuracy)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51" x14ac:dyDescent="0.2">
      <c r="A127" s="1"/>
      <c r="B127" s="1"/>
      <c r="C127" s="1"/>
      <c r="D127" s="2" t="str">
        <f ca="1">IFERROR(__xludf.DUMMYFUNCTION("""COMPUTED_VALUE"""),"error analysis")</f>
        <v>error analysis</v>
      </c>
      <c r="E127" s="1"/>
      <c r="F127" s="1"/>
      <c r="G127" s="2" t="str">
        <f ca="1">IFERROR(__xludf.DUMMYFUNCTION("""COMPUTED_VALUE"""),"to evaluate model(s) functionally (e.g., accuracy) for tasks that have a ""pair"" task in other domains")</f>
        <v>to evaluate model(s) functionally (e.g., accuracy) for tasks that have a "pair" task in other domains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38.25" x14ac:dyDescent="0.2">
      <c r="A128" s="1"/>
      <c r="B128" s="1"/>
      <c r="C128" s="1"/>
      <c r="D128" s="2" t="str">
        <f ca="1">IFERROR(__xludf.DUMMYFUNCTION("""COMPUTED_VALUE"""),"establish as an optimization goal metrics that go beyond performance")</f>
        <v>establish as an optimization goal metrics that go beyond performance</v>
      </c>
      <c r="E128" s="1"/>
      <c r="F128" s="1"/>
      <c r="G128" s="2" t="str">
        <f ca="1">IFERROR(__xludf.DUMMYFUNCTION("""COMPUTED_VALUE"""),"to evaluate model(s) functionally (e.g., accuracy), in a quantitative way")</f>
        <v>to evaluate model(s) functionally (e.g., accuracy), in a quantitative way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51" x14ac:dyDescent="0.2">
      <c r="A129" s="1"/>
      <c r="B129" s="1"/>
      <c r="C129" s="1"/>
      <c r="D129" s="2" t="str">
        <f ca="1">IFERROR(__xludf.DUMMYFUNCTION("""COMPUTED_VALUE"""),"evaluate a model (hyperparameters) on a small data sample")</f>
        <v>evaluate a model (hyperparameters) on a small data sample</v>
      </c>
      <c r="E129" s="1"/>
      <c r="F129" s="1"/>
      <c r="G129" s="2" t="str">
        <f ca="1">IFERROR(__xludf.DUMMYFUNCTION("""COMPUTED_VALUE"""),"to evaluate model(s) functionally (i.e., syntactic correctness of the generated code)")</f>
        <v>to evaluate model(s) functionally (i.e., syntactic correctness of the generated code)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5.5" x14ac:dyDescent="0.2">
      <c r="A130" s="1"/>
      <c r="B130" s="1"/>
      <c r="C130" s="1"/>
      <c r="D130" s="2" t="str">
        <f ca="1">IFERROR(__xludf.DUMMYFUNCTION("""COMPUTED_VALUE"""),"evaluate a model Just on training set")</f>
        <v>evaluate a model Just on training set</v>
      </c>
      <c r="E130" s="1"/>
      <c r="F130" s="1"/>
      <c r="G130" s="2" t="str">
        <f ca="1">IFERROR(__xludf.DUMMYFUNCTION("""COMPUTED_VALUE"""),"to evaluate model(s) generalizability capability")</f>
        <v>to evaluate model(s) generalizability capability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38.25" x14ac:dyDescent="0.2">
      <c r="A131" s="1"/>
      <c r="B131" s="1"/>
      <c r="C131" s="1"/>
      <c r="D131" s="2" t="str">
        <f ca="1">IFERROR(__xludf.DUMMYFUNCTION("""COMPUTED_VALUE"""),"evaluate a model on a data sample")</f>
        <v>evaluate a model on a data sample</v>
      </c>
      <c r="E131" s="1"/>
      <c r="F131" s="1"/>
      <c r="G131" s="2" t="str">
        <f ca="1">IFERROR(__xludf.DUMMYFUNCTION("""COMPUTED_VALUE"""),"to evaluate model(s) in a continuous deployment, industry")</f>
        <v>to evaluate model(s) in a continuous deployment, industry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51" x14ac:dyDescent="0.2">
      <c r="A132" s="1"/>
      <c r="B132" s="1"/>
      <c r="C132" s="1"/>
      <c r="D132" s="2" t="str">
        <f ca="1">IFERROR(__xludf.DUMMYFUNCTION("""COMPUTED_VALUE"""),"evaluate metrics in groups of interest (e.g., developers, data base managers)")</f>
        <v>evaluate metrics in groups of interest (e.g., developers, data base managers)</v>
      </c>
      <c r="E132" s="1"/>
      <c r="F132" s="1"/>
      <c r="G132" s="2" t="str">
        <f ca="1">IFERROR(__xludf.DUMMYFUNCTION("""COMPUTED_VALUE"""),"to evaluate model(s) non-functionally (e.g., time response), when deploying a model")</f>
        <v>to evaluate model(s) non-functionally (e.g., time response), when deploying a model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5.5" x14ac:dyDescent="0.2">
      <c r="A133" s="1"/>
      <c r="B133" s="1"/>
      <c r="C133" s="1"/>
      <c r="D133" s="2" t="str">
        <f ca="1">IFERROR(__xludf.DUMMYFUNCTION("""COMPUTED_VALUE"""),"evaluate performance in training and validation sets")</f>
        <v>evaluate performance in training and validation sets</v>
      </c>
      <c r="E133" s="1"/>
      <c r="F133" s="1"/>
      <c r="G133" s="2" t="str">
        <f ca="1">IFERROR(__xludf.DUMMYFUNCTION("""COMPUTED_VALUE"""),"to evaluate model(s) that generate text")</f>
        <v>to evaluate model(s) that generate text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5.5" x14ac:dyDescent="0.2">
      <c r="A134" s="1"/>
      <c r="B134" s="1"/>
      <c r="C134" s="1"/>
      <c r="D134" s="2" t="str">
        <f ca="1">IFERROR(__xludf.DUMMYFUNCTION("""COMPUTED_VALUE"""),"evaluate the model with different goals in mind")</f>
        <v>evaluate the model with different goals in mind</v>
      </c>
      <c r="E134" s="1"/>
      <c r="F134" s="1"/>
      <c r="G134" s="2" t="str">
        <f ca="1">IFERROR(__xludf.DUMMYFUNCTION("""COMPUTED_VALUE"""),"to evaluate model(s) thoroughly")</f>
        <v>to evaluate model(s) thoroughly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38.25" x14ac:dyDescent="0.2">
      <c r="A135" s="1"/>
      <c r="B135" s="1"/>
      <c r="C135" s="1"/>
      <c r="D135" s="2" t="str">
        <f ca="1">IFERROR(__xludf.DUMMYFUNCTION("""COMPUTED_VALUE"""),"exclude commits/merges that have issues")</f>
        <v>exclude commits/merges that have issues</v>
      </c>
      <c r="E135" s="1"/>
      <c r="F135" s="1"/>
      <c r="G135" s="2" t="str">
        <f ca="1">IFERROR(__xludf.DUMMYFUNCTION("""COMPUTED_VALUE"""),"to evaluate model(s) thoroughly, covering different aspects of the problem")</f>
        <v>to evaluate model(s) thoroughly, covering different aspects of the problem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38.25" x14ac:dyDescent="0.2">
      <c r="A136" s="1"/>
      <c r="B136" s="1"/>
      <c r="C136" s="1"/>
      <c r="D136" s="2" t="str">
        <f ca="1">IFERROR(__xludf.DUMMYFUNCTION("""COMPUTED_VALUE"""),"explore throughly the data")</f>
        <v>explore throughly the data</v>
      </c>
      <c r="E136" s="1"/>
      <c r="F136" s="1"/>
      <c r="G136" s="2" t="str">
        <f ca="1">IFERROR(__xludf.DUMMYFUNCTION("""COMPUTED_VALUE"""),"to evaluate model(s) thoroughly, having a complete suit of real world scenarios")</f>
        <v>to evaluate model(s) thoroughly, having a complete suit of real world scenarios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2" t="str">
        <f ca="1">IFERROR(__xludf.DUMMYFUNCTION("""COMPUTED_VALUE"""),"feature engineering")</f>
        <v>feature engineering</v>
      </c>
      <c r="E137" s="1"/>
      <c r="F137" s="1"/>
      <c r="G137" s="2" t="str">
        <f ca="1">IFERROR(__xludf.DUMMYFUNCTION("""COMPUTED_VALUE"""),"to evaluate model(s), industry")</f>
        <v>to evaluate model(s), industry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5.5" x14ac:dyDescent="0.2">
      <c r="A138" s="1"/>
      <c r="B138" s="1"/>
      <c r="C138" s="1"/>
      <c r="D138" s="2" t="str">
        <f ca="1">IFERROR(__xludf.DUMMYFUNCTION("""COMPUTED_VALUE"""),"feature extraction with PCA")</f>
        <v>feature extraction with PCA</v>
      </c>
      <c r="E138" s="1"/>
      <c r="F138" s="1"/>
      <c r="G138" s="2" t="str">
        <f ca="1">IFERROR(__xludf.DUMMYFUNCTION("""COMPUTED_VALUE"""),"to evaluate model(s), research")</f>
        <v>to evaluate model(s), research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5.5" x14ac:dyDescent="0.2">
      <c r="A139" s="1"/>
      <c r="B139" s="1"/>
      <c r="C139" s="1"/>
      <c r="D139" s="2" t="str">
        <f ca="1">IFERROR(__xludf.DUMMYFUNCTION("""COMPUTED_VALUE"""),"feature extraction, let the neural models extract relevant features")</f>
        <v>feature extraction, let the neural models extract relevant features</v>
      </c>
      <c r="E139" s="1"/>
      <c r="F139" s="1"/>
      <c r="G139" s="2" t="str">
        <f ca="1">IFERROR(__xludf.DUMMYFUNCTION("""COMPUTED_VALUE"""),"to evaluate model(s), when model not performs well")</f>
        <v>to evaluate model(s), when model not performs well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38.25" x14ac:dyDescent="0.2">
      <c r="A140" s="1"/>
      <c r="B140" s="1"/>
      <c r="C140" s="1"/>
      <c r="D140" s="2" t="str">
        <f ca="1">IFERROR(__xludf.DUMMYFUNCTION("""COMPUTED_VALUE"""),"feature importance")</f>
        <v>feature importance</v>
      </c>
      <c r="E140" s="1"/>
      <c r="F140" s="1"/>
      <c r="G140" s="2" t="str">
        <f ca="1">IFERROR(__xludf.DUMMYFUNCTION("""COMPUTED_VALUE"""),"to evaluate model(s), when the tools involved are build for humans")</f>
        <v>to evaluate model(s), when the tools involved are build for humans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5.5" x14ac:dyDescent="0.2">
      <c r="A141" s="1"/>
      <c r="B141" s="1"/>
      <c r="C141" s="1"/>
      <c r="D141" s="2" t="str">
        <f ca="1">IFERROR(__xludf.DUMMYFUNCTION("""COMPUTED_VALUE"""),"feature importance, compute R2 and P-values per feature")</f>
        <v>feature importance, compute R2 and P-values per feature</v>
      </c>
      <c r="E141" s="1"/>
      <c r="F141" s="1"/>
      <c r="G141" s="2" t="str">
        <f ca="1">IFERROR(__xludf.DUMMYFUNCTION("""COMPUTED_VALUE"""),"to evaluate model(s), when using classification model(s)")</f>
        <v>to evaluate model(s), when using classification model(s)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38.25" x14ac:dyDescent="0.2">
      <c r="A142" s="1"/>
      <c r="B142" s="1"/>
      <c r="C142" s="1"/>
      <c r="D142" s="2" t="str">
        <f ca="1">IFERROR(__xludf.DUMMYFUNCTION("""COMPUTED_VALUE"""),"feature selection")</f>
        <v>feature selection</v>
      </c>
      <c r="E142" s="1"/>
      <c r="F142" s="1"/>
      <c r="G142" s="2" t="str">
        <f ca="1">IFERROR(__xludf.DUMMYFUNCTION("""COMPUTED_VALUE"""),"to evaluate model(s), when using machine translation model(s)")</f>
        <v>to evaluate model(s), when using machine translation model(s)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38.25" x14ac:dyDescent="0.2">
      <c r="A143" s="1"/>
      <c r="B143" s="1"/>
      <c r="C143" s="1"/>
      <c r="D143" s="2" t="str">
        <f ca="1">IFERROR(__xludf.DUMMYFUNCTION("""COMPUTED_VALUE"""),"feature selection, correlation-based feature selection (CFS)")</f>
        <v>feature selection, correlation-based feature selection (CFS)</v>
      </c>
      <c r="E143" s="1"/>
      <c r="F143" s="1"/>
      <c r="G143" s="2" t="str">
        <f ca="1">IFERROR(__xludf.DUMMYFUNCTION("""COMPUTED_VALUE"""),"to evaluate model(s), when using summarization model(s)")</f>
        <v>to evaluate model(s), when using summarization model(s)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38.25" x14ac:dyDescent="0.2">
      <c r="A144" s="1"/>
      <c r="B144" s="1"/>
      <c r="C144" s="1"/>
      <c r="D144" s="2" t="str">
        <f ca="1">IFERROR(__xludf.DUMMYFUNCTION("""COMPUTED_VALUE"""),"filter based on the expected output (e.g., competitive code)")</f>
        <v>filter based on the expected output (e.g., competitive code)</v>
      </c>
      <c r="E144" s="1"/>
      <c r="F144" s="1"/>
      <c r="G144" s="2" t="str">
        <f ca="1">IFERROR(__xludf.DUMMYFUNCTION("""COMPUTED_VALUE"""),"to evaluate model(s), when working with time sensitive data")</f>
        <v>to evaluate model(s), when working with time sensitive data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51" x14ac:dyDescent="0.2">
      <c r="A145" s="1"/>
      <c r="B145" s="1"/>
      <c r="C145" s="1"/>
      <c r="D145" s="2" t="str">
        <f ca="1">IFERROR(__xludf.DUMMYFUNCTION("""COMPUTED_VALUE"""),"filter data")</f>
        <v>filter data</v>
      </c>
      <c r="E145" s="1"/>
      <c r="F145" s="1"/>
      <c r="G145" s="2" t="str">
        <f ca="1">IFERROR(__xludf.DUMMYFUNCTION("""COMPUTED_VALUE"""),"to evaluate similarity between text data (e.g., generated comments and humans comments)")</f>
        <v>to evaluate similarity between text data (e.g., generated comments and humans comments)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38.25" x14ac:dyDescent="0.2">
      <c r="A146" s="1"/>
      <c r="B146" s="1"/>
      <c r="C146" s="1"/>
      <c r="D146" s="2" t="str">
        <f ca="1">IFERROR(__xludf.DUMMYFUNCTION("""COMPUTED_VALUE"""),"filter out auto-generated comments")</f>
        <v>filter out auto-generated comments</v>
      </c>
      <c r="E146" s="1"/>
      <c r="F146" s="1"/>
      <c r="G146" s="2" t="str">
        <f ca="1">IFERROR(__xludf.DUMMYFUNCTION("""COMPUTED_VALUE"""),"to evaluate similarity between text data (e.g., two sentences)")</f>
        <v>to evaluate similarity between text data (e.g., two sentences)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5.5" x14ac:dyDescent="0.2">
      <c r="A147" s="1"/>
      <c r="B147" s="1"/>
      <c r="C147" s="1"/>
      <c r="D147" s="2" t="str">
        <f ca="1">IFERROR(__xludf.DUMMYFUNCTION("""COMPUTED_VALUE"""),"filter out auto-generated summaries")</f>
        <v>filter out auto-generated summaries</v>
      </c>
      <c r="E147" s="1"/>
      <c r="F147" s="1"/>
      <c r="G147" s="2" t="str">
        <f ca="1">IFERROR(__xludf.DUMMYFUNCTION("""COMPUTED_VALUE"""),"to evaluate the effect of the context in model results")</f>
        <v>to evaluate the effect of the context in model results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51" x14ac:dyDescent="0.2">
      <c r="A148" s="1"/>
      <c r="B148" s="1"/>
      <c r="C148" s="1"/>
      <c r="D148" s="2" t="str">
        <f ca="1">IFERROR(__xludf.DUMMYFUNCTION("""COMPUTED_VALUE"""),"filter out auto-generated summaries, in test data")</f>
        <v>filter out auto-generated summaries, in test data</v>
      </c>
      <c r="E148" s="1"/>
      <c r="F148" s="1"/>
      <c r="G148" s="2" t="str">
        <f ca="1">IFERROR(__xludf.DUMMYFUNCTION("""COMPUTED_VALUE"""),"to evaluate the human impression of the model at the non-functional and functional level ")</f>
        <v xml:space="preserve">to evaluate the human impression of the model at the non-functional and functional level 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5.5" x14ac:dyDescent="0.2">
      <c r="A149" s="1"/>
      <c r="B149" s="1"/>
      <c r="C149" s="1"/>
      <c r="D149" s="2" t="str">
        <f ca="1">IFERROR(__xludf.DUMMYFUNCTION("""COMPUTED_VALUE"""),"filter out commits by size (too large)")</f>
        <v>filter out commits by size (too large)</v>
      </c>
      <c r="E149" s="1"/>
      <c r="F149" s="1"/>
      <c r="G149" s="2" t="str">
        <f ca="1">IFERROR(__xludf.DUMMYFUNCTION("""COMPUTED_VALUE"""),"to evaluate the model")</f>
        <v>to evaluate the model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38.25" x14ac:dyDescent="0.2">
      <c r="A150" s="1"/>
      <c r="B150" s="1"/>
      <c r="C150" s="1"/>
      <c r="D150" s="2" t="str">
        <f ca="1">IFERROR(__xludf.DUMMYFUNCTION("""COMPUTED_VALUE"""),"filter out data by language (i.e., does not meet language requirements)")</f>
        <v>filter out data by language (i.e., does not meet language requirements)</v>
      </c>
      <c r="E150" s="1"/>
      <c r="F150" s="1"/>
      <c r="G150" s="2" t="str">
        <f ca="1">IFERROR(__xludf.DUMMYFUNCTION("""COMPUTED_VALUE"""),"to evaluate the model non-functionally (i.e., time response)")</f>
        <v>to evaluate the model non-functionally (i.e., time response)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51" x14ac:dyDescent="0.2">
      <c r="A151" s="1"/>
      <c r="B151" s="1"/>
      <c r="C151" s="1"/>
      <c r="D151" s="2" t="str">
        <f ca="1">IFERROR(__xludf.DUMMYFUNCTION("""COMPUTED_VALUE"""),"filter out instances by size (too large)")</f>
        <v>filter out instances by size (too large)</v>
      </c>
      <c r="E151" s="1"/>
      <c r="F151" s="1"/>
      <c r="G151" s="2" t="str">
        <f ca="1">IFERROR(__xludf.DUMMYFUNCTION("""COMPUTED_VALUE"""),"to evaluate the model non-functionally (i.e., trustworthiness of the user in the model)")</f>
        <v>to evaluate the model non-functionally (i.e., trustworthiness of the user in the model)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38.25" x14ac:dyDescent="0.2">
      <c r="A152" s="1"/>
      <c r="B152" s="1"/>
      <c r="C152" s="1"/>
      <c r="D152" s="2" t="str">
        <f ca="1">IFERROR(__xludf.DUMMYFUNCTION("""COMPUTED_VALUE"""),"filter out reviews that do not trigger any changes")</f>
        <v>filter out reviews that do not trigger any changes</v>
      </c>
      <c r="E152" s="1"/>
      <c r="F152" s="1"/>
      <c r="G152" s="2" t="str">
        <f ca="1">IFERROR(__xludf.DUMMYFUNCTION("""COMPUTED_VALUE"""),"to evaluate the model performance, avoiding human-evaluation bias")</f>
        <v>to evaluate the model performance, avoiding human-evaluation bias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38.25" x14ac:dyDescent="0.2">
      <c r="A153" s="1"/>
      <c r="B153" s="1"/>
      <c r="C153" s="1"/>
      <c r="D153" s="2" t="str">
        <f ca="1">IFERROR(__xludf.DUMMYFUNCTION("""COMPUTED_VALUE"""),"filter repositories by language")</f>
        <v>filter repositories by language</v>
      </c>
      <c r="E153" s="1"/>
      <c r="F153" s="1"/>
      <c r="G153" s="2" t="str">
        <f ca="1">IFERROR(__xludf.DUMMYFUNCTION("""COMPUTED_VALUE"""),"to evaluate the model thoroughly, when generating code")</f>
        <v>to evaluate the model thoroughly, when generating code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5.5" x14ac:dyDescent="0.2">
      <c r="A154" s="1"/>
      <c r="B154" s="1"/>
      <c r="C154" s="1"/>
      <c r="D154" s="2" t="str">
        <f ca="1">IFERROR(__xludf.DUMMYFUNCTION("""COMPUTED_VALUE"""),"filter repositories by number of contributors")</f>
        <v>filter repositories by number of contributors</v>
      </c>
      <c r="E154" s="1"/>
      <c r="F154" s="1"/>
      <c r="G154" s="2" t="str">
        <f ca="1">IFERROR(__xludf.DUMMYFUNCTION("""COMPUTED_VALUE"""),"to evaluate the model, research")</f>
        <v>to evaluate the model, research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38.25" x14ac:dyDescent="0.2">
      <c r="A155" s="1"/>
      <c r="B155" s="1"/>
      <c r="C155" s="1"/>
      <c r="D155" s="2" t="str">
        <f ca="1">IFERROR(__xludf.DUMMYFUNCTION("""COMPUTED_VALUE"""),"filter repositories by popularity/ranking (e.g., top 1000) ranked")</f>
        <v>filter repositories by popularity/ranking (e.g., top 1000) ranked</v>
      </c>
      <c r="E155" s="1"/>
      <c r="F155" s="1"/>
      <c r="G155" s="2" t="str">
        <f ca="1">IFERROR(__xludf.DUMMYFUNCTION("""COMPUTED_VALUE"""),"to evaluate the need of using ML")</f>
        <v>to evaluate the need of using ML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5.5" x14ac:dyDescent="0.2">
      <c r="A156" s="1"/>
      <c r="B156" s="1"/>
      <c r="C156" s="1"/>
      <c r="D156" s="2" t="str">
        <f ca="1">IFERROR(__xludf.DUMMYFUNCTION("""COMPUTED_VALUE"""),"filter repositories by quality")</f>
        <v>filter repositories by quality</v>
      </c>
      <c r="E156" s="1"/>
      <c r="F156" s="1"/>
      <c r="G156" s="2" t="str">
        <f ca="1">IFERROR(__xludf.DUMMYFUNCTION("""COMPUTED_VALUE"""),"to evaluate the need of using ML, research")</f>
        <v>to evaluate the need of using ML, research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5.5" x14ac:dyDescent="0.2">
      <c r="A157" s="1"/>
      <c r="B157" s="1"/>
      <c r="C157" s="1"/>
      <c r="D157" s="2" t="str">
        <f ca="1">IFERROR(__xludf.DUMMYFUNCTION("""COMPUTED_VALUE"""),"filter repositories by quality/up to date code review techniques")</f>
        <v>filter repositories by quality/up to date code review techniques</v>
      </c>
      <c r="E157" s="1"/>
      <c r="F157" s="1"/>
      <c r="G157" s="2" t="str">
        <f ca="1">IFERROR(__xludf.DUMMYFUNCTION("""COMPUTED_VALUE"""),"to explain better the purpose of the model")</f>
        <v>to explain better the purpose of the model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38.25" x14ac:dyDescent="0.2">
      <c r="A158" s="1"/>
      <c r="B158" s="1"/>
      <c r="C158" s="1"/>
      <c r="D158" s="2" t="str">
        <f ca="1">IFERROR(__xludf.DUMMYFUNCTION("""COMPUTED_VALUE"""),"filter repositories by size  (e.g., top 1000)")</f>
        <v>filter repositories by size  (e.g., top 1000)</v>
      </c>
      <c r="E158" s="1"/>
      <c r="F158" s="1"/>
      <c r="G158" s="2" t="str">
        <f ca="1">IFERROR(__xludf.DUMMYFUNCTION("""COMPUTED_VALUE"""),"to explain clear the labeling process, when humans are involved")</f>
        <v>to explain clear the labeling process, when humans are involved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51" x14ac:dyDescent="0.2">
      <c r="A159" s="1"/>
      <c r="B159" s="1"/>
      <c r="C159" s="1"/>
      <c r="D159" s="2" t="str">
        <f ca="1">IFERROR(__xludf.DUMMYFUNCTION("""COMPUTED_VALUE"""),"filter stack overflow questions by the question intention (e.g., technical quetsion, theoretical question)")</f>
        <v>filter stack overflow questions by the question intention (e.g., technical quetsion, theoretical question)</v>
      </c>
      <c r="E159" s="1"/>
      <c r="F159" s="1"/>
      <c r="G159" s="2" t="str">
        <f ca="1">IFERROR(__xludf.DUMMYFUNCTION("""COMPUTED_VALUE"""),"to extract features")</f>
        <v>to extract features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5.5" x14ac:dyDescent="0.2">
      <c r="A160" s="1"/>
      <c r="B160" s="1"/>
      <c r="C160" s="1"/>
      <c r="D160" s="2" t="str">
        <f ca="1">IFERROR(__xludf.DUMMYFUNCTION("""COMPUTED_VALUE"""),"follow best practices for cleaning of data mining procedures")</f>
        <v>follow best practices for cleaning of data mining procedures</v>
      </c>
      <c r="E160" s="1"/>
      <c r="F160" s="1"/>
      <c r="G160" s="2" t="str">
        <f ca="1">IFERROR(__xludf.DUMMYFUNCTION("""COMPUTED_VALUE"""),"to extract features for predicting faulty code")</f>
        <v>to extract features for predicting faulty code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38.25" x14ac:dyDescent="0.2">
      <c r="A161" s="1"/>
      <c r="B161" s="1"/>
      <c r="C161" s="1"/>
      <c r="D161" s="2" t="str">
        <f ca="1">IFERROR(__xludf.DUMMYFUNCTION("""COMPUTED_VALUE"""),"follow stablished design machine learning pipeline guidelines")</f>
        <v>follow stablished design machine learning pipeline guidelines</v>
      </c>
      <c r="E161" s="1"/>
      <c r="F161" s="1"/>
      <c r="G161" s="2" t="str">
        <f ca="1">IFERROR(__xludf.DUMMYFUNCTION("""COMPUTED_VALUE"""),"to extract features, features from textual data")</f>
        <v>to extract features, features from textual data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38.25" x14ac:dyDescent="0.2">
      <c r="A162" s="1"/>
      <c r="B162" s="1"/>
      <c r="C162" s="1"/>
      <c r="D162" s="2" t="str">
        <f ca="1">IFERROR(__xludf.DUMMYFUNCTION("""COMPUTED_VALUE"""),"follow stablished design machine learning pipeline guidelines, including ALL stages")</f>
        <v>follow stablished design machine learning pipeline guidelines, including ALL stages</v>
      </c>
      <c r="E162" s="1"/>
      <c r="F162" s="1"/>
      <c r="G162" s="2" t="str">
        <f ca="1">IFERROR(__xludf.DUMMYFUNCTION("""COMPUTED_VALUE"""),"to extract features, meaningful code units (tokens)")</f>
        <v>to extract features, meaningful code units (tokens)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5.5" x14ac:dyDescent="0.2">
      <c r="A163" s="1"/>
      <c r="B163" s="1"/>
      <c r="C163" s="1"/>
      <c r="D163" s="2" t="str">
        <f ca="1">IFERROR(__xludf.DUMMYFUNCTION("""COMPUTED_VALUE"""),"follow state-of-the-art practices")</f>
        <v>follow state-of-the-art practices</v>
      </c>
      <c r="E163" s="1"/>
      <c r="F163" s="1"/>
      <c r="G163" s="2" t="str">
        <f ca="1">IFERROR(__xludf.DUMMYFUNCTION("""COMPUTED_VALUE"""),"to extract features, when dataset is already available")</f>
        <v>to extract features, when dataset is already available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5.5" x14ac:dyDescent="0.2">
      <c r="A164" s="1"/>
      <c r="B164" s="1"/>
      <c r="C164" s="1"/>
      <c r="D164" s="2" t="str">
        <f ca="1">IFERROR(__xludf.DUMMYFUNCTION("""COMPUTED_VALUE"""),"gather clean data")</f>
        <v>gather clean data</v>
      </c>
      <c r="E164" s="1"/>
      <c r="F164" s="1"/>
      <c r="G164" s="2" t="str">
        <f ca="1">IFERROR(__xludf.DUMMYFUNCTION("""COMPUTED_VALUE"""),"to extract features, when using deep learning")</f>
        <v>to extract features, when using deep learning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5.5" x14ac:dyDescent="0.2">
      <c r="A165" s="1"/>
      <c r="B165" s="1"/>
      <c r="C165" s="1"/>
      <c r="D165" s="2" t="str">
        <f ca="1">IFERROR(__xludf.DUMMYFUNCTION("""COMPUTED_VALUE"""),"get external feedback (e.g., social media)")</f>
        <v>get external feedback (e.g., social media)</v>
      </c>
      <c r="E165" s="1"/>
      <c r="F165" s="1"/>
      <c r="G165" s="2" t="str">
        <f ca="1">IFERROR(__xludf.DUMMYFUNCTION("""COMPUTED_VALUE"""),"to extract features, when using deep learning")</f>
        <v>to extract features, when using deep learning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5.5" x14ac:dyDescent="0.2">
      <c r="A166" s="1"/>
      <c r="B166" s="1"/>
      <c r="C166" s="1"/>
      <c r="D166" s="2" t="str">
        <f ca="1">IFERROR(__xludf.DUMMYFUNCTION("""COMPUTED_VALUE"""),"grid search")</f>
        <v>grid search</v>
      </c>
      <c r="E166" s="1"/>
      <c r="F166" s="1"/>
      <c r="G166" s="2" t="str">
        <f ca="1">IFERROR(__xludf.DUMMYFUNCTION("""COMPUTED_VALUE"""),"to filter data (STO questions) by question intention")</f>
        <v>to filter data (STO questions) by question intention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5.5" x14ac:dyDescent="0.2">
      <c r="A167" s="1"/>
      <c r="B167" s="1"/>
      <c r="C167" s="1"/>
      <c r="D167" s="2" t="str">
        <f ca="1">IFERROR(__xludf.DUMMYFUNCTION("""COMPUTED_VALUE"""),"grid search, during grid search add Gaussian noise to the data")</f>
        <v>grid search, during grid search add Gaussian noise to the data</v>
      </c>
      <c r="E167" s="1"/>
      <c r="F167" s="1"/>
      <c r="G167" s="2" t="str">
        <f ca="1">IFERROR(__xludf.DUMMYFUNCTION("""COMPUTED_VALUE"""),"to filter the data ensuring quality")</f>
        <v>to filter the data ensuring quality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51" x14ac:dyDescent="0.2">
      <c r="A168" s="1"/>
      <c r="B168" s="1"/>
      <c r="C168" s="1"/>
      <c r="D168" s="2" t="str">
        <f ca="1">IFERROR(__xludf.DUMMYFUNCTION("""COMPUTED_VALUE"""),"grid search, start with a reasonable hyperparameters  followed by a second search with the best found model")</f>
        <v>grid search, start with a reasonable hyperparameters  followed by a second search with the best found model</v>
      </c>
      <c r="E168" s="1"/>
      <c r="F168" s="1"/>
      <c r="G168" s="2" t="str">
        <f ca="1">IFERROR(__xludf.DUMMYFUNCTION("""COMPUTED_VALUE"""),"to find an optimal proxy of human perception, when no user study is possible")</f>
        <v>to find an optimal proxy of human perception, when no user study is possible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51" x14ac:dyDescent="0.2">
      <c r="A169" s="1"/>
      <c r="B169" s="1"/>
      <c r="C169" s="1"/>
      <c r="D169" s="2" t="str">
        <f ca="1">IFERROR(__xludf.DUMMYFUNCTION("""COMPUTED_VALUE"""),"groundend theory based method")</f>
        <v>groundend theory based method</v>
      </c>
      <c r="E169" s="1"/>
      <c r="F169" s="1"/>
      <c r="G169" s="2" t="str">
        <f ca="1">IFERROR(__xludf.DUMMYFUNCTION("""COMPUTED_VALUE"""),"to find the best hyperparameters in deep learning models, with time constraints")</f>
        <v>to find the best hyperparameters in deep learning models, with time constraints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5.5" x14ac:dyDescent="0.2">
      <c r="A170" s="1"/>
      <c r="B170" s="1"/>
      <c r="C170" s="1"/>
      <c r="D170" s="2" t="str">
        <f ca="1">IFERROR(__xludf.DUMMYFUNCTION("""COMPUTED_VALUE"""),"have a large and diverse dataset")</f>
        <v>have a large and diverse dataset</v>
      </c>
      <c r="E170" s="1"/>
      <c r="F170" s="1"/>
      <c r="G170" s="2" t="str">
        <f ca="1">IFERROR(__xludf.DUMMYFUNCTION("""COMPUTED_VALUE"""),"to find the best hyperparameters in general")</f>
        <v>to find the best hyperparameters in general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38.25" x14ac:dyDescent="0.2">
      <c r="A171" s="1"/>
      <c r="B171" s="1"/>
      <c r="C171" s="1"/>
      <c r="D171" s="2" t="str">
        <f ca="1">IFERROR(__xludf.DUMMYFUNCTION("""COMPUTED_VALUE"""),"have a large and diverse dataset and diverse metrics")</f>
        <v>have a large and diverse dataset and diverse metrics</v>
      </c>
      <c r="E171" s="1"/>
      <c r="F171" s="1"/>
      <c r="G171" s="2" t="str">
        <f ca="1">IFERROR(__xludf.DUMMYFUNCTION("""COMPUTED_VALUE"""),"to find the best hyperparameters in general, initial step")</f>
        <v>to find the best hyperparameters in general, initial step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51" x14ac:dyDescent="0.2">
      <c r="A172" s="1"/>
      <c r="B172" s="1"/>
      <c r="C172" s="1"/>
      <c r="D172" s="2" t="str">
        <f ca="1">IFERROR(__xludf.DUMMYFUNCTION("""COMPUTED_VALUE"""),"have a large dataset")</f>
        <v>have a large dataset</v>
      </c>
      <c r="E172" s="1"/>
      <c r="F172" s="1"/>
      <c r="G172" s="2" t="str">
        <f ca="1">IFERROR(__xludf.DUMMYFUNCTION("""COMPUTED_VALUE"""),"to find the best hyperparameters in general, when a new ML algorithm is proposed")</f>
        <v>to find the best hyperparameters in general, when a new ML algorithm is proposed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51" x14ac:dyDescent="0.2">
      <c r="A173" s="1"/>
      <c r="B173" s="1"/>
      <c r="C173" s="1"/>
      <c r="D173" s="2" t="str">
        <f ca="1">IFERROR(__xludf.DUMMYFUNCTION("""COMPUTED_VALUE"""),"have multiple datasets")</f>
        <v>have multiple datasets</v>
      </c>
      <c r="E173" s="1"/>
      <c r="F173" s="1"/>
      <c r="G173" s="2" t="str">
        <f ca="1">IFERROR(__xludf.DUMMYFUNCTION("""COMPUTED_VALUE"""),"to find the best hyperparameters in general, when is part of an emperical evaluation")</f>
        <v>to find the best hyperparameters in general, when is part of an emperical evaluation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5.5" x14ac:dyDescent="0.2">
      <c r="A174" s="1"/>
      <c r="B174" s="1"/>
      <c r="C174" s="1"/>
      <c r="D174" s="2" t="str">
        <f ca="1">IFERROR(__xludf.DUMMYFUNCTION("""COMPUTED_VALUE"""),"have third party evidence for assigned labels")</f>
        <v>have third party evidence for assigned labels</v>
      </c>
      <c r="E174" s="1"/>
      <c r="F174" s="1"/>
      <c r="G174" s="2" t="str">
        <f ca="1">IFERROR(__xludf.DUMMYFUNCTION("""COMPUTED_VALUE"""),"to follow a practice")</f>
        <v>to follow a practice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5.5" x14ac:dyDescent="0.2">
      <c r="A175" s="1"/>
      <c r="B175" s="1"/>
      <c r="C175" s="1"/>
      <c r="D175" s="2" t="str">
        <f ca="1">IFERROR(__xludf.DUMMYFUNCTION("""COMPUTED_VALUE"""),"hyperparameter tuning")</f>
        <v>hyperparameter tuning</v>
      </c>
      <c r="E175" s="1"/>
      <c r="F175" s="1"/>
      <c r="G175" s="2" t="str">
        <f ca="1">IFERROR(__xludf.DUMMYFUNCTION("""COMPUTED_VALUE"""),"to follow a practice in cleaning code")</f>
        <v>to follow a practice in cleaning code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38.25" x14ac:dyDescent="0.2">
      <c r="A176" s="1"/>
      <c r="B176" s="1"/>
      <c r="C176" s="1"/>
      <c r="D176" s="2" t="str">
        <f ca="1">IFERROR(__xludf.DUMMYFUNCTION("""COMPUTED_VALUE"""),"hyperparameter tuning evaluation on validation set")</f>
        <v>hyperparameter tuning evaluation on validation set</v>
      </c>
      <c r="E176" s="1"/>
      <c r="F176" s="1"/>
      <c r="G176" s="2" t="str">
        <f ca="1">IFERROR(__xludf.DUMMYFUNCTION("""COMPUTED_VALUE"""),"to follow a practice of data pre-procesing, when prediction variables")</f>
        <v>to follow a practice of data pre-procesing, when prediction variables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51" x14ac:dyDescent="0.2">
      <c r="A177" s="1"/>
      <c r="B177" s="1"/>
      <c r="C177" s="1"/>
      <c r="D177" s="2" t="str">
        <f ca="1">IFERROR(__xludf.DUMMYFUNCTION("""COMPUTED_VALUE"""),"hyperparameter tuning, around a fix and tested initial hyperparameters")</f>
        <v>hyperparameter tuning, around a fix and tested initial hyperparameters</v>
      </c>
      <c r="E177" s="1"/>
      <c r="F177" s="1"/>
      <c r="G177" s="2" t="str">
        <f ca="1">IFERROR(__xludf.DUMMYFUNCTION("""COMPUTED_VALUE"""),"to follow a practice of data pre-procesing, when understanding code structures")</f>
        <v>to follow a practice of data pre-procesing, when understanding code structures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38.25" x14ac:dyDescent="0.2">
      <c r="A178" s="1"/>
      <c r="B178" s="1"/>
      <c r="C178" s="1"/>
      <c r="D178" s="2" t="str">
        <f ca="1">IFERROR(__xludf.DUMMYFUNCTION("""COMPUTED_VALUE"""),"hyperparameter tuning, start with model defaults hyperparameters")</f>
        <v>hyperparameter tuning, start with model defaults hyperparameters</v>
      </c>
      <c r="E178" s="1"/>
      <c r="F178" s="1"/>
      <c r="G178" s="2" t="str">
        <f ca="1">IFERROR(__xludf.DUMMYFUNCTION("""COMPUTED_VALUE"""),"to follow best practice")</f>
        <v>to follow best practice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51" x14ac:dyDescent="0.2">
      <c r="A179" s="1"/>
      <c r="B179" s="1"/>
      <c r="C179" s="1"/>
      <c r="D179" s="2" t="str">
        <f ca="1">IFERROR(__xludf.DUMMYFUNCTION("""COMPUTED_VALUE"""),"identify covariants")</f>
        <v>identify covariants</v>
      </c>
      <c r="E179" s="1"/>
      <c r="F179" s="1"/>
      <c r="G179" s="2" t="str">
        <f ca="1">IFERROR(__xludf.DUMMYFUNCTION("""COMPUTED_VALUE"""),"to generate an abstract syntax tree, the bare bone of a graph for a graph neural models (GNN)")</f>
        <v>to generate an abstract syntax tree, the bare bone of a graph for a graph neural models (GNN)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2" t="str">
        <f ca="1">IFERROR(__xludf.DUMMYFUNCTION("""COMPUTED_VALUE"""),"identify issues in data")</f>
        <v>identify issues in data</v>
      </c>
      <c r="E180" s="1"/>
      <c r="F180" s="1"/>
      <c r="G180" s="2" t="str">
        <f ca="1">IFERROR(__xludf.DUMMYFUNCTION("""COMPUTED_VALUE"""),"to handle concept drift")</f>
        <v>to handle concept drift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5.5" x14ac:dyDescent="0.2">
      <c r="A181" s="1"/>
      <c r="B181" s="1"/>
      <c r="C181" s="1"/>
      <c r="D181" s="2" t="str">
        <f ca="1">IFERROR(__xludf.DUMMYFUNCTION("""COMPUTED_VALUE"""),"identify labeling errors")</f>
        <v>identify labeling errors</v>
      </c>
      <c r="E181" s="1"/>
      <c r="F181" s="1"/>
      <c r="G181" s="2" t="str">
        <f ca="1">IFERROR(__xludf.DUMMYFUNCTION("""COMPUTED_VALUE"""),"to handle concept drift, when machinary available")</f>
        <v>to handle concept drift, when machinary available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5.5" x14ac:dyDescent="0.2">
      <c r="A182" s="1"/>
      <c r="B182" s="1"/>
      <c r="C182" s="1"/>
      <c r="D182" s="2" t="str">
        <f ca="1">IFERROR(__xludf.DUMMYFUNCTION("""COMPUTED_VALUE"""),"identify missing values and their  type")</f>
        <v>identify missing values and their  type</v>
      </c>
      <c r="E182" s="1"/>
      <c r="F182" s="1"/>
      <c r="G182" s="2" t="str">
        <f ca="1">IFERROR(__xludf.DUMMYFUNCTION("""COMPUTED_VALUE"""),"to have a clear idea on how to execute the ML pipeline")</f>
        <v>to have a clear idea on how to execute the ML pipeline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5.5" x14ac:dyDescent="0.2">
      <c r="A183" s="1"/>
      <c r="B183" s="1"/>
      <c r="C183" s="1"/>
      <c r="D183" s="2" t="str">
        <f ca="1">IFERROR(__xludf.DUMMYFUNCTION("""COMPUTED_VALUE"""),"identify sentence boundary")</f>
        <v>identify sentence boundary</v>
      </c>
      <c r="E183" s="1"/>
      <c r="F183" s="1"/>
      <c r="G183" s="2" t="str">
        <f ca="1">IFERROR(__xludf.DUMMYFUNCTION("""COMPUTED_VALUE"""),"to have a more explainable model")</f>
        <v>to have a more explainable model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5.5" x14ac:dyDescent="0.2">
      <c r="A184" s="1"/>
      <c r="B184" s="1"/>
      <c r="C184" s="1"/>
      <c r="D184" s="2" t="str">
        <f ca="1">IFERROR(__xludf.DUMMYFUNCTION("""COMPUTED_VALUE"""),"identify strange anomalies in model behavior")</f>
        <v>identify strange anomalies in model behavior</v>
      </c>
      <c r="E184" s="1"/>
      <c r="F184" s="1"/>
      <c r="G184" s="2" t="str">
        <f ca="1">IFERROR(__xludf.DUMMYFUNCTION("""COMPUTED_VALUE"""),"to have a train and evaluation aproach ")</f>
        <v xml:space="preserve">to have a train and evaluation aproach 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51" x14ac:dyDescent="0.2">
      <c r="A185" s="1"/>
      <c r="B185" s="1"/>
      <c r="C185" s="1"/>
      <c r="D185" s="2" t="str">
        <f ca="1">IFERROR(__xludf.DUMMYFUNCTION("""COMPUTED_VALUE"""),"implementing a dashboard, showing the status of the experiments and a centralized tool")</f>
        <v>implementing a dashboard, showing the status of the experiments and a centralized tool</v>
      </c>
      <c r="E185" s="1"/>
      <c r="F185" s="1"/>
      <c r="G185" s="2" t="str">
        <f ca="1">IFERROR(__xludf.DUMMYFUNCTION("""COMPUTED_VALUE"""),"to have an initial data for the models")</f>
        <v>to have an initial data for the models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5.5" x14ac:dyDescent="0.2">
      <c r="A186" s="1"/>
      <c r="B186" s="1"/>
      <c r="C186" s="1"/>
      <c r="D186" s="2" t="str">
        <f ca="1">IFERROR(__xludf.DUMMYFUNCTION("""COMPUTED_VALUE"""),"imputation using the median ")</f>
        <v xml:space="preserve">imputation using the median </v>
      </c>
      <c r="E186" s="1"/>
      <c r="F186" s="1"/>
      <c r="G186" s="2" t="str">
        <f ca="1">IFERROR(__xludf.DUMMYFUNCTION("""COMPUTED_VALUE"""),"to have certainty on how features are extracted")</f>
        <v>to have certainty on how features are extracted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5.5" x14ac:dyDescent="0.2">
      <c r="A187" s="1"/>
      <c r="B187" s="1"/>
      <c r="C187" s="1"/>
      <c r="D187" s="2" t="str">
        <f ca="1">IFERROR(__xludf.DUMMYFUNCTION("""COMPUTED_VALUE"""),"incorporate the call graph of code as context")</f>
        <v>incorporate the call graph of code as context</v>
      </c>
      <c r="E187" s="1"/>
      <c r="F187" s="1"/>
      <c r="G187" s="2" t="str">
        <f ca="1">IFERROR(__xludf.DUMMYFUNCTION("""COMPUTED_VALUE"""),"to have clarity of the designed ML pipeline")</f>
        <v>to have clarity of the designed ML pipeline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5.5" x14ac:dyDescent="0.2">
      <c r="A188" s="1"/>
      <c r="B188" s="1"/>
      <c r="C188" s="1"/>
      <c r="D188" s="2" t="str">
        <f ca="1">IFERROR(__xludf.DUMMYFUNCTION("""COMPUTED_VALUE"""),"independent data labeling for each tagger")</f>
        <v>independent data labeling for each tagger</v>
      </c>
      <c r="E188" s="1"/>
      <c r="F188" s="1"/>
      <c r="G188" s="2" t="str">
        <f ca="1">IFERROR(__xludf.DUMMYFUNCTION("""COMPUTED_VALUE"""),"to have confidence on the model(s) improvement/results")</f>
        <v>to have confidence on the model(s) improvement/results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5.5" x14ac:dyDescent="0.2">
      <c r="A189" s="1"/>
      <c r="B189" s="1"/>
      <c r="C189" s="1"/>
      <c r="D189" s="2" t="str">
        <f ca="1">IFERROR(__xludf.DUMMYFUNCTION("""COMPUTED_VALUE"""),"insert special tokens to highlight relevant sections")</f>
        <v>insert special tokens to highlight relevant sections</v>
      </c>
      <c r="E189" s="1"/>
      <c r="F189" s="1"/>
      <c r="G189" s="2" t="str">
        <f ca="1">IFERROR(__xludf.DUMMYFUNCTION("""COMPUTED_VALUE"""),"to have consistent metrics")</f>
        <v>to have consistent metrics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38.25" x14ac:dyDescent="0.2">
      <c r="A190" s="1"/>
      <c r="B190" s="1"/>
      <c r="C190" s="1"/>
      <c r="D190" s="2" t="str">
        <f ca="1">IFERROR(__xludf.DUMMYFUNCTION("""COMPUTED_VALUE"""),"involve human expertise")</f>
        <v>involve human expertise</v>
      </c>
      <c r="E190" s="1"/>
      <c r="F190" s="1"/>
      <c r="G190" s="2" t="str">
        <f ca="1">IFERROR(__xludf.DUMMYFUNCTION("""COMPUTED_VALUE"""),"to have fair comparisons between baseline models and the evaluated model")</f>
        <v>to have fair comparisons between baseline models and the evaluated model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76.5" x14ac:dyDescent="0.2">
      <c r="A191" s="1"/>
      <c r="B191" s="1"/>
      <c r="C191" s="1"/>
      <c r="D191" s="2" t="str">
        <f ca="1">IFERROR(__xludf.DUMMYFUNCTION("""COMPUTED_VALUE"""),"involve human expertise in evaluation")</f>
        <v>involve human expertise in evaluation</v>
      </c>
      <c r="E191" s="1"/>
      <c r="F191" s="1"/>
      <c r="G191" s="2" t="str">
        <f ca="1">IFERROR(__xludf.DUMMYFUNCTION("""COMPUTED_VALUE"""),"to have fair comparisons between baseline models and the evaluated model, if the train data  and same pre-processing cannot be used in both")</f>
        <v>to have fair comparisons between baseline models and the evaluated model, if the train data  and same pre-processing cannot be used in both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63.75" x14ac:dyDescent="0.2">
      <c r="A192" s="1"/>
      <c r="B192" s="1"/>
      <c r="C192" s="1"/>
      <c r="D192" s="2" t="str">
        <f ca="1">IFERROR(__xludf.DUMMYFUNCTION("""COMPUTED_VALUE"""),"involve human expertise in evaluation, case studies in test or validation data")</f>
        <v>involve human expertise in evaluation, case studies in test or validation data</v>
      </c>
      <c r="E192" s="1"/>
      <c r="F192" s="1"/>
      <c r="G192" s="2" t="str">
        <f ca="1">IFERROR(__xludf.DUMMYFUNCTION("""COMPUTED_VALUE"""),"to have fair comparisons between baseline models and the evaluated model, if the train data cannot be used in both")</f>
        <v>to have fair comparisons between baseline models and the evaluated model, if the train data cannot be used in both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5.5" x14ac:dyDescent="0.2">
      <c r="A193" s="1"/>
      <c r="B193" s="1"/>
      <c r="C193" s="1"/>
      <c r="D193" s="2" t="str">
        <f ca="1">IFERROR(__xludf.DUMMYFUNCTION("""COMPUTED_VALUE"""),"involve human expertise in evaluation, on deployed model")</f>
        <v>involve human expertise in evaluation, on deployed model</v>
      </c>
      <c r="E193" s="1"/>
      <c r="F193" s="1"/>
      <c r="G193" s="2" t="str">
        <f ca="1">IFERROR(__xludf.DUMMYFUNCTION("""COMPUTED_VALUE"""),"to have fair tests")</f>
        <v>to have fair tests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5.5" x14ac:dyDescent="0.2">
      <c r="A194" s="1"/>
      <c r="B194" s="1"/>
      <c r="C194" s="1"/>
      <c r="D194" s="2" t="str">
        <f ca="1">IFERROR(__xludf.DUMMYFUNCTION("""COMPUTED_VALUE"""),"involve human expertise in evaluation, with a survey")</f>
        <v>involve human expertise in evaluation, with a survey</v>
      </c>
      <c r="E194" s="1"/>
      <c r="F194" s="1"/>
      <c r="G194" s="2" t="str">
        <f ca="1">IFERROR(__xludf.DUMMYFUNCTION("""COMPUTED_VALUE"""),"to have models that are useful for users")</f>
        <v>to have models that are useful for users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38.25" x14ac:dyDescent="0.2">
      <c r="A195" s="1"/>
      <c r="B195" s="1"/>
      <c r="C195" s="1"/>
      <c r="D195" s="2" t="str">
        <f ca="1">IFERROR(__xludf.DUMMYFUNCTION("""COMPUTED_VALUE"""),"involve human expertise in evaluation, with interviews")</f>
        <v>involve human expertise in evaluation, with interviews</v>
      </c>
      <c r="E195" s="1"/>
      <c r="F195" s="1"/>
      <c r="G195" s="2" t="str">
        <f ca="1">IFERROR(__xludf.DUMMYFUNCTION("""COMPUTED_VALUE"""),"to have more control and knowledge of the data vs existing datasets")</f>
        <v>to have more control and knowledge of the data vs existing datasets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38.25" x14ac:dyDescent="0.2">
      <c r="A196" s="1"/>
      <c r="B196" s="1"/>
      <c r="C196" s="1"/>
      <c r="D196" s="2" t="str">
        <f ca="1">IFERROR(__xludf.DUMMYFUNCTION("""COMPUTED_VALUE"""),"keep commented code")</f>
        <v>keep commented code</v>
      </c>
      <c r="E196" s="1"/>
      <c r="F196" s="1"/>
      <c r="G196" s="2" t="str">
        <f ca="1">IFERROR(__xludf.DUMMYFUNCTION("""COMPUTED_VALUE"""),"to have organized information about the experiments (e.g., status and results)")</f>
        <v>to have organized information about the experiments (e.g., status and results)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5.5" x14ac:dyDescent="0.2">
      <c r="A197" s="1"/>
      <c r="B197" s="1"/>
      <c r="C197" s="1"/>
      <c r="D197" s="2" t="str">
        <f ca="1">IFERROR(__xludf.DUMMYFUNCTION("""COMPUTED_VALUE"""),"keep outliers")</f>
        <v>keep outliers</v>
      </c>
      <c r="E197" s="1"/>
      <c r="F197" s="1"/>
      <c r="G197" s="2" t="str">
        <f ca="1">IFERROR(__xludf.DUMMYFUNCTION("""COMPUTED_VALUE"""),"to homogenize the code for the required input format")</f>
        <v>to homogenize the code for the required input format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5.5" x14ac:dyDescent="0.2">
      <c r="A198" s="1"/>
      <c r="B198" s="1"/>
      <c r="C198" s="1"/>
      <c r="D198" s="2" t="str">
        <f ca="1">IFERROR(__xludf.DUMMYFUNCTION("""COMPUTED_VALUE"""),"keep track of versions (e.g., data, models)")</f>
        <v>keep track of versions (e.g., data, models)</v>
      </c>
      <c r="E198" s="1"/>
      <c r="F198" s="1"/>
      <c r="G198" s="2" t="str">
        <f ca="1">IFERROR(__xludf.DUMMYFUNCTION("""COMPUTED_VALUE"""),"to identify a better model for a specific task")</f>
        <v>to identify a better model for a specific task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5.5" x14ac:dyDescent="0.2">
      <c r="A199" s="1"/>
      <c r="B199" s="1"/>
      <c r="C199" s="1"/>
      <c r="D199" s="2" t="str">
        <f ca="1">IFERROR(__xludf.DUMMYFUNCTION("""COMPUTED_VALUE"""),"labeling incrementally")</f>
        <v>labeling incrementally</v>
      </c>
      <c r="E199" s="1"/>
      <c r="F199" s="1"/>
      <c r="G199" s="2" t="str">
        <f ca="1">IFERROR(__xludf.DUMMYFUNCTION("""COMPUTED_VALUE"""),"to identify a the procedure to collect and curate data")</f>
        <v>to identify a the procedure to collect and curate data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5.5" x14ac:dyDescent="0.2">
      <c r="A200" s="1"/>
      <c r="B200" s="1"/>
      <c r="C200" s="1"/>
      <c r="D200" s="2" t="str">
        <f ca="1">IFERROR(__xludf.DUMMYFUNCTION("""COMPUTED_VALUE"""),"labeling use existing and standard codes")</f>
        <v>labeling use existing and standard codes</v>
      </c>
      <c r="E200" s="1"/>
      <c r="F200" s="1"/>
      <c r="G200" s="2" t="str">
        <f ca="1">IFERROR(__xludf.DUMMYFUNCTION("""COMPUTED_VALUE"""),"to identify biases")</f>
        <v>to identify biases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38.25" x14ac:dyDescent="0.2">
      <c r="A201" s="1"/>
      <c r="B201" s="1"/>
      <c r="C201" s="1"/>
      <c r="D201" s="2" t="str">
        <f ca="1">IFERROR(__xludf.DUMMYFUNCTION("""COMPUTED_VALUE"""),"logging (i.e., performance) +  profiling of a model (e.g., resorces, time)")</f>
        <v>logging (i.e., performance) +  profiling of a model (e.g., resorces, time)</v>
      </c>
      <c r="E201" s="1"/>
      <c r="F201" s="1"/>
      <c r="G201" s="2" t="str">
        <f ca="1">IFERROR(__xludf.DUMMYFUNCTION("""COMPUTED_VALUE"""),"to identify biases and decide how to handle them")</f>
        <v>to identify biases and decide how to handle them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51" x14ac:dyDescent="0.2">
      <c r="A202" s="1"/>
      <c r="B202" s="1"/>
      <c r="C202" s="1"/>
      <c r="D202" s="2" t="str">
        <f ca="1">IFERROR(__xludf.DUMMYFUNCTION("""COMPUTED_VALUE"""),"logging of the model (i.e., performance)")</f>
        <v>logging of the model (i.e., performance)</v>
      </c>
      <c r="E202" s="1"/>
      <c r="F202" s="1"/>
      <c r="G202" s="2" t="str">
        <f ca="1">IFERROR(__xludf.DUMMYFUNCTION("""COMPUTED_VALUE"""),"to identify grammar rules and patterns that allows to understand the type of comments being used")</f>
        <v>to identify grammar rules and patterns that allows to understand the type of comments being used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5.5" x14ac:dyDescent="0.2">
      <c r="A203" s="1"/>
      <c r="B203" s="1"/>
      <c r="C203" s="1"/>
      <c r="D203" s="2" t="str">
        <f ca="1">IFERROR(__xludf.DUMMYFUNCTION("""COMPUTED_VALUE"""),"making sure dataset are realistic and generalizable")</f>
        <v>making sure dataset are realistic and generalizable</v>
      </c>
      <c r="E203" s="1"/>
      <c r="F203" s="1"/>
      <c r="G203" s="2" t="str">
        <f ca="1">IFERROR(__xludf.DUMMYFUNCTION("""COMPUTED_VALUE"""),"to identify if concept drift is happening")</f>
        <v>to identify if concept drift is happening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5.5" x14ac:dyDescent="0.2">
      <c r="A204" s="1"/>
      <c r="B204" s="1"/>
      <c r="C204" s="1"/>
      <c r="D204" s="2" t="str">
        <f ca="1">IFERROR(__xludf.DUMMYFUNCTION("""COMPUTED_VALUE"""),"manual data inspection")</f>
        <v>manual data inspection</v>
      </c>
      <c r="E204" s="1"/>
      <c r="F204" s="1"/>
      <c r="G204" s="2" t="str">
        <f ca="1">IFERROR(__xludf.DUMMYFUNCTION("""COMPUTED_VALUE"""),"to identify possible issues within dataset(s)")</f>
        <v>to identify possible issues within dataset(s)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38.25" x14ac:dyDescent="0.2">
      <c r="A205" s="1"/>
      <c r="B205" s="1"/>
      <c r="C205" s="1"/>
      <c r="D205" s="2" t="str">
        <f ca="1">IFERROR(__xludf.DUMMYFUNCTION("""COMPUTED_VALUE"""),"manual feature extraction (based on own expertise/knowledge)")</f>
        <v>manual feature extraction (based on own expertise/knowledge)</v>
      </c>
      <c r="E205" s="1"/>
      <c r="F205" s="1"/>
      <c r="G205" s="2" t="str">
        <f ca="1">IFERROR(__xludf.DUMMYFUNCTION("""COMPUTED_VALUE"""),"to identify possible issues within existing dataset(s)")</f>
        <v>to identify possible issues within existing dataset(s)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38.25" x14ac:dyDescent="0.2">
      <c r="A206" s="1"/>
      <c r="B206" s="1"/>
      <c r="C206" s="1"/>
      <c r="D206" s="2" t="str">
        <f ca="1">IFERROR(__xludf.DUMMYFUNCTION("""COMPUTED_VALUE"""),"manual indentification of feature extraction process")</f>
        <v>manual indentification of feature extraction process</v>
      </c>
      <c r="E206" s="1"/>
      <c r="F206" s="1"/>
      <c r="G206" s="2" t="str">
        <f ca="1">IFERROR(__xludf.DUMMYFUNCTION("""COMPUTED_VALUE"""),"to identify the part of speach that allows to understand the type of comments being used")</f>
        <v>to identify the part of speach that allows to understand the type of comments being used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5.5" x14ac:dyDescent="0.2">
      <c r="A207" s="1"/>
      <c r="B207" s="1"/>
      <c r="C207" s="1"/>
      <c r="D207" s="2" t="str">
        <f ca="1">IFERROR(__xludf.DUMMYFUNCTION("""COMPUTED_VALUE"""),"manual inspection of code summaries (""labels"")")</f>
        <v>manual inspection of code summaries ("labels")</v>
      </c>
      <c r="E207" s="1"/>
      <c r="F207" s="1"/>
      <c r="G207" s="2" t="str">
        <f ca="1">IFERROR(__xludf.DUMMYFUNCTION("""COMPUTED_VALUE"""),"to identify whether data meet requirements")</f>
        <v>to identify whether data meet requirements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38.25" x14ac:dyDescent="0.2">
      <c r="A208" s="1"/>
      <c r="B208" s="1"/>
      <c r="C208" s="1"/>
      <c r="D208" s="2" t="str">
        <f ca="1">IFERROR(__xludf.DUMMYFUNCTION("""COMPUTED_VALUE"""),"manual label validation of collected dataset/automatically labeled")</f>
        <v>manual label validation of collected dataset/automatically labeled</v>
      </c>
      <c r="E208" s="1"/>
      <c r="F208" s="1"/>
      <c r="G208" s="2" t="str">
        <f ca="1">IFERROR(__xludf.DUMMYFUNCTION("""COMPUTED_VALUE"""),"to improve labeling process")</f>
        <v>to improve labeling process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51" x14ac:dyDescent="0.2">
      <c r="A209" s="1"/>
      <c r="B209" s="1"/>
      <c r="C209" s="1"/>
      <c r="D209" s="2" t="str">
        <f ca="1">IFERROR(__xludf.DUMMYFUNCTION("""COMPUTED_VALUE"""),"manual label validation of collected dataset/automatically labeled, statistically significant sample")</f>
        <v>manual label validation of collected dataset/automatically labeled, statistically significant sample</v>
      </c>
      <c r="E209" s="1"/>
      <c r="F209" s="1"/>
      <c r="G209" s="2" t="str">
        <f ca="1">IFERROR(__xludf.DUMMYFUNCTION("""COMPUTED_VALUE"""),"to improve quality of data cleaning, research")</f>
        <v>to improve quality of data cleaning, research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5.5" x14ac:dyDescent="0.2">
      <c r="A210" s="1"/>
      <c r="B210" s="1"/>
      <c r="C210" s="1"/>
      <c r="D210" s="2" t="str">
        <f ca="1">IFERROR(__xludf.DUMMYFUNCTION("""COMPUTED_VALUE"""),"manual labeling")</f>
        <v>manual labeling</v>
      </c>
      <c r="E210" s="1"/>
      <c r="F210" s="1"/>
      <c r="G210" s="2" t="str">
        <f ca="1">IFERROR(__xludf.DUMMYFUNCTION("""COMPUTED_VALUE"""),"to include context to methods part of the model input")</f>
        <v>to include context to methods part of the model input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5.5" x14ac:dyDescent="0.2">
      <c r="A211" s="1"/>
      <c r="B211" s="1"/>
      <c r="C211" s="1"/>
      <c r="D211" s="2" t="str">
        <f ca="1">IFERROR(__xludf.DUMMYFUNCTION("""COMPUTED_VALUE"""),"manual sample inspection")</f>
        <v>manual sample inspection</v>
      </c>
      <c r="E211" s="1"/>
      <c r="F211" s="1"/>
      <c r="G211" s="2" t="str">
        <f ca="1">IFERROR(__xludf.DUMMYFUNCTION("""COMPUTED_VALUE"""),"to indicate to the model that there are important sections")</f>
        <v>to indicate to the model that there are important sections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5.5" x14ac:dyDescent="0.2">
      <c r="A212" s="1"/>
      <c r="B212" s="1"/>
      <c r="C212" s="1"/>
      <c r="D212" s="2" t="str">
        <f ca="1">IFERROR(__xludf.DUMMYFUNCTION("""COMPUTED_VALUE"""),"manual sample inspection of real inputs and outputs")</f>
        <v>manual sample inspection of real inputs and outputs</v>
      </c>
      <c r="E212" s="1"/>
      <c r="F212" s="1"/>
      <c r="G212" s="2" t="str">
        <f ca="1">IFERROR(__xludf.DUMMYFUNCTION("""COMPUTED_VALUE"""),"to infer filtering rules for noisy data")</f>
        <v>to infer filtering rules for noisy data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5.5" x14ac:dyDescent="0.2">
      <c r="A213" s="1"/>
      <c r="B213" s="1"/>
      <c r="C213" s="1"/>
      <c r="D213" s="2" t="str">
        <f ca="1">IFERROR(__xludf.DUMMYFUNCTION("""COMPUTED_VALUE"""),"manual sample inspection on the predictions on the test set")</f>
        <v>manual sample inspection on the predictions on the test set</v>
      </c>
      <c r="E213" s="1"/>
      <c r="F213" s="1"/>
      <c r="G213" s="2" t="str">
        <f ca="1">IFERROR(__xludf.DUMMYFUNCTION("""COMPUTED_VALUE"""),"to interpret the model")</f>
        <v>to interpret the model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5.5" x14ac:dyDescent="0.2">
      <c r="A214" s="1"/>
      <c r="B214" s="1"/>
      <c r="C214" s="1"/>
      <c r="D214" s="2" t="str">
        <f ca="1">IFERROR(__xludf.DUMMYFUNCTION("""COMPUTED_VALUE"""),"manual sample inspection (random sample)")</f>
        <v>manual sample inspection (random sample)</v>
      </c>
      <c r="E214" s="1"/>
      <c r="F214" s="1"/>
      <c r="G214" s="2" t="str">
        <f ca="1">IFERROR(__xludf.DUMMYFUNCTION("""COMPUTED_VALUE"""),"to interpret the model (linear regression)")</f>
        <v>to interpret the model (linear regression)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51" x14ac:dyDescent="0.2">
      <c r="A215" s="1"/>
      <c r="B215" s="1"/>
      <c r="C215" s="1"/>
      <c r="D215" s="2" t="str">
        <f ca="1">IFERROR(__xludf.DUMMYFUNCTION("""COMPUTED_VALUE"""),"model/architecture adaptation")</f>
        <v>model/architecture adaptation</v>
      </c>
      <c r="E215" s="1"/>
      <c r="F215" s="1"/>
      <c r="G215" s="2" t="str">
        <f ca="1">IFERROR(__xludf.DUMMYFUNCTION("""COMPUTED_VALUE"""),"to keep track of the process of the experiments, the data, and the results (i.e., trained models)")</f>
        <v>to keep track of the process of the experiments, the data, and the results (i.e., trained models)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51" x14ac:dyDescent="0.2">
      <c r="A216" s="1"/>
      <c r="B216" s="1"/>
      <c r="C216" s="1"/>
      <c r="D216" s="2" t="str">
        <f ca="1">IFERROR(__xludf.DUMMYFUNCTION("""COMPUTED_VALUE"""),"model/architecture adaptation, adapt a base models from different disciplines (i.e., NLP) of SE")</f>
        <v>model/architecture adaptation, adapt a base models from different disciplines (i.e., NLP) of SE</v>
      </c>
      <c r="E216" s="1"/>
      <c r="F216" s="1"/>
      <c r="G216" s="2" t="str">
        <f ca="1">IFERROR(__xludf.DUMMYFUNCTION("""COMPUTED_VALUE"""),"to assign a label to the instances")</f>
        <v>to assign a label to the instances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5.5" x14ac:dyDescent="0.2">
      <c r="A217" s="1"/>
      <c r="B217" s="1"/>
      <c r="C217" s="1"/>
      <c r="D217" s="2" t="str">
        <f ca="1">IFERROR(__xludf.DUMMYFUNCTION("""COMPUTED_VALUE"""),"model/architecture adaptation, adapt the model to data")</f>
        <v>model/architecture adaptation, adapt the model to data</v>
      </c>
      <c r="E217" s="1"/>
      <c r="F217" s="1"/>
      <c r="G217" s="2" t="str">
        <f ca="1">IFERROR(__xludf.DUMMYFUNCTION("""COMPUTED_VALUE"""),"to label data for generative code (i.e., asserts) model(s)")</f>
        <v>to label data for generative code (i.e., asserts) model(s)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38.25" x14ac:dyDescent="0.2">
      <c r="A218" s="1"/>
      <c r="B218" s="1"/>
      <c r="C218" s="1"/>
      <c r="D218" s="2" t="str">
        <f ca="1">IFERROR(__xludf.DUMMYFUNCTION("""COMPUTED_VALUE"""),"model/architecture adaptation, pick the simplest existent model an adapt it")</f>
        <v>model/architecture adaptation, pick the simplest existent model an adapt it</v>
      </c>
      <c r="E218" s="1"/>
      <c r="F218" s="1"/>
      <c r="G218" s="2" t="str">
        <f ca="1">IFERROR(__xludf.DUMMYFUNCTION("""COMPUTED_VALUE"""),"to label data for generative code (i.e., fixes) model(s)")</f>
        <v>to label data for generative code (i.e., fixes) model(s)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5.5" x14ac:dyDescent="0.2">
      <c r="A219" s="1"/>
      <c r="B219" s="1"/>
      <c r="C219" s="1"/>
      <c r="D219" s="2" t="str">
        <f ca="1">IFERROR(__xludf.DUMMYFUNCTION("""COMPUTED_VALUE"""),"monitor the data space in which a model is certifed")</f>
        <v>monitor the data space in which a model is certifed</v>
      </c>
      <c r="E219" s="1"/>
      <c r="F219" s="1"/>
      <c r="G219" s="2" t="str">
        <f ca="1">IFERROR(__xludf.DUMMYFUNCTION("""COMPUTED_VALUE"""),"to assign a final/verified label to the instances")</f>
        <v>to assign a final/verified label to the instances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5.5" x14ac:dyDescent="0.2">
      <c r="A220" s="1"/>
      <c r="B220" s="1"/>
      <c r="C220" s="1"/>
      <c r="D220" s="2" t="str">
        <f ca="1">IFERROR(__xludf.DUMMYFUNCTION("""COMPUTED_VALUE"""),"multiple rounds (iterations) of labeling")</f>
        <v>multiple rounds (iterations) of labeling</v>
      </c>
      <c r="E220" s="1"/>
      <c r="F220" s="1"/>
      <c r="G220" s="2" t="str">
        <f ca="1">IFERROR(__xludf.DUMMYFUNCTION("""COMPUTED_VALUE"""),"to label data, code smells automatically")</f>
        <v>to label data, code smells automatically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5.5" x14ac:dyDescent="0.2">
      <c r="A221" s="1"/>
      <c r="B221" s="1"/>
      <c r="C221" s="1"/>
      <c r="D221" s="2" t="str">
        <f ca="1">IFERROR(__xludf.DUMMYFUNCTION("""COMPUTED_VALUE"""),"multiple rounds (iterations) until labeling agreement is reached")</f>
        <v>multiple rounds (iterations) until labeling agreement is reached</v>
      </c>
      <c r="E221" s="1"/>
      <c r="F221" s="1"/>
      <c r="G221" s="2" t="str">
        <f ca="1">IFERROR(__xludf.DUMMYFUNCTION("""COMPUTED_VALUE"""),"to make publicly available the model")</f>
        <v>to make publicly available the model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5.5" x14ac:dyDescent="0.2">
      <c r="A222" s="1"/>
      <c r="B222" s="1"/>
      <c r="C222" s="1"/>
      <c r="D222" s="2" t="str">
        <f ca="1">IFERROR(__xludf.DUMMYFUNCTION("""COMPUTED_VALUE"""),"multiple rounds of manual filtering rule inference")</f>
        <v>multiple rounds of manual filtering rule inference</v>
      </c>
      <c r="E222" s="1"/>
      <c r="F222" s="1"/>
      <c r="G222" s="2" t="str">
        <f ca="1">IFERROR(__xludf.DUMMYFUNCTION("""COMPUTED_VALUE"""),"to make the model practically usable")</f>
        <v>to make the model practically usable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5.5" x14ac:dyDescent="0.2">
      <c r="A223" s="1"/>
      <c r="B223" s="1"/>
      <c r="C223" s="1"/>
      <c r="D223" s="2" t="str">
        <f ca="1">IFERROR(__xludf.DUMMYFUNCTION("""COMPUTED_VALUE"""),"multiple runs/experiments")</f>
        <v>multiple runs/experiments</v>
      </c>
      <c r="E223" s="1"/>
      <c r="F223" s="1"/>
      <c r="G223" s="2" t="str">
        <f ca="1">IFERROR(__xludf.DUMMYFUNCTION("""COMPUTED_VALUE"""),"to make the model to be trained more robust")</f>
        <v>to make the model to be trained more robust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5.5" x14ac:dyDescent="0.2">
      <c r="A224" s="1"/>
      <c r="B224" s="1"/>
      <c r="C224" s="1"/>
      <c r="D224" s="2" t="str">
        <f ca="1">IFERROR(__xludf.DUMMYFUNCTION("""COMPUTED_VALUE"""),"multiple runs/experiments tuning models")</f>
        <v>multiple runs/experiments tuning models</v>
      </c>
      <c r="E224" s="1"/>
      <c r="F224" s="1"/>
      <c r="G224" s="2" t="str">
        <f ca="1">IFERROR(__xludf.DUMMYFUNCTION("""COMPUTED_VALUE"""),"to monitor model(s)")</f>
        <v>to monitor model(s)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38.25" x14ac:dyDescent="0.2">
      <c r="A225" s="1"/>
      <c r="B225" s="1"/>
      <c r="C225" s="1"/>
      <c r="D225" s="2" t="str">
        <f ca="1">IFERROR(__xludf.DUMMYFUNCTION("""COMPUTED_VALUE"""),"multiple runs/experiments, on different data sets")</f>
        <v>multiple runs/experiments, on different data sets</v>
      </c>
      <c r="E225" s="1"/>
      <c r="F225" s="1"/>
      <c r="G225" s="2" t="str">
        <f ca="1">IFERROR(__xludf.DUMMYFUNCTION("""COMPUTED_VALUE"""),"to monitor model(s), functional and non-functional attributes")</f>
        <v>to monitor model(s), functional and non-functional attributes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5.5" x14ac:dyDescent="0.2">
      <c r="A226" s="1"/>
      <c r="B226" s="1"/>
      <c r="C226" s="1"/>
      <c r="D226" s="2" t="str">
        <f ca="1">IFERROR(__xludf.DUMMYFUNCTION("""COMPUTED_VALUE"""),"multiple runs/experiments, with different random seeds")</f>
        <v>multiple runs/experiments, with different random seeds</v>
      </c>
      <c r="E226" s="1"/>
      <c r="F226" s="1"/>
      <c r="G226" s="2" t="str">
        <f ca="1">IFERROR(__xludf.DUMMYFUNCTION("""COMPUTED_VALUE"""),"to not deploy own models")</f>
        <v>to not deploy own models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5.5" x14ac:dyDescent="0.2">
      <c r="A227" s="1"/>
      <c r="B227" s="1"/>
      <c r="C227" s="1"/>
      <c r="D227" s="2" t="str">
        <f ca="1">IFERROR(__xludf.DUMMYFUNCTION("""COMPUTED_VALUE"""),"no feature engineering")</f>
        <v>no feature engineering</v>
      </c>
      <c r="E227" s="1"/>
      <c r="F227" s="1"/>
      <c r="G227" s="2" t="str">
        <f ca="1">IFERROR(__xludf.DUMMYFUNCTION("""COMPUTED_VALUE"""),"to not do everything from scratch")</f>
        <v>to not do everything from scratch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2" t="str">
        <f ca="1">IFERROR(__xludf.DUMMYFUNCTION("""COMPUTED_VALUE"""),"no hyperparameter tuning")</f>
        <v>no hyperparameter tuning</v>
      </c>
      <c r="E228" s="1"/>
      <c r="F228" s="1"/>
      <c r="G228" s="2" t="str">
        <f ca="1">IFERROR(__xludf.DUMMYFUNCTION("""COMPUTED_VALUE"""),"to obtain data statistics")</f>
        <v>to obtain data statistics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5.5" x14ac:dyDescent="0.2">
      <c r="A229" s="1"/>
      <c r="B229" s="1"/>
      <c r="C229" s="1"/>
      <c r="D229" s="2" t="str">
        <f ca="1">IFERROR(__xludf.DUMMYFUNCTION("""COMPUTED_VALUE"""),"no involve human expertise in evaluation, no case studies")</f>
        <v>no involve human expertise in evaluation, no case studies</v>
      </c>
      <c r="E229" s="1"/>
      <c r="F229" s="1"/>
      <c r="G229" s="2" t="str">
        <f ca="1">IFERROR(__xludf.DUMMYFUNCTION("""COMPUTED_VALUE"""),"to optimize model(s)")</f>
        <v>to optimize model(s)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38.25" x14ac:dyDescent="0.2">
      <c r="A230" s="1"/>
      <c r="B230" s="1"/>
      <c r="C230" s="1"/>
      <c r="D230" s="2" t="str">
        <f ca="1">IFERROR(__xludf.DUMMYFUNCTION("""COMPUTED_VALUE"""),"no optimizing the model taking into account false positive difference between subgroups")</f>
        <v>no optimizing the model taking into account false positive difference between subgroups</v>
      </c>
      <c r="E230" s="1"/>
      <c r="F230" s="1"/>
      <c r="G230" s="2" t="str">
        <f ca="1">IFERROR(__xludf.DUMMYFUNCTION("""COMPUTED_VALUE"""),"to promote quantitative quality assessments")</f>
        <v>to promote quantitative quality assessments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5.5" x14ac:dyDescent="0.2">
      <c r="A231" s="1"/>
      <c r="B231" s="1"/>
      <c r="C231" s="1"/>
      <c r="D231" s="2" t="str">
        <f ca="1">IFERROR(__xludf.DUMMYFUNCTION("""COMPUTED_VALUE"""),"not anonymize")</f>
        <v>not anonymize</v>
      </c>
      <c r="E231" s="1"/>
      <c r="F231" s="1"/>
      <c r="G231" s="2" t="str">
        <f ca="1">IFERROR(__xludf.DUMMYFUNCTION("""COMPUTED_VALUE"""),"to protect the privacy of the users")</f>
        <v>to protect the privacy of the users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38.25" x14ac:dyDescent="0.2">
      <c r="A232" s="1"/>
      <c r="B232" s="1"/>
      <c r="C232" s="1"/>
      <c r="D232" s="2" t="str">
        <f ca="1">IFERROR(__xludf.DUMMYFUNCTION("""COMPUTED_VALUE"""),"not guide the data collection process directly by the evaluation metric")</f>
        <v>not guide the data collection process directly by the evaluation metric</v>
      </c>
      <c r="E232" s="1"/>
      <c r="F232" s="1"/>
      <c r="G232" s="2" t="str">
        <f ca="1">IFERROR(__xludf.DUMMYFUNCTION("""COMPUTED_VALUE"""),"to protect the privacy of the users changing the features")</f>
        <v>to protect the privacy of the users changing the features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38.25" x14ac:dyDescent="0.2">
      <c r="A233" s="1"/>
      <c r="B233" s="1"/>
      <c r="C233" s="1"/>
      <c r="D233" s="2" t="str">
        <f ca="1">IFERROR(__xludf.DUMMYFUNCTION("""COMPUTED_VALUE"""),"not modified missing values")</f>
        <v>not modified missing values</v>
      </c>
      <c r="E233" s="1"/>
      <c r="F233" s="1"/>
      <c r="G233" s="2" t="str">
        <f ca="1">IFERROR(__xludf.DUMMYFUNCTION("""COMPUTED_VALUE"""),"to provide an estimation of the reliability of the conclusions, research")</f>
        <v>to provide an estimation of the reliability of the conclusions, research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51" x14ac:dyDescent="0.2">
      <c r="A234" s="1"/>
      <c r="B234" s="1"/>
      <c r="C234" s="1"/>
      <c r="D234" s="2" t="str">
        <f ca="1">IFERROR(__xludf.DUMMYFUNCTION("""COMPUTED_VALUE"""),"optimize model taking into account false positive difference between subgroups")</f>
        <v>optimize model taking into account false positive difference between subgroups</v>
      </c>
      <c r="E234" s="1"/>
      <c r="F234" s="1"/>
      <c r="G234" s="2" t="str">
        <f ca="1">IFERROR(__xludf.DUMMYFUNCTION("""COMPUTED_VALUE"""),"to provide as much as possible the raw textual data with context, when working with deep learning")</f>
        <v>to provide as much as possible the raw textual data with context, when working with deep learning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51" x14ac:dyDescent="0.2">
      <c r="A235" s="1"/>
      <c r="B235" s="1"/>
      <c r="C235" s="1"/>
      <c r="D235" s="2" t="str">
        <f ca="1">IFERROR(__xludf.DUMMYFUNCTION("""COMPUTED_VALUE"""),"optimize the baseline like the current model (i.e., train and tune baseline/actual model with the correct hyperparameters)")</f>
        <v>optimize the baseline like the current model (i.e., train and tune baseline/actual model with the correct hyperparameters)</v>
      </c>
      <c r="E235" s="1"/>
      <c r="F235" s="1"/>
      <c r="G235" s="2" t="str">
        <f ca="1">IFERROR(__xludf.DUMMYFUNCTION("""COMPUTED_VALUE"""),"to rank the different approaches")</f>
        <v>to rank the different approaches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2" t="str">
        <f ca="1">IFERROR(__xludf.DUMMYFUNCTION("""COMPUTED_VALUE"""),"overfit a code model in GH")</f>
        <v>overfit a code model in GH</v>
      </c>
      <c r="E236" s="1"/>
      <c r="F236" s="1"/>
      <c r="G236" s="2" t="str">
        <f ca="1">IFERROR(__xludf.DUMMYFUNCTION("""COMPUTED_VALUE"""),"to reduce dimensionality")</f>
        <v>to reduce dimensionality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5.5" x14ac:dyDescent="0.2">
      <c r="A237" s="1"/>
      <c r="B237" s="1"/>
      <c r="C237" s="1"/>
      <c r="D237" s="2" t="str">
        <f ca="1">IFERROR(__xludf.DUMMYFUNCTION("""COMPUTED_VALUE"""),"perform exploratory data analysis")</f>
        <v>perform exploratory data analysis</v>
      </c>
      <c r="E237" s="1"/>
      <c r="F237" s="1"/>
      <c r="G237" s="2" t="str">
        <f ca="1">IFERROR(__xludf.DUMMYFUNCTION("""COMPUTED_VALUE"""),"to reduce the effort of labeling")</f>
        <v>to reduce the effort of labeling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5.5" x14ac:dyDescent="0.2">
      <c r="A238" s="1"/>
      <c r="B238" s="1"/>
      <c r="C238" s="1"/>
      <c r="D238" s="2" t="str">
        <f ca="1">IFERROR(__xludf.DUMMYFUNCTION("""COMPUTED_VALUE"""),"perform exploratory data analysis, over different datasets")</f>
        <v>perform exploratory data analysis, over different datasets</v>
      </c>
      <c r="E238" s="1"/>
      <c r="F238" s="1"/>
      <c r="G238" s="2" t="str">
        <f ca="1">IFERROR(__xludf.DUMMYFUNCTION("""COMPUTED_VALUE"""),"to relate the executed code with the app GUI")</f>
        <v>to relate the executed code with the app GUI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38.25" x14ac:dyDescent="0.2">
      <c r="A239" s="1"/>
      <c r="B239" s="1"/>
      <c r="C239" s="1"/>
      <c r="D239" s="2" t="str">
        <f ca="1">IFERROR(__xludf.DUMMYFUNCTION("""COMPUTED_VALUE"""),"perform exploratory data analysis, targeted to NLP")</f>
        <v>perform exploratory data analysis, targeted to NLP</v>
      </c>
      <c r="E239" s="1"/>
      <c r="F239" s="1"/>
      <c r="G239" s="2" t="str">
        <f ca="1">IFERROR(__xludf.DUMMYFUNCTION("""COMPUTED_VALUE"""),"to remove data that does not fit with the domain requirements")</f>
        <v>to remove data that does not fit with the domain requirements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5.5" x14ac:dyDescent="0.2">
      <c r="A240" s="1"/>
      <c r="B240" s="1"/>
      <c r="C240" s="1"/>
      <c r="D240" s="2" t="str">
        <f ca="1">IFERROR(__xludf.DUMMYFUNCTION("""COMPUTED_VALUE"""),"perform exploratory data analysis, with visualizations")</f>
        <v>perform exploratory data analysis, with visualizations</v>
      </c>
      <c r="E240" s="1"/>
      <c r="F240" s="1"/>
      <c r="G240" s="2" t="str">
        <f ca="1">IFERROR(__xludf.DUMMYFUNCTION("""COMPUTED_VALUE"""),"to remove duplicates in data, code data")</f>
        <v>to remove duplicates in data, code data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5.5" x14ac:dyDescent="0.2">
      <c r="A241" s="1"/>
      <c r="B241" s="1"/>
      <c r="C241" s="1"/>
      <c r="D241" s="2" t="str">
        <f ca="1">IFERROR(__xludf.DUMMYFUNCTION("""COMPUTED_VALUE"""),"pre-train your own LLM on massive data")</f>
        <v>pre-train your own LLM on massive data</v>
      </c>
      <c r="E241" s="1"/>
      <c r="F241" s="1"/>
      <c r="G241" s="2" t="str">
        <f ca="1">IFERROR(__xludf.DUMMYFUNCTION("""COMPUTED_VALUE"""),"to remove duplicates in data, code test set")</f>
        <v>to remove duplicates in data, code test set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2" t="str">
        <f ca="1">IFERROR(__xludf.DUMMYFUNCTION("""COMPUTED_VALUE"""),"provide a justification")</f>
        <v>provide a justification</v>
      </c>
      <c r="E242" s="1"/>
      <c r="F242" s="1"/>
      <c r="G242" s="2" t="str">
        <f ca="1">IFERROR(__xludf.DUMMYFUNCTION("""COMPUTED_VALUE"""),"to remove the noise in data")</f>
        <v>to remove the noise in data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5.5" x14ac:dyDescent="0.2">
      <c r="A243" s="1"/>
      <c r="B243" s="1"/>
      <c r="C243" s="1"/>
      <c r="D243" s="2" t="str">
        <f ca="1">IFERROR(__xludf.DUMMYFUNCTION("""COMPUTED_VALUE"""),"publish the model in hugging face")</f>
        <v>publish the model in hugging face</v>
      </c>
      <c r="E243" s="1"/>
      <c r="F243" s="1"/>
      <c r="G243" s="2" t="str">
        <f ca="1">IFERROR(__xludf.DUMMYFUNCTION("""COMPUTED_VALUE"""),"to remove the noise in data, STO queries")</f>
        <v>to remove the noise in data, STO queries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38.25" x14ac:dyDescent="0.2">
      <c r="A244" s="1"/>
      <c r="B244" s="1"/>
      <c r="C244" s="1"/>
      <c r="D244" s="2" t="str">
        <f ca="1">IFERROR(__xludf.DUMMYFUNCTION("""COMPUTED_VALUE"""),"publish the model into a repository")</f>
        <v>publish the model into a repository</v>
      </c>
      <c r="E244" s="1"/>
      <c r="F244" s="1"/>
      <c r="G244" s="2" t="str">
        <f ca="1">IFERROR(__xludf.DUMMYFUNCTION("""COMPUTED_VALUE"""),"to report a more complete evaluation perspective of the model, research")</f>
        <v>to report a more complete evaluation perspective of the model, research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5.5" x14ac:dyDescent="0.2">
      <c r="A245" s="1"/>
      <c r="B245" s="1"/>
      <c r="C245" s="1"/>
      <c r="D245" s="2" t="str">
        <f ca="1">IFERROR(__xludf.DUMMYFUNCTION("""COMPUTED_VALUE"""),"use recurrent neural networks")</f>
        <v>use recurrent neural networks</v>
      </c>
      <c r="E245" s="1"/>
      <c r="F245" s="1"/>
      <c r="G245" s="2" t="str">
        <f ca="1">IFERROR(__xludf.DUMMYFUNCTION("""COMPUTED_VALUE"""),"to resemble a real-world time-sensitive scenarios")</f>
        <v>to resemble a real-world time-sensitive scenarios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2" t="str">
        <f ca="1">IFERROR(__xludf.DUMMYFUNCTION("""COMPUTED_VALUE"""),"remove commented code")</f>
        <v>remove commented code</v>
      </c>
      <c r="E246" s="1"/>
      <c r="F246" s="1"/>
      <c r="G246" s="2" t="str">
        <f ca="1">IFERROR(__xludf.DUMMYFUNCTION("""COMPUTED_VALUE"""),"to select a dataset")</f>
        <v>to select a dataset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2" t="str">
        <f ca="1">IFERROR(__xludf.DUMMYFUNCTION("""COMPUTED_VALUE"""),"remove comments")</f>
        <v>remove comments</v>
      </c>
      <c r="E247" s="1"/>
      <c r="F247" s="1"/>
      <c r="G247" s="2" t="str">
        <f ca="1">IFERROR(__xludf.DUMMYFUNCTION("""COMPUTED_VALUE"""),"to select a model")</f>
        <v>to select a model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38.25" x14ac:dyDescent="0.2">
      <c r="A248" s="1"/>
      <c r="B248" s="1"/>
      <c r="C248" s="1"/>
      <c r="D248" s="2" t="str">
        <f ca="1">IFERROR(__xludf.DUMMYFUNCTION("""COMPUTED_VALUE"""),"remove comments that are not useful (i.e. suggest a change, do not describe code)")</f>
        <v>remove comments that are not useful (i.e. suggest a change, do not describe code)</v>
      </c>
      <c r="E248" s="1"/>
      <c r="F248" s="1"/>
      <c r="G248" s="2" t="str">
        <f ca="1">IFERROR(__xludf.DUMMYFUNCTION("""COMPUTED_VALUE"""),"to select a model under constraints")</f>
        <v>to select a model under constraints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63.75" x14ac:dyDescent="0.2">
      <c r="A249" s="1"/>
      <c r="B249" s="1"/>
      <c r="C249" s="1"/>
      <c r="D249" s="2" t="str">
        <f ca="1">IFERROR(__xludf.DUMMYFUNCTION("""COMPUTED_VALUE"""),"remove complex feature")</f>
        <v>remove complex feature</v>
      </c>
      <c r="E249" s="1"/>
      <c r="F249" s="1"/>
      <c r="G249" s="2" t="str">
        <f ca="1">IFERROR(__xludf.DUMMYFUNCTION("""COMPUTED_VALUE"""),"to select a model under constraints (i.e., when time constraints exists and the model needs to be usable in that time frame)")</f>
        <v>to select a model under constraints (i.e., when time constraints exists and the model needs to be usable in that time frame)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5.5" x14ac:dyDescent="0.2">
      <c r="A250" s="1"/>
      <c r="B250" s="1"/>
      <c r="C250" s="1"/>
      <c r="D250" s="2" t="str">
        <f ca="1">IFERROR(__xludf.DUMMYFUNCTION("""COMPUTED_VALUE"""),"remove sensible features")</f>
        <v>remove sensible features</v>
      </c>
      <c r="E250" s="1"/>
      <c r="F250" s="1"/>
      <c r="G250" s="2" t="str">
        <f ca="1">IFERROR(__xludf.DUMMYFUNCTION("""COMPUTED_VALUE"""),"to select a model, before creating one from scratch")</f>
        <v>to select a model, before creating one from scratch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2" t="str">
        <f ca="1">IFERROR(__xludf.DUMMYFUNCTION("""COMPUTED_VALUE"""),"remove short comments")</f>
        <v>remove short comments</v>
      </c>
      <c r="E251" s="1"/>
      <c r="F251" s="1"/>
      <c r="G251" s="2" t="str">
        <f ca="1">IFERROR(__xludf.DUMMYFUNCTION("""COMPUTED_VALUE"""),"to select a model, research")</f>
        <v>to select a model, research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5.5" x14ac:dyDescent="0.2">
      <c r="A252" s="1"/>
      <c r="B252" s="1"/>
      <c r="C252" s="1"/>
      <c r="D252" s="2" t="str">
        <f ca="1">IFERROR(__xludf.DUMMYFUNCTION("""COMPUTED_VALUE"""),"remove stop words")</f>
        <v>remove stop words</v>
      </c>
      <c r="E252" s="1"/>
      <c r="F252" s="1"/>
      <c r="G252" s="2" t="str">
        <f ca="1">IFERROR(__xludf.DUMMYFUNCTION("""COMPUTED_VALUE"""),"to select a model, when leverage exists")</f>
        <v>to select a model, when leverage exists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38.25" x14ac:dyDescent="0.2">
      <c r="A253" s="1"/>
      <c r="B253" s="1"/>
      <c r="C253" s="1"/>
      <c r="D253" s="2" t="str">
        <f ca="1">IFERROR(__xludf.DUMMYFUNCTION("""COMPUTED_VALUE"""),"replace special terms with canonical tokens (e.g., function names)")</f>
        <v>replace special terms with canonical tokens (e.g., function names)</v>
      </c>
      <c r="E253" s="1"/>
      <c r="F253" s="1"/>
      <c r="G253" s="2" t="str">
        <f ca="1">IFERROR(__xludf.DUMMYFUNCTION("""COMPUTED_VALUE"""),"to select a model, when the understanding of its potential is the goal, research")</f>
        <v>to select a model, when the understanding of its potential is the goal, research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38.25" x14ac:dyDescent="0.2">
      <c r="A254" s="1"/>
      <c r="B254" s="1"/>
      <c r="C254" s="1"/>
      <c r="D254" s="2" t="str">
        <f ca="1">IFERROR(__xludf.DUMMYFUNCTION("""COMPUTED_VALUE"""),"replace special terms with tokens (e.g., links, IPs, process names)")</f>
        <v>replace special terms with tokens (e.g., links, IPs, process names)</v>
      </c>
      <c r="E254" s="1"/>
      <c r="F254" s="1"/>
      <c r="G254" s="2" t="str">
        <f ca="1">IFERROR(__xludf.DUMMYFUNCTION("""COMPUTED_VALUE"""),"to select an approach to solve the problem (not only model)")</f>
        <v>to select an approach to solve the problem (not only model)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5.5" x14ac:dyDescent="0.2">
      <c r="A255" s="1"/>
      <c r="B255" s="1"/>
      <c r="C255" s="1"/>
      <c r="D255" s="2" t="str">
        <f ca="1">IFERROR(__xludf.DUMMYFUNCTION("""COMPUTED_VALUE"""),"report ablation study")</f>
        <v>report ablation study</v>
      </c>
      <c r="E255" s="1"/>
      <c r="F255" s="1"/>
      <c r="G255" s="2" t="str">
        <f ca="1">IFERROR(__xludf.DUMMYFUNCTION("""COMPUTED_VALUE"""),"to select quality attributes for a system")</f>
        <v>to select quality attributes for a system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51" x14ac:dyDescent="0.2">
      <c r="A256" s="1"/>
      <c r="B256" s="1"/>
      <c r="C256" s="1"/>
      <c r="D256" s="2" t="str">
        <f ca="1">IFERROR(__xludf.DUMMYFUNCTION("""COMPUTED_VALUE"""),"report executed cleaning procedures and why")</f>
        <v>report executed cleaning procedures and why</v>
      </c>
      <c r="E256" s="1"/>
      <c r="F256" s="1"/>
      <c r="G256" s="2" t="str">
        <f ca="1">IFERROR(__xludf.DUMMYFUNCTION("""COMPUTED_VALUE"""),"to select quality attributes for a system, when data itself has defined qualitty attributes associated")</f>
        <v>to select quality attributes for a system, when data itself has defined qualitty attributes associated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5.5" x14ac:dyDescent="0.2">
      <c r="A257" s="1"/>
      <c r="B257" s="1"/>
      <c r="C257" s="1"/>
      <c r="D257" s="2" t="str">
        <f ca="1">IFERROR(__xludf.DUMMYFUNCTION("""COMPUTED_VALUE"""),"report executed procedures and why")</f>
        <v>report executed procedures and why</v>
      </c>
      <c r="E257" s="1"/>
      <c r="F257" s="1"/>
      <c r="G257" s="2" t="str">
        <f ca="1">IFERROR(__xludf.DUMMYFUNCTION("""COMPUTED_VALUE"""),"to select the goal of the machine learning model")</f>
        <v>to select the goal of the machine learning model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5.5" x14ac:dyDescent="0.2">
      <c r="A258" s="1"/>
      <c r="B258" s="1"/>
      <c r="C258" s="1"/>
      <c r="D258" s="2" t="str">
        <f ca="1">IFERROR(__xludf.DUMMYFUNCTION("""COMPUTED_VALUE"""),"report four parts of BLEU and brevity penalty")</f>
        <v>report four parts of BLEU and brevity penalty</v>
      </c>
      <c r="E258" s="1"/>
      <c r="F258" s="1"/>
      <c r="G258" s="2" t="str">
        <f ca="1">IFERROR(__xludf.DUMMYFUNCTION("""COMPUTED_VALUE"""),"to select the most appropiate approach")</f>
        <v>to select the most appropiate approach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5.5" x14ac:dyDescent="0.2">
      <c r="A259" s="1"/>
      <c r="B259" s="1"/>
      <c r="C259" s="1"/>
      <c r="D259" s="2" t="str">
        <f ca="1">IFERROR(__xludf.DUMMYFUNCTION("""COMPUTED_VALUE"""),"report how the metrics are calculated")</f>
        <v>report how the metrics are calculated</v>
      </c>
      <c r="E259" s="1"/>
      <c r="F259" s="1"/>
      <c r="G259" s="2" t="str">
        <f ca="1">IFERROR(__xludf.DUMMYFUNCTION("""COMPUTED_VALUE"""),"to ship the product in a faster amount of time, industry")</f>
        <v>to ship the product in a faster amount of time, industry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5.5" x14ac:dyDescent="0.2">
      <c r="A260" s="1"/>
      <c r="B260" s="1"/>
      <c r="C260" s="1"/>
      <c r="D260" s="2" t="str">
        <f ca="1">IFERROR(__xludf.DUMMYFUNCTION("""COMPUTED_VALUE"""),"report biases in discussion")</f>
        <v>report biases in discussion</v>
      </c>
      <c r="E260" s="1"/>
      <c r="F260" s="1"/>
      <c r="G260" s="2" t="str">
        <f ca="1">IFERROR(__xludf.DUMMYFUNCTION("""COMPUTED_VALUE"""),"to smooth the model(s) sensitivities")</f>
        <v>to smooth the model(s) sensitivities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38.25" x14ac:dyDescent="0.2">
      <c r="A261" s="1"/>
      <c r="B261" s="1"/>
      <c r="C261" s="1"/>
      <c r="D261" s="2" t="str">
        <f ca="1">IFERROR(__xludf.DUMMYFUNCTION("""COMPUTED_VALUE"""),"report labeling proces")</f>
        <v>report labeling proces</v>
      </c>
      <c r="E261" s="1"/>
      <c r="F261" s="1"/>
      <c r="G261" s="2" t="str">
        <f ca="1">IFERROR(__xludf.DUMMYFUNCTION("""COMPUTED_VALUE"""),"to solve complex problems, when they cannot be solved by statical analysis, etc")</f>
        <v>to solve complex problems, when they cannot be solved by statical analysis, etc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38.25" x14ac:dyDescent="0.2">
      <c r="A262" s="1"/>
      <c r="B262" s="1"/>
      <c r="C262" s="1"/>
      <c r="D262" s="2" t="str">
        <f ca="1">IFERROR(__xludf.DUMMYFUNCTION("""COMPUTED_VALUE"""),"report metrics for the model (e.g., F1, accuracy)")</f>
        <v>report metrics for the model (e.g., F1, accuracy)</v>
      </c>
      <c r="E262" s="1"/>
      <c r="F262" s="1"/>
      <c r="G262" s="2" t="str">
        <f ca="1">IFERROR(__xludf.DUMMYFUNCTION("""COMPUTED_VALUE"""),"to solve complex problems, when they cannot be solved by statical analysis, etc")</f>
        <v>to solve complex problems, when they cannot be solved by statical analysis, etc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5.5" x14ac:dyDescent="0.2">
      <c r="A263" s="1"/>
      <c r="B263" s="1"/>
      <c r="C263" s="1"/>
      <c r="D263" s="2" t="str">
        <f ca="1">IFERROR(__xludf.DUMMYFUNCTION("""COMPUTED_VALUE"""),"report training process and main hyperparameters")</f>
        <v>report training process and main hyperparameters</v>
      </c>
      <c r="E263" s="1"/>
      <c r="F263" s="1"/>
      <c r="G263" s="2" t="str">
        <f ca="1">IFERROR(__xludf.DUMMYFUNCTION("""COMPUTED_VALUE"""),"to reduce the effort of labeling")</f>
        <v>to reduce the effort of labeling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38.25" x14ac:dyDescent="0.2">
      <c r="A264" s="1"/>
      <c r="B264" s="1"/>
      <c r="C264" s="1"/>
      <c r="D264" s="2" t="str">
        <f ca="1">IFERROR(__xludf.DUMMYFUNCTION("""COMPUTED_VALUE"""),"report training process, parameters, dataset, cleaning process")</f>
        <v>report training process, parameters, dataset, cleaning process</v>
      </c>
      <c r="E264" s="1"/>
      <c r="F264" s="1"/>
      <c r="G264" s="2" t="str">
        <f ca="1">IFERROR(__xludf.DUMMYFUNCTION("""COMPUTED_VALUE"""),"to split the data into different sets")</f>
        <v>to split the data into different sets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5.5" x14ac:dyDescent="0.2">
      <c r="A265" s="1"/>
      <c r="B265" s="1"/>
      <c r="C265" s="1"/>
      <c r="D265" s="2" t="str">
        <f ca="1">IFERROR(__xludf.DUMMYFUNCTION("""COMPUTED_VALUE"""),"report training process, source code, input and outputs")</f>
        <v>report training process, source code, input and outputs</v>
      </c>
      <c r="E265" s="1"/>
      <c r="F265" s="1"/>
      <c r="G265" s="2" t="str">
        <f ca="1">IFERROR(__xludf.DUMMYFUNCTION("""COMPUTED_VALUE"""),"to stablish the importance of the problem, research")</f>
        <v>to stablish the importance of the problem, research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38.25" x14ac:dyDescent="0.2">
      <c r="A266" s="1"/>
      <c r="B266" s="1"/>
      <c r="C266" s="1"/>
      <c r="D266" s="2" t="str">
        <f ca="1">IFERROR(__xludf.DUMMYFUNCTION("""COMPUTED_VALUE"""),"retraining the model")</f>
        <v>retraining the model</v>
      </c>
      <c r="E266" s="1"/>
      <c r="F266" s="1"/>
      <c r="G266" s="2" t="str">
        <f ca="1">IFERROR(__xludf.DUMMYFUNCTION("""COMPUTED_VALUE"""),"to stablish the importance of the problem, when no/a few papers are available, research")</f>
        <v>to stablish the importance of the problem, when no/a few papers are available, research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5.5" x14ac:dyDescent="0.2">
      <c r="A267" s="1"/>
      <c r="B267" s="1"/>
      <c r="C267" s="1"/>
      <c r="D267" s="2" t="str">
        <f ca="1">IFERROR(__xludf.DUMMYFUNCTION("""COMPUTED_VALUE"""),"review design machine learning pipeline")</f>
        <v>review design machine learning pipeline</v>
      </c>
      <c r="E267" s="1"/>
      <c r="F267" s="1"/>
      <c r="G267" s="2" t="str">
        <f ca="1">IFERROR(__xludf.DUMMYFUNCTION("""COMPUTED_VALUE"""),"to state/describe the problem to be solved")</f>
        <v>to state/describe the problem to be solved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5.5" x14ac:dyDescent="0.2">
      <c r="A268" s="1"/>
      <c r="B268" s="1"/>
      <c r="C268" s="1"/>
      <c r="D268" s="2" t="str">
        <f ca="1">IFERROR(__xludf.DUMMYFUNCTION("""COMPUTED_VALUE"""),"run end-to-end model experiments")</f>
        <v>run end-to-end model experiments</v>
      </c>
      <c r="E268" s="1"/>
      <c r="F268" s="1"/>
      <c r="G268" s="2" t="str">
        <f ca="1">IFERROR(__xludf.DUMMYFUNCTION("""COMPUTED_VALUE"""),"to tokenize code snippets")</f>
        <v>to tokenize code snippets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5.5" x14ac:dyDescent="0.2">
      <c r="A269" s="1"/>
      <c r="B269" s="1"/>
      <c r="C269" s="1"/>
      <c r="D269" s="2" t="str">
        <f ca="1">IFERROR(__xludf.DUMMYFUNCTION("""COMPUTED_VALUE"""),"sample data in a systematic way and not at random")</f>
        <v>sample data in a systematic way and not at random</v>
      </c>
      <c r="E269" s="1"/>
      <c r="F269" s="1"/>
      <c r="G269" s="2" t="str">
        <f ca="1">IFERROR(__xludf.DUMMYFUNCTION("""COMPUTED_VALUE"""),"to tokenize source code for LLMs")</f>
        <v>to tokenize source code for LLMs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5.5" x14ac:dyDescent="0.2">
      <c r="A270" s="1"/>
      <c r="B270" s="1"/>
      <c r="C270" s="1"/>
      <c r="D270" s="2" t="str">
        <f ca="1">IFERROR(__xludf.DUMMYFUNCTION("""COMPUTED_VALUE"""),"search for availability of data sources")</f>
        <v>search for availability of data sources</v>
      </c>
      <c r="E270" s="1"/>
      <c r="F270" s="1"/>
      <c r="G270" s="2" t="str">
        <f ca="1">IFERROR(__xludf.DUMMYFUNCTION("""COMPUTED_VALUE"""),"to tokenize source code for no LLMs")</f>
        <v>to tokenize source code for no LLMs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38.25" x14ac:dyDescent="0.2">
      <c r="A271" s="1"/>
      <c r="B271" s="1"/>
      <c r="C271" s="1"/>
      <c r="D271" s="2" t="str">
        <f ca="1">IFERROR(__xludf.DUMMYFUNCTION("""COMPUTED_VALUE"""),"search for existing baselines")</f>
        <v>search for existing baselines</v>
      </c>
      <c r="E271" s="1"/>
      <c r="F271" s="1"/>
      <c r="G271" s="2" t="str">
        <f ca="1">IFERROR(__xludf.DUMMYFUNCTION("""COMPUTED_VALUE"""),"to train a model for automating code review activities")</f>
        <v>to train a model for automating code review activities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5.5" x14ac:dyDescent="0.2">
      <c r="A272" s="1"/>
      <c r="B272" s="1"/>
      <c r="C272" s="1"/>
      <c r="D272" s="2" t="str">
        <f ca="1">IFERROR(__xludf.DUMMYFUNCTION("""COMPUTED_VALUE"""),"search for existing work (e.g., papers, projects)")</f>
        <v>search for existing work (e.g., papers, projects)</v>
      </c>
      <c r="E272" s="1"/>
      <c r="F272" s="1"/>
      <c r="G272" s="2" t="str">
        <f ca="1">IFERROR(__xludf.DUMMYFUNCTION("""COMPUTED_VALUE"""),"to train a model for classifying readible code")</f>
        <v>to train a model for classifying readible code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5.5" x14ac:dyDescent="0.2">
      <c r="A273" s="1"/>
      <c r="B273" s="1"/>
      <c r="C273" s="1"/>
      <c r="D273" s="2" t="str">
        <f ca="1">IFERROR(__xludf.DUMMYFUNCTION("""COMPUTED_VALUE"""),"select a broad goal to cover more topics")</f>
        <v>select a broad goal to cover more topics</v>
      </c>
      <c r="E273" s="1"/>
      <c r="F273" s="1"/>
      <c r="G273" s="2" t="str">
        <f ca="1">IFERROR(__xludf.DUMMYFUNCTION("""COMPUTED_VALUE"""),"to train a model for code retrieval")</f>
        <v>to train a model for code retrieval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5.5" x14ac:dyDescent="0.2">
      <c r="A274" s="1"/>
      <c r="B274" s="1"/>
      <c r="C274" s="1"/>
      <c r="D274" s="2" t="str">
        <f ca="1">IFERROR(__xludf.DUMMYFUNCTION("""COMPUTED_VALUE"""),"select a probelm to solve based on an existing need/pain")</f>
        <v>select a probelm to solve based on an existing need/pain</v>
      </c>
      <c r="E274" s="1"/>
      <c r="F274" s="1"/>
      <c r="G274" s="2" t="str">
        <f ca="1">IFERROR(__xludf.DUMMYFUNCTION("""COMPUTED_VALUE"""),"to train a model for code smells identification")</f>
        <v>to train a model for code smells identification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38.25" x14ac:dyDescent="0.2">
      <c r="A275" s="1"/>
      <c r="B275" s="1"/>
      <c r="C275" s="1"/>
      <c r="D275" s="2" t="str">
        <f ca="1">IFERROR(__xludf.DUMMYFUNCTION("""COMPUTED_VALUE"""),"select best model in independent dataset(s) from training and testing")</f>
        <v>select best model in independent dataset(s) from training and testing</v>
      </c>
      <c r="E275" s="1"/>
      <c r="F275" s="1"/>
      <c r="G275" s="2" t="str">
        <f ca="1">IFERROR(__xludf.DUMMYFUNCTION("""COMPUTED_VALUE"""),"to train a model for code understanding")</f>
        <v>to train a model for code understanding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38.25" x14ac:dyDescent="0.2">
      <c r="A276" s="1"/>
      <c r="B276" s="1"/>
      <c r="C276" s="1"/>
      <c r="D276" s="2" t="str">
        <f ca="1">IFERROR(__xludf.DUMMYFUNCTION("""COMPUTED_VALUE"""),"select data cleaning procedure depending on the aplication (aplicability QA)")</f>
        <v>select data cleaning procedure depending on the aplication (aplicability QA)</v>
      </c>
      <c r="E276" s="1"/>
      <c r="F276" s="1"/>
      <c r="G276" s="2" t="str">
        <f ca="1">IFERROR(__xludf.DUMMYFUNCTION("""COMPUTED_VALUE"""),"to train a model for code undertanding and code generation")</f>
        <v>to train a model for code undertanding and code generation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38.25" x14ac:dyDescent="0.2">
      <c r="A277" s="1"/>
      <c r="B277" s="1"/>
      <c r="C277" s="1"/>
      <c r="D277" s="2" t="str">
        <f ca="1">IFERROR(__xludf.DUMMYFUNCTION("""COMPUTED_VALUE"""),"select data cleaning procedure depending on the type of input that model needs")</f>
        <v>select data cleaning procedure depending on the type of input that model needs</v>
      </c>
      <c r="E277" s="1"/>
      <c r="F277" s="1"/>
      <c r="G277" s="2" t="str">
        <f ca="1">IFERROR(__xludf.DUMMYFUNCTION("""COMPUTED_VALUE"""),"to train a model for detecting vulnerabilities")</f>
        <v>to train a model for detecting vulnerabilities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38.25" x14ac:dyDescent="0.2">
      <c r="A278" s="1"/>
      <c r="B278" s="1"/>
      <c r="C278" s="1"/>
      <c r="D278" s="2" t="str">
        <f ca="1">IFERROR(__xludf.DUMMYFUNCTION("""COMPUTED_VALUE"""),"select data cleaning procedure depending on the type of problem")</f>
        <v>select data cleaning procedure depending on the type of problem</v>
      </c>
      <c r="E278" s="1"/>
      <c r="F278" s="1"/>
      <c r="G278" s="2" t="str">
        <f ca="1">IFERROR(__xludf.DUMMYFUNCTION("""COMPUTED_VALUE"""),"to train a model for generation tasks")</f>
        <v>to train a model for generation tasks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38.25" x14ac:dyDescent="0.2">
      <c r="A279" s="1"/>
      <c r="B279" s="1"/>
      <c r="C279" s="1"/>
      <c r="D279" s="2" t="str">
        <f ca="1">IFERROR(__xludf.DUMMYFUNCTION("""COMPUTED_VALUE"""),"select data cleaning procedure depending on the type of task")</f>
        <v>select data cleaning procedure depending on the type of task</v>
      </c>
      <c r="E279" s="1"/>
      <c r="F279" s="1"/>
      <c r="G279" s="2" t="str">
        <f ca="1">IFERROR(__xludf.DUMMYFUNCTION("""COMPUTED_VALUE"""),"to train a model for generation tasks (i.e., app documentation)")</f>
        <v>to train a model for generation tasks (i.e., app documentation)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38.25" x14ac:dyDescent="0.2">
      <c r="A280" s="1"/>
      <c r="B280" s="1"/>
      <c r="C280" s="1"/>
      <c r="D280" s="2" t="str">
        <f ca="1">IFERROR(__xludf.DUMMYFUNCTION("""COMPUTED_VALUE"""),"select data collection process (e.g., own data vs existent data)  based on the type of problem")</f>
        <v>select data collection process (e.g., own data vs existent data)  based on the type of problem</v>
      </c>
      <c r="E280" s="1"/>
      <c r="F280" s="1"/>
      <c r="G280" s="2" t="str">
        <f ca="1">IFERROR(__xludf.DUMMYFUNCTION("""COMPUTED_VALUE"""),"to train a model for generation tasks (i.e., code comments)")</f>
        <v>to train a model for generation tasks (i.e., code comments)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38.25" x14ac:dyDescent="0.2">
      <c r="A281" s="1"/>
      <c r="B281" s="1"/>
      <c r="C281" s="1"/>
      <c r="D281" s="2" t="str">
        <f ca="1">IFERROR(__xludf.DUMMYFUNCTION("""COMPUTED_VALUE"""),"select data labeling based on the type of problem")</f>
        <v>select data labeling based on the type of problem</v>
      </c>
      <c r="E281" s="1"/>
      <c r="F281" s="1"/>
      <c r="G281" s="2" t="str">
        <f ca="1">IFERROR(__xludf.DUMMYFUNCTION("""COMPUTED_VALUE"""),"to train a model for generation tasks (i.e., code), before transformers")</f>
        <v>to train a model for generation tasks (i.e., code), before transformers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38.25" x14ac:dyDescent="0.2">
      <c r="A282" s="1"/>
      <c r="B282" s="1"/>
      <c r="C282" s="1"/>
      <c r="D282" s="2" t="str">
        <f ca="1">IFERROR(__xludf.DUMMYFUNCTION("""COMPUTED_VALUE"""),"select dataset based on the type of problem/goal")</f>
        <v>select dataset based on the type of problem/goal</v>
      </c>
      <c r="E282" s="1"/>
      <c r="F282" s="1"/>
      <c r="G282" s="2" t="str">
        <f ca="1">IFERROR(__xludf.DUMMYFUNCTION("""COMPUTED_VALUE"""),"to train a model for generation tasks (i.e., generating code - assertions statements)")</f>
        <v>to train a model for generation tasks (i.e., generating code - assertions statements)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38.25" x14ac:dyDescent="0.2">
      <c r="A283" s="1"/>
      <c r="B283" s="1"/>
      <c r="C283" s="1"/>
      <c r="D283" s="2" t="str">
        <f ca="1">IFERROR(__xludf.DUMMYFUNCTION("""COMPUTED_VALUE"""),"select dataset based on the type of problem/goal and quality")</f>
        <v>select dataset based on the type of problem/goal and quality</v>
      </c>
      <c r="E283" s="1"/>
      <c r="F283" s="1"/>
      <c r="G283" s="2" t="str">
        <f ca="1">IFERROR(__xludf.DUMMYFUNCTION("""COMPUTED_VALUE"""),"to train a model for generation tasks (i.e., generating syntactically correct code)")</f>
        <v>to train a model for generation tasks (i.e., generating syntactically correct code)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38.25" x14ac:dyDescent="0.2">
      <c r="A284" s="1"/>
      <c r="B284" s="1"/>
      <c r="C284" s="1"/>
      <c r="D284" s="2" t="str">
        <f ca="1">IFERROR(__xludf.DUMMYFUNCTION("""COMPUTED_VALUE"""),"select datasets based on availability, quality, popularity, if it is up-to-date")</f>
        <v>select datasets based on availability, quality, popularity, if it is up-to-date</v>
      </c>
      <c r="E284" s="1"/>
      <c r="F284" s="1"/>
      <c r="G284" s="2" t="str">
        <f ca="1">IFERROR(__xludf.DUMMYFUNCTION("""COMPUTED_VALUE"""),"to train a model for generation tasks (i.e., summarizing code)")</f>
        <v>to train a model for generation tasks (i.e., summarizing code)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38.25" x14ac:dyDescent="0.2">
      <c r="A285" s="1"/>
      <c r="B285" s="1"/>
      <c r="C285" s="1"/>
      <c r="D285" s="2" t="str">
        <f ca="1">IFERROR(__xludf.DUMMYFUNCTION("""COMPUTED_VALUE"""),"select datasets based on popularity and if it is up-to-dated ")</f>
        <v xml:space="preserve">select datasets based on popularity and if it is up-to-dated </v>
      </c>
      <c r="E285" s="1"/>
      <c r="F285" s="1"/>
      <c r="G285" s="2" t="str">
        <f ca="1">IFERROR(__xludf.DUMMYFUNCTION("""COMPUTED_VALUE"""),"to train a model for generation tasks (i.e., synthesizing textual data)")</f>
        <v>to train a model for generation tasks (i.e., synthesizing textual data)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38.25" x14ac:dyDescent="0.2">
      <c r="A286" s="1"/>
      <c r="B286" s="1"/>
      <c r="C286" s="1"/>
      <c r="D286" s="2" t="str">
        <f ca="1">IFERROR(__xludf.DUMMYFUNCTION("""COMPUTED_VALUE"""),"select evaluation approach based on the type problem")</f>
        <v>select evaluation approach based on the type problem</v>
      </c>
      <c r="E286" s="1"/>
      <c r="F286" s="1"/>
      <c r="G286" s="2" t="str">
        <f ca="1">IFERROR(__xludf.DUMMYFUNCTION("""COMPUTED_VALUE"""),"to train a model for learning the association between the GUI and code")</f>
        <v>to train a model for learning the association between the GUI and code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5.5" x14ac:dyDescent="0.2">
      <c r="A287" s="1"/>
      <c r="B287" s="1"/>
      <c r="C287" s="1"/>
      <c r="D287" s="2" t="str">
        <f ca="1">IFERROR(__xludf.DUMMYFUNCTION("""COMPUTED_VALUE"""),"select final hyperparameters based on state-of-the-art")</f>
        <v>select final hyperparameters based on state-of-the-art</v>
      </c>
      <c r="E287" s="1"/>
      <c r="F287" s="1"/>
      <c r="G287" s="2" t="str">
        <f ca="1">IFERROR(__xludf.DUMMYFUNCTION("""COMPUTED_VALUE"""),"to train a model for merging code conflicts")</f>
        <v>to train a model for merging code conflicts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5.5" x14ac:dyDescent="0.2">
      <c r="A288" s="1"/>
      <c r="B288" s="1"/>
      <c r="C288" s="1"/>
      <c r="D288" s="2" t="str">
        <f ca="1">IFERROR(__xludf.DUMMYFUNCTION("""COMPUTED_VALUE"""),"select initial hyperparameters based on state-of-the-art")</f>
        <v>select initial hyperparameters based on state-of-the-art</v>
      </c>
      <c r="E288" s="1"/>
      <c r="F288" s="1"/>
      <c r="G288" s="2" t="str">
        <f ca="1">IFERROR(__xludf.DUMMYFUNCTION("""COMPUTED_VALUE"""),"to train a model for predicting security tasks")</f>
        <v>to train a model for predicting security tasks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5.5" x14ac:dyDescent="0.2">
      <c r="A289" s="1"/>
      <c r="B289" s="1"/>
      <c r="C289" s="1"/>
      <c r="D289" s="2" t="str">
        <f ca="1">IFERROR(__xludf.DUMMYFUNCTION("""COMPUTED_VALUE"""),"select metrics based on the research questions")</f>
        <v>select metrics based on the research questions</v>
      </c>
      <c r="E289" s="1"/>
      <c r="F289" s="1"/>
      <c r="G289" s="2" t="str">
        <f ca="1">IFERROR(__xludf.DUMMYFUNCTION("""COMPUTED_VALUE"""),"to train a model for predicting software quality")</f>
        <v>to train a model for predicting software quality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38.25" x14ac:dyDescent="0.2">
      <c r="A290" s="1"/>
      <c r="B290" s="1"/>
      <c r="C290" s="1"/>
      <c r="D290" s="2" t="str">
        <f ca="1">IFERROR(__xludf.DUMMYFUNCTION("""COMPUTED_VALUE"""),"select metrics depending on the audience interest (e.g., reviewers)")</f>
        <v>select metrics depending on the audience interest (e.g., reviewers)</v>
      </c>
      <c r="E290" s="1"/>
      <c r="F290" s="1"/>
      <c r="G290" s="2" t="str">
        <f ca="1">IFERROR(__xludf.DUMMYFUNCTION("""COMPUTED_VALUE"""),"to train a model for refining user intents")</f>
        <v>to train a model for refining user intents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5.5" x14ac:dyDescent="0.2">
      <c r="A291" s="1"/>
      <c r="B291" s="1"/>
      <c r="C291" s="1"/>
      <c r="D291" s="2" t="str">
        <f ca="1">IFERROR(__xludf.DUMMYFUNCTION("""COMPUTED_VALUE"""),"select metrics depending on the quality attributes")</f>
        <v>select metrics depending on the quality attributes</v>
      </c>
      <c r="E291" s="1"/>
      <c r="F291" s="1"/>
      <c r="G291" s="2" t="str">
        <f ca="1">IFERROR(__xludf.DUMMYFUNCTION("""COMPUTED_VALUE"""),"to train a model for video games testing")</f>
        <v>to train a model for video games testing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38.25" x14ac:dyDescent="0.2">
      <c r="A292" s="1"/>
      <c r="B292" s="1"/>
      <c r="C292" s="1"/>
      <c r="D292" s="2" t="str">
        <f ca="1">IFERROR(__xludf.DUMMYFUNCTION("""COMPUTED_VALUE"""),"select metrics depending on the type of data")</f>
        <v>select metrics depending on the type of data</v>
      </c>
      <c r="E292" s="1"/>
      <c r="F292" s="1"/>
      <c r="G292" s="2" t="str">
        <f ca="1">IFERROR(__xludf.DUMMYFUNCTION("""COMPUTED_VALUE"""),"to train a model that has seen outliers that are present in real data")</f>
        <v>to train a model that has seen outliers that are present in real data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51" x14ac:dyDescent="0.2">
      <c r="A293" s="1"/>
      <c r="B293" s="1"/>
      <c r="C293" s="1"/>
      <c r="D293" s="2" t="str">
        <f ca="1">IFERROR(__xludf.DUMMYFUNCTION("""COMPUTED_VALUE"""),"select metrics depending on the type of model that will be evaluated")</f>
        <v>select metrics depending on the type of model that will be evaluated</v>
      </c>
      <c r="E293" s="1"/>
      <c r="F293" s="1"/>
      <c r="G293" s="2" t="str">
        <f ca="1">IFERROR(__xludf.DUMMYFUNCTION("""COMPUTED_VALUE"""),"to train a model with a complete body of knowledge of human knowlege in developing ")</f>
        <v xml:space="preserve">to train a model with a complete body of knowledge of human knowlege in developing 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5.5" x14ac:dyDescent="0.2">
      <c r="A294" s="1"/>
      <c r="B294" s="1"/>
      <c r="C294" s="1"/>
      <c r="D294" s="2" t="str">
        <f ca="1">IFERROR(__xludf.DUMMYFUNCTION("""COMPUTED_VALUE"""),"select metrics that are specific to the domain")</f>
        <v>select metrics that are specific to the domain</v>
      </c>
      <c r="E294" s="1"/>
      <c r="F294" s="1"/>
      <c r="G294" s="2" t="str">
        <f ca="1">IFERROR(__xludf.DUMMYFUNCTION("""COMPUTED_VALUE"""),"to train a model, when training takes too long (time)")</f>
        <v>to train a model, when training takes too long (time)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38.25" x14ac:dyDescent="0.2">
      <c r="A295" s="1"/>
      <c r="B295" s="1"/>
      <c r="C295" s="1"/>
      <c r="D295" s="2" t="str">
        <f ca="1">IFERROR(__xludf.DUMMYFUNCTION("""COMPUTED_VALUE"""),"select metrics thinking not only in performance but in the end user")</f>
        <v>select metrics thinking not only in performance but in the end user</v>
      </c>
      <c r="E295" s="1"/>
      <c r="F295" s="1"/>
      <c r="G295" s="2" t="str">
        <f ca="1">IFERROR(__xludf.DUMMYFUNCTION("""COMPUTED_VALUE"""),"to train a precise model")</f>
        <v>to train a precise model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5.5" x14ac:dyDescent="0.2">
      <c r="A296" s="1"/>
      <c r="B296" s="1"/>
      <c r="C296" s="1"/>
      <c r="D296" s="2" t="str">
        <f ca="1">IFERROR(__xludf.DUMMYFUNCTION("""COMPUTED_VALUE"""),"select model based on amount of data available")</f>
        <v>select model based on amount of data available</v>
      </c>
      <c r="E296" s="1"/>
      <c r="F296" s="1"/>
      <c r="G296" s="2" t="str">
        <f ca="1">IFERROR(__xludf.DUMMYFUNCTION("""COMPUTED_VALUE"""),"to train an ML model")</f>
        <v>to train an ML model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5.5" x14ac:dyDescent="0.2">
      <c r="A297" s="1"/>
      <c r="B297" s="1"/>
      <c r="C297" s="1"/>
      <c r="D297" s="2" t="str">
        <f ca="1">IFERROR(__xludf.DUMMYFUNCTION("""COMPUTED_VALUE"""),"select model based on model capabilities")</f>
        <v>select model based on model capabilities</v>
      </c>
      <c r="E297" s="1"/>
      <c r="F297" s="1"/>
      <c r="G297" s="2" t="str">
        <f ca="1">IFERROR(__xludf.DUMMYFUNCTION("""COMPUTED_VALUE"""),"to understand and implement an idea, industry")</f>
        <v>to understand and implement an idea, industry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51" x14ac:dyDescent="0.2">
      <c r="A298" s="1"/>
      <c r="B298" s="1"/>
      <c r="C298" s="1"/>
      <c r="D298" s="2" t="str">
        <f ca="1">IFERROR(__xludf.DUMMYFUNCTION("""COMPUTED_VALUE"""),"select model based on non functional attributes (e.g., availability, timeliness, operability) ")</f>
        <v xml:space="preserve">select model based on non functional attributes (e.g., availability, timeliness, operability) </v>
      </c>
      <c r="E298" s="1"/>
      <c r="F298" s="1"/>
      <c r="G298" s="2" t="str">
        <f ca="1">IFERROR(__xludf.DUMMYFUNCTION("""COMPUTED_VALUE"""),"to understand how prompitng affects the model results")</f>
        <v>to understand how prompitng affects the model results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63.75" x14ac:dyDescent="0.2">
      <c r="A299" s="1"/>
      <c r="B299" s="1"/>
      <c r="C299" s="1"/>
      <c r="D299" s="2" t="str">
        <f ca="1">IFERROR(__xludf.DUMMYFUNCTION("""COMPUTED_VALUE"""),"select model based on performance in own experiements (e.g., different models or same model different hyperparameters)")</f>
        <v>select model based on performance in own experiements (e.g., different models or same model different hyperparameters)</v>
      </c>
      <c r="E299" s="1"/>
      <c r="F299" s="1"/>
      <c r="G299" s="2" t="str">
        <f ca="1">IFERROR(__xludf.DUMMYFUNCTION("""COMPUTED_VALUE"""),"to understand how the words are represented (e.g., similar words have similar embeddings)")</f>
        <v>to understand how the words are represented (e.g., similar words have similar embeddings)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5.5" x14ac:dyDescent="0.2">
      <c r="A300" s="1"/>
      <c r="B300" s="1"/>
      <c r="C300" s="1"/>
      <c r="D300" s="2" t="str">
        <f ca="1">IFERROR(__xludf.DUMMYFUNCTION("""COMPUTED_VALUE"""),"select model based on popularity")</f>
        <v>select model based on popularity</v>
      </c>
      <c r="E300" s="1"/>
      <c r="F300" s="1"/>
      <c r="G300" s="2" t="str">
        <f ca="1">IFERROR(__xludf.DUMMYFUNCTION("""COMPUTED_VALUE"""),"to understand how to handle the missing values")</f>
        <v>to understand how to handle the missing values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38.25" x14ac:dyDescent="0.2">
      <c r="A301" s="1"/>
      <c r="B301" s="1"/>
      <c r="C301" s="1"/>
      <c r="D301" s="2" t="str">
        <f ca="1">IFERROR(__xludf.DUMMYFUNCTION("""COMPUTED_VALUE"""),"select model based on popularity and reproducibility")</f>
        <v>select model based on popularity and reproducibility</v>
      </c>
      <c r="E301" s="1"/>
      <c r="F301" s="1"/>
      <c r="G301" s="2" t="str">
        <f ca="1">IFERROR(__xludf.DUMMYFUNCTION("""COMPUTED_VALUE"""),"to understand if machine learning is appplicable with the data that you have")</f>
        <v>to understand if machine learning is appplicable with the data that you have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5.5" x14ac:dyDescent="0.2">
      <c r="A302" s="1"/>
      <c r="B302" s="1"/>
      <c r="C302" s="1"/>
      <c r="D302" s="2" t="str">
        <f ca="1">IFERROR(__xludf.DUMMYFUNCTION("""COMPUTED_VALUE"""),"select model based on problem")</f>
        <v>select model based on problem</v>
      </c>
      <c r="E302" s="1"/>
      <c r="F302" s="1"/>
      <c r="G302" s="2" t="str">
        <f ca="1">IFERROR(__xludf.DUMMYFUNCTION("""COMPUTED_VALUE"""),"to understand isues that the approach may have")</f>
        <v>to understand isues that the approach may have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5.5" x14ac:dyDescent="0.2">
      <c r="A303" s="1"/>
      <c r="B303" s="1"/>
      <c r="C303" s="1"/>
      <c r="D303" s="2" t="str">
        <f ca="1">IFERROR(__xludf.DUMMYFUNCTION("""COMPUTED_VALUE"""),"select model based on problem and data")</f>
        <v>select model based on problem and data</v>
      </c>
      <c r="E303" s="1"/>
      <c r="F303" s="1"/>
      <c r="G303" s="2" t="str">
        <f ca="1">IFERROR(__xludf.DUMMYFUNCTION("""COMPUTED_VALUE"""),"to understand sampling bias and if more data is needed")</f>
        <v>to understand sampling bias and if more data is needed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38.25" x14ac:dyDescent="0.2">
      <c r="A304" s="1"/>
      <c r="B304" s="1"/>
      <c r="C304" s="1"/>
      <c r="D304" s="2" t="str">
        <f ca="1">IFERROR(__xludf.DUMMYFUNCTION("""COMPUTED_VALUE"""),"select model based on problem and limitations (restrictions e.g., resources)")</f>
        <v>select model based on problem and limitations (restrictions e.g., resources)</v>
      </c>
      <c r="E304" s="1"/>
      <c r="F304" s="1"/>
      <c r="G304" s="2" t="str">
        <f ca="1">IFERROR(__xludf.DUMMYFUNCTION("""COMPUTED_VALUE"""),"to understand the data")</f>
        <v>to understand the data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5.5" x14ac:dyDescent="0.2">
      <c r="A305" s="1"/>
      <c r="B305" s="1"/>
      <c r="C305" s="1"/>
      <c r="D305" s="2" t="str">
        <f ca="1">IFERROR(__xludf.DUMMYFUNCTION("""COMPUTED_VALUE"""),"select model based on problem literature")</f>
        <v>select model based on problem literature</v>
      </c>
      <c r="E305" s="1"/>
      <c r="F305" s="1"/>
      <c r="G305" s="2" t="str">
        <f ca="1">IFERROR(__xludf.DUMMYFUNCTION("""COMPUTED_VALUE"""),"to understand the data (i.e., noise in data)")</f>
        <v>to understand the data (i.e., noise in data)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38.25" x14ac:dyDescent="0.2">
      <c r="A306" s="1"/>
      <c r="B306" s="1"/>
      <c r="C306" s="1"/>
      <c r="D306" s="2" t="str">
        <f ca="1">IFERROR(__xludf.DUMMYFUNCTION("""COMPUTED_VALUE"""),"select model based on properties of the task (e.g., structure, control and data flow)")</f>
        <v>select model based on properties of the task (e.g., structure, control and data flow)</v>
      </c>
      <c r="E306" s="1"/>
      <c r="F306" s="1"/>
      <c r="G306" s="2" t="str">
        <f ca="1">IFERROR(__xludf.DUMMYFUNCTION("""COMPUTED_VALUE"""),"to understand the data (i.e., outliers)")</f>
        <v>to understand the data (i.e., outliers)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38.25" x14ac:dyDescent="0.2">
      <c r="A307" s="1"/>
      <c r="B307" s="1"/>
      <c r="C307" s="1"/>
      <c r="D307" s="2" t="str">
        <f ca="1">IFERROR(__xludf.DUMMYFUNCTION("""COMPUTED_VALUE"""),"select model based on state-of-the-art")</f>
        <v>select model based on state-of-the-art</v>
      </c>
      <c r="E307" s="1"/>
      <c r="F307" s="1"/>
      <c r="G307" s="2" t="str">
        <f ca="1">IFERROR(__xludf.DUMMYFUNCTION("""COMPUTED_VALUE"""),"to understand the data (i.e., outliers), when having Big data")</f>
        <v>to understand the data (i.e., outliers), when having Big data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38.25" x14ac:dyDescent="0.2">
      <c r="A308" s="1"/>
      <c r="B308" s="1"/>
      <c r="C308" s="1"/>
      <c r="D308" s="2" t="str">
        <f ca="1">IFERROR(__xludf.DUMMYFUNCTION("""COMPUTED_VALUE"""),"select model based on state-of-the-art, ML or AI")</f>
        <v>select model based on state-of-the-art, ML or AI</v>
      </c>
      <c r="E308" s="1"/>
      <c r="F308" s="1"/>
      <c r="G308" s="2" t="str">
        <f ca="1">IFERROR(__xludf.DUMMYFUNCTION("""COMPUTED_VALUE"""),"to understand the data, when descriptive statistics of dataset are not available")</f>
        <v>to understand the data, when descriptive statistics of dataset are not available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5.5" x14ac:dyDescent="0.2">
      <c r="A309" s="1"/>
      <c r="B309" s="1"/>
      <c r="C309" s="1"/>
      <c r="D309" s="2" t="str">
        <f ca="1">IFERROR(__xludf.DUMMYFUNCTION("""COMPUTED_VALUE"""),"select model based on state-of-the-art, problem literature")</f>
        <v>select model based on state-of-the-art, problem literature</v>
      </c>
      <c r="E309" s="1"/>
      <c r="F309" s="1"/>
      <c r="G309" s="2" t="str">
        <f ca="1">IFERROR(__xludf.DUMMYFUNCTION("""COMPUTED_VALUE"""),"to understand the model bias due to data")</f>
        <v>to understand the model bias due to data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38.25" x14ac:dyDescent="0.2">
      <c r="A310" s="1"/>
      <c r="B310" s="1"/>
      <c r="C310" s="1"/>
      <c r="D310" s="2" t="str">
        <f ca="1">IFERROR(__xludf.DUMMYFUNCTION("""COMPUTED_VALUE"""),"select model based on state-of-the-art, related disciplines e.g., NLP")</f>
        <v>select model based on state-of-the-art, related disciplines e.g., NLP</v>
      </c>
      <c r="E310" s="1"/>
      <c r="F310" s="1"/>
      <c r="G310" s="2" t="str">
        <f ca="1">IFERROR(__xludf.DUMMYFUNCTION("""COMPUTED_VALUE"""),"to understand the model(s) behaviour(s)")</f>
        <v>to understand the model(s) behaviour(s)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38.25" x14ac:dyDescent="0.2">
      <c r="A311" s="1"/>
      <c r="B311" s="1"/>
      <c r="C311" s="1"/>
      <c r="D311" s="2" t="str">
        <f ca="1">IFERROR(__xludf.DUMMYFUNCTION("""COMPUTED_VALUE"""),"select model based on state-of-the-art, SE")</f>
        <v>select model based on state-of-the-art, SE</v>
      </c>
      <c r="E311" s="1"/>
      <c r="F311" s="1"/>
      <c r="G311" s="2" t="str">
        <f ca="1">IFERROR(__xludf.DUMMYFUNCTION("""COMPUTED_VALUE"""),"to understand the model(s) behaviour(s) when model ouperforms while predicting")</f>
        <v>to understand the model(s) behaviour(s) when model ouperforms while predicting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38.25" x14ac:dyDescent="0.2">
      <c r="A312" s="1"/>
      <c r="B312" s="1"/>
      <c r="C312" s="1"/>
      <c r="D312" s="2" t="str">
        <f ca="1">IFERROR(__xludf.DUMMYFUNCTION("""COMPUTED_VALUE"""),"select model based on what is wanted to be captured from the data")</f>
        <v>select model based on what is wanted to be captured from the data</v>
      </c>
      <c r="E312" s="1"/>
      <c r="F312" s="1"/>
      <c r="G312" s="2" t="str">
        <f ca="1">IFERROR(__xludf.DUMMYFUNCTION("""COMPUTED_VALUE"""),"to understand the model(s) behaviour(s), identify alternative correct predictions")</f>
        <v>to understand the model(s) behaviour(s), identify alternative correct predictions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51" x14ac:dyDescent="0.2">
      <c r="A313" s="1"/>
      <c r="B313" s="1"/>
      <c r="C313" s="1"/>
      <c r="D313" s="2" t="str">
        <f ca="1">IFERROR(__xludf.DUMMYFUNCTION("""COMPUTED_VALUE"""),"select new approaches")</f>
        <v>select new approaches</v>
      </c>
      <c r="E313" s="1"/>
      <c r="F313" s="1"/>
      <c r="G313" s="2" t="str">
        <f ca="1">IFERROR(__xludf.DUMMYFUNCTION("""COMPUTED_VALUE"""),"to understand the model(s) behaviour(s), in particular in edge cases in which the model is certain")</f>
        <v>to understand the model(s) behaviour(s), in particular in edge cases in which the model is certain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5.5" x14ac:dyDescent="0.2">
      <c r="A314" s="1"/>
      <c r="B314" s="1"/>
      <c r="C314" s="1"/>
      <c r="D314" s="2" t="str">
        <f ca="1">IFERROR(__xludf.DUMMYFUNCTION("""COMPUTED_VALUE"""),"select pretrained models, fine tune the models")</f>
        <v>select pretrained models, fine tune the models</v>
      </c>
      <c r="E314" s="1"/>
      <c r="F314" s="1"/>
      <c r="G314" s="2" t="str">
        <f ca="1">IFERROR(__xludf.DUMMYFUNCTION("""COMPUTED_VALUE"""),"to understand the problem as a whole")</f>
        <v>to understand the problem as a whole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38.25" x14ac:dyDescent="0.2">
      <c r="A315" s="1"/>
      <c r="B315" s="1"/>
      <c r="C315" s="1"/>
      <c r="D315" s="2" t="str">
        <f ca="1">IFERROR(__xludf.DUMMYFUNCTION("""COMPUTED_VALUE"""),"select quality attributes based on business requirements")</f>
        <v>select quality attributes based on business requirements</v>
      </c>
      <c r="E315" s="1"/>
      <c r="F315" s="1"/>
      <c r="G315" s="2" t="str">
        <f ca="1">IFERROR(__xludf.DUMMYFUNCTION("""COMPUTED_VALUE"""),"to understand why the missmatch of labeling occured")</f>
        <v>to understand why the missmatch of labeling occured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38.25" x14ac:dyDescent="0.2">
      <c r="A316" s="1"/>
      <c r="B316" s="1"/>
      <c r="C316" s="1"/>
      <c r="D316" s="2" t="str">
        <f ca="1">IFERROR(__xludf.DUMMYFUNCTION("""COMPUTED_VALUE"""),"select quality attributes based on task")</f>
        <v>select quality attributes based on task</v>
      </c>
      <c r="E316" s="1"/>
      <c r="F316" s="1"/>
      <c r="G316" s="2" t="str">
        <f ca="1">IFERROR(__xludf.DUMMYFUNCTION("""COMPUTED_VALUE"""),"to undertstand how existing metrics correlate with human judgments")</f>
        <v>to undertstand how existing metrics correlate with human judgments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5.5" x14ac:dyDescent="0.2">
      <c r="A317" s="1"/>
      <c r="B317" s="1"/>
      <c r="C317" s="1"/>
      <c r="D317" s="2" t="str">
        <f ca="1">IFERROR(__xludf.DUMMYFUNCTION("""COMPUTED_VALUE"""),"select quality attributes based on third party guidelines")</f>
        <v>select quality attributes based on third party guidelines</v>
      </c>
      <c r="E317" s="1"/>
      <c r="F317" s="1"/>
      <c r="G317" s="2" t="str">
        <f ca="1">IFERROR(__xludf.DUMMYFUNCTION("""COMPUTED_VALUE"""),"to validate an ML model")</f>
        <v>to validate an ML model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38.25" x14ac:dyDescent="0.2">
      <c r="A318" s="1"/>
      <c r="B318" s="1"/>
      <c r="C318" s="1"/>
      <c r="D318" s="2" t="str">
        <f ca="1">IFERROR(__xludf.DUMMYFUNCTION("""COMPUTED_VALUE"""),"select the concept drift handling strategy based on the type of problem")</f>
        <v>select the concept drift handling strategy based on the type of problem</v>
      </c>
      <c r="E318" s="1"/>
      <c r="F318" s="1"/>
      <c r="G318" s="2" t="str">
        <f ca="1">IFERROR(__xludf.DUMMYFUNCTION("""COMPUTED_VALUE"""),"to validate and evaluate the quality of summaries")</f>
        <v>to validate and evaluate the quality of summaries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38.25" x14ac:dyDescent="0.2">
      <c r="A319" s="1"/>
      <c r="B319" s="1"/>
      <c r="C319" s="1"/>
      <c r="D319" s="2" t="str">
        <f ca="1">IFERROR(__xludf.DUMMYFUNCTION("""COMPUTED_VALUE"""),"select training/evaluation approach based on the type of data and model")</f>
        <v>select training/evaluation approach based on the type of data and model</v>
      </c>
      <c r="E319" s="1"/>
      <c r="F319" s="1"/>
      <c r="G319" s="2" t="str">
        <f ca="1">IFERROR(__xludf.DUMMYFUNCTION("""COMPUTED_VALUE"""),"to validate the assigned labels by multiple tagger to the instances")</f>
        <v>to validate the assigned labels by multiple tagger to the instances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5.5" x14ac:dyDescent="0.2">
      <c r="A320" s="1"/>
      <c r="B320" s="1"/>
      <c r="C320" s="1"/>
      <c r="D320" s="2" t="str">
        <f ca="1">IFERROR(__xludf.DUMMYFUNCTION("""COMPUTED_VALUE"""),"select hyperparameter based on own experience")</f>
        <v>select hyperparameter based on own experience</v>
      </c>
      <c r="E320" s="1"/>
      <c r="F320" s="1"/>
      <c r="G320" s="2" t="str">
        <f ca="1">IFERROR(__xludf.DUMMYFUNCTION("""COMPUTED_VALUE"""),"when executing a survival analysis")</f>
        <v>when executing a survival analysis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5.5" x14ac:dyDescent="0.2">
      <c r="A321" s="1"/>
      <c r="B321" s="1"/>
      <c r="C321" s="1"/>
      <c r="D321" s="2" t="str">
        <f ca="1">IFERROR(__xludf.DUMMYFUNCTION("""COMPUTED_VALUE"""),"select model based on the type of data")</f>
        <v>select model based on the type of data</v>
      </c>
      <c r="E321" s="1"/>
      <c r="F321" s="1"/>
      <c r="G321" s="2" t="str">
        <f ca="1">IFERROR(__xludf.DUMMYFUNCTION("""COMPUTED_VALUE"""),"to facilitate the comparizion with other approaches")</f>
        <v>to facilitate the comparizion with other approaches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38.25" x14ac:dyDescent="0.2">
      <c r="A322" s="1"/>
      <c r="B322" s="1"/>
      <c r="C322" s="1"/>
      <c r="D322" s="2" t="str">
        <f ca="1">IFERROR(__xludf.DUMMYFUNCTION("""COMPUTED_VALUE"""),"set a minimum threshold of correct instance instance over the generated ones")</f>
        <v>set a minimum threshold of correct instance instance over the generated ones</v>
      </c>
      <c r="E322" s="1"/>
      <c r="F322" s="1"/>
      <c r="G322" s="2" t="str">
        <f ca="1">IFERROR(__xludf.DUMMYFUNCTION("""COMPUTED_VALUE"""),"to avoid selecting a too complex model")</f>
        <v>to avoid selecting a too complex model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38.25" x14ac:dyDescent="0.2">
      <c r="A323" s="1"/>
      <c r="B323" s="1"/>
      <c r="C323" s="1"/>
      <c r="D323" s="2" t="str">
        <f ca="1">IFERROR(__xludf.DUMMYFUNCTION("""COMPUTED_VALUE"""),"shipped a model with at least the data space in which a model is certified")</f>
        <v>shipped a model with at least the data space in which a model is certified</v>
      </c>
      <c r="E323" s="1"/>
      <c r="F323" s="1"/>
      <c r="G323" s="2" t="str">
        <f ca="1">IFERROR(__xludf.DUMMYFUNCTION("""COMPUTED_VALUE"""),"to understand how different components and/or data affect the model results")</f>
        <v>to understand how different components and/or data affect the model results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5.5" x14ac:dyDescent="0.2">
      <c r="A324" s="1"/>
      <c r="B324" s="1"/>
      <c r="C324" s="1"/>
      <c r="D324" s="2" t="str">
        <f ca="1">IFERROR(__xludf.DUMMYFUNCTION("""COMPUTED_VALUE"""),"simplify the model at the expense of accuracy")</f>
        <v>simplify the model at the expense of accuracy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5.5" x14ac:dyDescent="0.2">
      <c r="A325" s="1"/>
      <c r="B325" s="1"/>
      <c r="C325" s="1"/>
      <c r="D325" s="2" t="str">
        <f ca="1">IFERROR(__xludf.DUMMYFUNCTION("""COMPUTED_VALUE"""),"spend time to explain the labeling process to the tagger")</f>
        <v>spend time to explain the labeling process to the tagger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2" t="str">
        <f ca="1">IFERROR(__xludf.DUMMYFUNCTION("""COMPUTED_VALUE"""),"split data into train and test")</f>
        <v>split data into train and test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5.5" x14ac:dyDescent="0.2">
      <c r="A327" s="1"/>
      <c r="B327" s="1"/>
      <c r="C327" s="1"/>
      <c r="D327" s="2" t="str">
        <f ca="1">IFERROR(__xludf.DUMMYFUNCTION("""COMPUTED_VALUE"""),"split data into train and test data, avoiding overlapping")</f>
        <v>split data into train and test data, avoiding overlapping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5.5" x14ac:dyDescent="0.2">
      <c r="A328" s="1"/>
      <c r="B328" s="1"/>
      <c r="C328" s="1"/>
      <c r="D328" s="2" t="str">
        <f ca="1">IFERROR(__xludf.DUMMYFUNCTION("""COMPUTED_VALUE"""),"split data into train, validation and test")</f>
        <v>split data into train, validation and test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5.5" x14ac:dyDescent="0.2">
      <c r="A329" s="1"/>
      <c r="B329" s="1"/>
      <c r="C329" s="1"/>
      <c r="D329" s="2" t="str">
        <f ca="1">IFERROR(__xludf.DUMMYFUNCTION("""COMPUTED_VALUE"""),"start with simple models before moving to complex models")</f>
        <v>start with simple models before moving to complex models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2" t="str">
        <f ca="1">IFERROR(__xludf.DUMMYFUNCTION("""COMPUTED_VALUE"""),"statistical test")</f>
        <v>statistical test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5.5" x14ac:dyDescent="0.2">
      <c r="A331" s="1"/>
      <c r="B331" s="1"/>
      <c r="C331" s="1"/>
      <c r="D331" s="2" t="str">
        <f ca="1">IFERROR(__xludf.DUMMYFUNCTION("""COMPUTED_VALUE"""),"statistical test (non parametric methods)")</f>
        <v>statistical test (non parametric methods)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2" t="str">
        <f ca="1">IFERROR(__xludf.DUMMYFUNCTION("""COMPUTED_VALUE"""),"statistical test (paired t-test)")</f>
        <v>statistical test (paired t-test)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2" t="str">
        <f ca="1">IFERROR(__xludf.DUMMYFUNCTION("""COMPUTED_VALUE"""),"statistical test (Scott Knott test)")</f>
        <v>statistical test (Scott Knott test)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5.5" x14ac:dyDescent="0.2">
      <c r="A334" s="1"/>
      <c r="B334" s="1"/>
      <c r="C334" s="1"/>
      <c r="D334" s="2" t="str">
        <f ca="1">IFERROR(__xludf.DUMMYFUNCTION("""COMPUTED_VALUE"""),"string matching between the input and output")</f>
        <v>string matching between the input and output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5.5" x14ac:dyDescent="0.2">
      <c r="A335" s="1"/>
      <c r="B335" s="1"/>
      <c r="C335" s="1"/>
      <c r="D335" s="2" t="str">
        <f ca="1">IFERROR(__xludf.DUMMYFUNCTION("""COMPUTED_VALUE"""),"talk to colleagues about the problem to be solved")</f>
        <v>talk to colleagues about the problem to be solved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2" t="str">
        <f ca="1">IFERROR(__xludf.DUMMYFUNCTION("""COMPUTED_VALUE"""),"test for bias")</f>
        <v>test for bias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5.5" x14ac:dyDescent="0.2">
      <c r="A337" s="1"/>
      <c r="B337" s="1"/>
      <c r="C337" s="1"/>
      <c r="D337" s="2" t="str">
        <f ca="1">IFERROR(__xludf.DUMMYFUNCTION("""COMPUTED_VALUE"""),"test in independent dataset(s) from training and validation")</f>
        <v>test in independent dataset(s) from training and validation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38.25" x14ac:dyDescent="0.2">
      <c r="A338" s="1"/>
      <c r="B338" s="1"/>
      <c r="C338" s="1"/>
      <c r="D338" s="2" t="str">
        <f ca="1">IFERROR(__xludf.DUMMYFUNCTION("""COMPUTED_VALUE"""),"test in independent dataset(s) from training and validation, benchmark")</f>
        <v>test in independent dataset(s) from training and validation, benchmark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5.5" x14ac:dyDescent="0.2">
      <c r="A339" s="1"/>
      <c r="B339" s="1"/>
      <c r="C339" s="1"/>
      <c r="D339" s="2" t="str">
        <f ca="1">IFERROR(__xludf.DUMMYFUNCTION("""COMPUTED_VALUE"""),"test labeling process in a small group")</f>
        <v>test labeling process in a small group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2" t="str">
        <f ca="1">IFERROR(__xludf.DUMMYFUNCTION("""COMPUTED_VALUE"""),"textual pre-processing")</f>
        <v>textual pre-processing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2" t="str">
        <f ca="1">IFERROR(__xludf.DUMMYFUNCTION("""COMPUTED_VALUE"""),"to have multiple taggers")</f>
        <v>to have multiple taggers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5.5" x14ac:dyDescent="0.2">
      <c r="A342" s="1"/>
      <c r="B342" s="1"/>
      <c r="C342" s="1"/>
      <c r="D342" s="2" t="str">
        <f ca="1">IFERROR(__xludf.DUMMYFUNCTION("""COMPUTED_VALUE"""),"to have multiple taggers, i.e., at least two")</f>
        <v>to have multiple taggers, i.e., at least two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5.5" x14ac:dyDescent="0.2">
      <c r="A343" s="1"/>
      <c r="B343" s="1"/>
      <c r="C343" s="1"/>
      <c r="D343" s="2" t="str">
        <f ca="1">IFERROR(__xludf.DUMMYFUNCTION("""COMPUTED_VALUE"""),"to have multiple taggers, i.e., at least two, typically three")</f>
        <v>to have multiple taggers, i.e., at least two, typically three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2" t="str">
        <f ca="1">IFERROR(__xludf.DUMMYFUNCTION("""COMPUTED_VALUE"""),"tokenize")</f>
        <v>tokenize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2" t="str">
        <f ca="1">IFERROR(__xludf.DUMMYFUNCTION("""COMPUTED_VALUE"""),"train a model")</f>
        <v>train a model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5.5" x14ac:dyDescent="0.2">
      <c r="A346" s="1"/>
      <c r="B346" s="1"/>
      <c r="C346" s="1"/>
      <c r="D346" s="2" t="str">
        <f ca="1">IFERROR(__xludf.DUMMYFUNCTION("""COMPUTED_VALUE"""),"train a model with multiple objectives")</f>
        <v>train a model with multiple objectives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5.5" x14ac:dyDescent="0.2">
      <c r="A347" s="1"/>
      <c r="B347" s="1"/>
      <c r="C347" s="1"/>
      <c r="D347" s="2" t="str">
        <f ca="1">IFERROR(__xludf.DUMMYFUNCTION("""COMPUTED_VALUE"""),"train in independent dataset(s) from validation and testing")</f>
        <v>train in independent dataset(s) from validation and testing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51" x14ac:dyDescent="0.2">
      <c r="A348" s="1"/>
      <c r="B348" s="1"/>
      <c r="C348" s="1"/>
      <c r="D348" s="2" t="str">
        <f ca="1">IFERROR(__xludf.DUMMYFUNCTION("""COMPUTED_VALUE"""),"train in independent dataset(s) from validation and testing and check proxys on independent validation set")</f>
        <v>train in independent dataset(s) from validation and testing and check proxys on independent validation set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2" t="str">
        <f ca="1">IFERROR(__xludf.DUMMYFUNCTION("""COMPUTED_VALUE"""),"train model(s) on quality data")</f>
        <v>train model(s) on quality data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5.5" x14ac:dyDescent="0.2">
      <c r="A350" s="1"/>
      <c r="B350" s="1"/>
      <c r="C350" s="1"/>
      <c r="D350" s="2" t="str">
        <f ca="1">IFERROR(__xludf.DUMMYFUNCTION("""COMPUTED_VALUE"""),"train model(s) until release date and evaluate in release date + 1")</f>
        <v>train model(s) until release date and evaluate in release date + 1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5.5" x14ac:dyDescent="0.2">
      <c r="A351" s="1"/>
      <c r="B351" s="1"/>
      <c r="C351" s="1"/>
      <c r="D351" s="2" t="str">
        <f ca="1">IFERROR(__xludf.DUMMYFUNCTION("""COMPUTED_VALUE"""),"train models in current data/up to date")</f>
        <v>train models in current data/up to date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5.5" x14ac:dyDescent="0.2">
      <c r="A352" s="1"/>
      <c r="B352" s="1"/>
      <c r="C352" s="1"/>
      <c r="D352" s="2" t="str">
        <f ca="1">IFERROR(__xludf.DUMMYFUNCTION("""COMPUTED_VALUE"""),"train the final model with the best hyperparameters")</f>
        <v>train the final model with the best hyperparameters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2" t="str">
        <f ca="1">IFERROR(__xludf.DUMMYFUNCTION("""COMPUTED_VALUE"""),"train your own tokenizers")</f>
        <v>train your own tokenizers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5.5" x14ac:dyDescent="0.2">
      <c r="A354" s="1"/>
      <c r="B354" s="1"/>
      <c r="C354" s="1"/>
      <c r="D354" s="2" t="str">
        <f ca="1">IFERROR(__xludf.DUMMYFUNCTION("""COMPUTED_VALUE"""),"transform all code to the same format/style")</f>
        <v>transform all code to the same format/style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5.5" x14ac:dyDescent="0.2">
      <c r="A355" s="1"/>
      <c r="B355" s="1"/>
      <c r="C355" s="1"/>
      <c r="D355" s="2" t="str">
        <f ca="1">IFERROR(__xludf.DUMMYFUNCTION("""COMPUTED_VALUE"""),"transform code into its abstraction")</f>
        <v>transform code into its abstraction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5.5" x14ac:dyDescent="0.2">
      <c r="A356" s="1"/>
      <c r="B356" s="1"/>
      <c r="C356" s="1"/>
      <c r="D356" s="2" t="str">
        <f ca="1">IFERROR(__xludf.DUMMYFUNCTION("""COMPUTED_VALUE"""),"try different models to achive a specific task")</f>
        <v>try different models to achive a specific task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5.5" x14ac:dyDescent="0.2">
      <c r="A357" s="1"/>
      <c r="B357" s="1"/>
      <c r="C357" s="1"/>
      <c r="D357" s="2" t="str">
        <f ca="1">IFERROR(__xludf.DUMMYFUNCTION("""COMPUTED_VALUE"""),"try multiple approaches to solve a specific problem")</f>
        <v>try multiple approaches to solve a specific problem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2" t="str">
        <f ca="1">IFERROR(__xludf.DUMMYFUNCTION("""COMPUTED_VALUE"""),"tune some hyperparameters")</f>
        <v>tune some hyperparameters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2" t="str">
        <f ca="1">IFERROR(__xludf.DUMMYFUNCTION("""COMPUTED_VALUE"""),"understand the bias in data")</f>
        <v>understand the bias in data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5.5" x14ac:dyDescent="0.2">
      <c r="A360" s="1"/>
      <c r="B360" s="1"/>
      <c r="C360" s="1"/>
      <c r="D360" s="2" t="str">
        <f ca="1">IFERROR(__xludf.DUMMYFUNCTION("""COMPUTED_VALUE"""),"understand the problem to be solved")</f>
        <v>understand the problem to be solved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2" t="str">
        <f ca="1">IFERROR(__xludf.DUMMYFUNCTION("""COMPUTED_VALUE"""),"use a code parser")</f>
        <v>use a code parser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38.25" x14ac:dyDescent="0.2">
      <c r="A362" s="1"/>
      <c r="B362" s="1"/>
      <c r="C362" s="1"/>
      <c r="D362" s="2" t="str">
        <f ca="1">IFERROR(__xludf.DUMMYFUNCTION("""COMPUTED_VALUE"""),"use a model that is capable of work with NLP and code and combine their semantics")</f>
        <v>use a model that is capable of work with NLP and code and combine their semantics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2" t="str">
        <f ca="1">IFERROR(__xludf.DUMMYFUNCTION("""COMPUTED_VALUE"""),"use already deployed model(s)")</f>
        <v>use already deployed model(s)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5.5" x14ac:dyDescent="0.2">
      <c r="A364" s="1"/>
      <c r="B364" s="1"/>
      <c r="C364" s="1"/>
      <c r="D364" s="2" t="str">
        <f ca="1">IFERROR(__xludf.DUMMYFUNCTION("""COMPUTED_VALUE"""),"use an independent label validator to the taggers")</f>
        <v>use an independent label validator to the taggers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2" t="str">
        <f ca="1">IFERROR(__xludf.DUMMYFUNCTION("""COMPUTED_VALUE"""),"use attention maps")</f>
        <v>use attention maps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2" t="str">
        <f ca="1">IFERROR(__xludf.DUMMYFUNCTION("""COMPUTED_VALUE"""),"use byte pair encoding")</f>
        <v>use byte pair encoding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38.25" x14ac:dyDescent="0.2">
      <c r="A367" s="1"/>
      <c r="B367" s="1"/>
      <c r="C367" s="1"/>
      <c r="D367" s="2" t="str">
        <f ca="1">IFERROR(__xludf.DUMMYFUNCTION("""COMPUTED_VALUE"""),"Do not just use the CK (Chidamber and Kemerer) metric suite.")</f>
        <v>Do not just use the CK (Chidamber and Kemerer) metric suite.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2" t="str">
        <f ca="1">IFERROR(__xludf.DUMMYFUNCTION("""COMPUTED_VALUE"""),"use CodeBird")</f>
        <v>use CodeBird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5.5" x14ac:dyDescent="0.2">
      <c r="A369" s="1"/>
      <c r="B369" s="1"/>
      <c r="C369" s="1"/>
      <c r="D369" s="2" t="str">
        <f ca="1">IFERROR(__xludf.DUMMYFUNCTION("""COMPUTED_VALUE"""),"use Cox Proportional Hazards (Cox PH) ")</f>
        <v xml:space="preserve">use Cox Proportional Hazards (Cox PH) 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5.5" x14ac:dyDescent="0.2">
      <c r="A370" s="1"/>
      <c r="B370" s="1"/>
      <c r="C370" s="1"/>
      <c r="D370" s="2" t="str">
        <f ca="1">IFERROR(__xludf.DUMMYFUNCTION("""COMPUTED_VALUE"""),"use data cleaning state-of-the-art")</f>
        <v>use data cleaning state-of-the-art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2" t="str">
        <f ca="1">IFERROR(__xludf.DUMMYFUNCTION("""COMPUTED_VALUE"""),"use deep learning")</f>
        <v>use deep learning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5.5" x14ac:dyDescent="0.2">
      <c r="A372" s="1"/>
      <c r="B372" s="1"/>
      <c r="C372" s="1"/>
      <c r="D372" s="2" t="str">
        <f ca="1">IFERROR(__xludf.DUMMYFUNCTION("""COMPUTED_VALUE"""),"use diferent sources for training and test")</f>
        <v>use diferent sources for training and test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2" t="str">
        <f ca="1">IFERROR(__xludf.DUMMYFUNCTION("""COMPUTED_VALUE"""),"use different context sizes")</f>
        <v>use different context sizes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2" t="str">
        <f ca="1">IFERROR(__xludf.DUMMYFUNCTION("""COMPUTED_VALUE"""),"use embeddings")</f>
        <v>use embeddings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2" t="str">
        <f ca="1">IFERROR(__xludf.DUMMYFUNCTION("""COMPUTED_VALUE"""),"use encoder/decoder")</f>
        <v>use encoder/decoder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2" t="str">
        <f ca="1">IFERROR(__xludf.DUMMYFUNCTION("""COMPUTED_VALUE"""),"use existing datasets")</f>
        <v>use existing datasets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5.5" x14ac:dyDescent="0.2">
      <c r="A377" s="1"/>
      <c r="B377" s="1"/>
      <c r="C377" s="1"/>
      <c r="D377" s="2" t="str">
        <f ca="1">IFERROR(__xludf.DUMMYFUNCTION("""COMPUTED_VALUE"""),"use existing datasets, benchmark datasets")</f>
        <v>use existing datasets, benchmark datasets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38.25" x14ac:dyDescent="0.2">
      <c r="A378" s="1"/>
      <c r="B378" s="1"/>
      <c r="C378" s="1"/>
      <c r="D378" s="2" t="str">
        <f ca="1">IFERROR(__xludf.DUMMYFUNCTION("""COMPUTED_VALUE"""),"use existing datasets, benchmark datasets (i.e., MS Coco, Pascal VOC)")</f>
        <v>use existing datasets, benchmark datasets (i.e., MS Coco, Pascal VOC)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38.25" x14ac:dyDescent="0.2">
      <c r="A379" s="1"/>
      <c r="B379" s="1"/>
      <c r="C379" s="1"/>
      <c r="D379" s="2" t="str">
        <f ca="1">IFERROR(__xludf.DUMMYFUNCTION("""COMPUTED_VALUE"""),"use existing datasets, benchmark datasets (i.e., MVPP, human eva)")</f>
        <v>use existing datasets, benchmark datasets (i.e., MVPP, human eva)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5.5" x14ac:dyDescent="0.2">
      <c r="A380" s="1"/>
      <c r="B380" s="1"/>
      <c r="C380" s="1"/>
      <c r="D380" s="2" t="str">
        <f ca="1">IFERROR(__xludf.DUMMYFUNCTION("""COMPUTED_VALUE"""),"use existing datasets, datasets from goverment/public agencies")</f>
        <v>use existing datasets, datasets from goverment/public agencies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5.5" x14ac:dyDescent="0.2">
      <c r="A381" s="1"/>
      <c r="B381" s="1"/>
      <c r="C381" s="1"/>
      <c r="D381" s="2" t="str">
        <f ca="1">IFERROR(__xludf.DUMMYFUNCTION("""COMPUTED_VALUE"""),"use existing datasets, form UCI IRVINE")</f>
        <v>use existing datasets, form UCI IRVINE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5.5" x14ac:dyDescent="0.2">
      <c r="A382" s="1"/>
      <c r="B382" s="1"/>
      <c r="C382" s="1"/>
      <c r="D382" s="2" t="str">
        <f ca="1">IFERROR(__xludf.DUMMYFUNCTION("""COMPUTED_VALUE"""),"use existing datasets, refine them")</f>
        <v>use existing datasets, refine them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2" t="str">
        <f ca="1">IFERROR(__xludf.DUMMYFUNCTION("""COMPUTED_VALUE"""),"use existing frameworks")</f>
        <v>use existing frameworks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51" x14ac:dyDescent="0.2">
      <c r="A384" s="1"/>
      <c r="B384" s="1"/>
      <c r="C384" s="1"/>
      <c r="D384" s="2" t="str">
        <f ca="1">IFERROR(__xludf.DUMMYFUNCTION("""COMPUTED_VALUE"""),"use existing libraries (e.g., JAX, TensorFlow, keras, Theano, Pytorch, HuggingFace, Sklearn, FairStack)")</f>
        <v>use existing libraries (e.g., JAX, TensorFlow, keras, Theano, Pytorch, HuggingFace, Sklearn, FairStack)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5.5" x14ac:dyDescent="0.2">
      <c r="A385" s="1"/>
      <c r="B385" s="1"/>
      <c r="C385" s="1"/>
      <c r="D385" s="2" t="str">
        <f ca="1">IFERROR(__xludf.DUMMYFUNCTION("""COMPUTED_VALUE"""),"use existing libraries (i.e., for explainable AI)")</f>
        <v>use existing libraries (i.e., for explainable AI)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5.5" x14ac:dyDescent="0.2">
      <c r="A386" s="1"/>
      <c r="B386" s="1"/>
      <c r="C386" s="1"/>
      <c r="D386" s="2" t="str">
        <f ca="1">IFERROR(__xludf.DUMMYFUNCTION("""COMPUTED_VALUE"""),"use existing libraries (i.e., for feature engineering)")</f>
        <v>use existing libraries (i.e., for feature engineering)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5.5" x14ac:dyDescent="0.2">
      <c r="A387" s="1"/>
      <c r="B387" s="1"/>
      <c r="C387" s="1"/>
      <c r="D387" s="2" t="str">
        <f ca="1">IFERROR(__xludf.DUMMYFUNCTION("""COMPUTED_VALUE"""),"use existing libraries (i.e., for tokenization)")</f>
        <v>use existing libraries (i.e., for tokenization)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5.5" x14ac:dyDescent="0.2">
      <c r="A388" s="1"/>
      <c r="B388" s="1"/>
      <c r="C388" s="1"/>
      <c r="D388" s="2" t="str">
        <f ca="1">IFERROR(__xludf.DUMMYFUNCTION("""COMPUTED_VALUE"""),"use existing libraries (i.e., state-of-the-art)")</f>
        <v>use existing libraries (i.e., state-of-the-art)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5.5" x14ac:dyDescent="0.2">
      <c r="A389" s="1"/>
      <c r="B389" s="1"/>
      <c r="C389" s="1"/>
      <c r="D389" s="2" t="str">
        <f ca="1">IFERROR(__xludf.DUMMYFUNCTION("""COMPUTED_VALUE"""),"use extended previous (own) work")</f>
        <v>use extended previous (own) work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5.5" x14ac:dyDescent="0.2">
      <c r="A390" s="1"/>
      <c r="B390" s="1"/>
      <c r="C390" s="1"/>
      <c r="D390" s="2" t="str">
        <f ca="1">IFERROR(__xludf.DUMMYFUNCTION("""COMPUTED_VALUE"""),"use federated learning with noise")</f>
        <v>use federated learning with noise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2" t="str">
        <f ca="1">IFERROR(__xludf.DUMMYFUNCTION("""COMPUTED_VALUE"""),"use generative models")</f>
        <v>use generative models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2" t="str">
        <f ca="1">IFERROR(__xludf.DUMMYFUNCTION("""COMPUTED_VALUE"""),"use genetic algorithms")</f>
        <v>use genetic algorithms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2" t="str">
        <f ca="1">IFERROR(__xludf.DUMMYFUNCTION("""COMPUTED_VALUE"""),"use graph-based models")</f>
        <v>use graph-based models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2" t="str">
        <f ca="1">IFERROR(__xludf.DUMMYFUNCTION("""COMPUTED_VALUE"""),"use GraphCodeBERT")</f>
        <v>use GraphCodeBERT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2" t="str">
        <f ca="1">IFERROR(__xludf.DUMMYFUNCTION("""COMPUTED_VALUE"""),"use image captioning")</f>
        <v>use image captioning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2" t="str">
        <f ca="1">IFERROR(__xludf.DUMMYFUNCTION("""COMPUTED_VALUE"""),"use issue trackers")</f>
        <v>use issue trackers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2" t="str">
        <f ca="1">IFERROR(__xludf.DUMMYFUNCTION("""COMPUTED_VALUE"""),"use large language models")</f>
        <v>use large language models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2" t="str">
        <f ca="1">IFERROR(__xludf.DUMMYFUNCTION("""COMPUTED_VALUE"""),"use LDA")</f>
        <v>use LDA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2" t="str">
        <f ca="1">IFERROR(__xludf.DUMMYFUNCTION("""COMPUTED_VALUE"""),"use logistic regression")</f>
        <v>use logistic regression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2" t="str">
        <f ca="1">IFERROR(__xludf.DUMMYFUNCTION("""COMPUTED_VALUE"""),"use machine learning")</f>
        <v>use machine learning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2" t="str">
        <f ca="1">IFERROR(__xludf.DUMMYFUNCTION("""COMPUTED_VALUE"""),"use Mechanical Turk")</f>
        <v>use Mechanical Turk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2" t="str">
        <f ca="1">IFERROR(__xludf.DUMMYFUNCTION("""COMPUTED_VALUE"""),"use ML Auto tune")</f>
        <v>use ML Auto tune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2" t="str">
        <f ca="1">IFERROR(__xludf.DUMMYFUNCTION("""COMPUTED_VALUE"""),"use neural machine translation")</f>
        <v>use neural machine translation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2" t="str">
        <f ca="1">IFERROR(__xludf.DUMMYFUNCTION("""COMPUTED_VALUE"""),"use program analysis")</f>
        <v>use program analysis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2" t="str">
        <f ca="1">IFERROR(__xludf.DUMMYFUNCTION("""COMPUTED_VALUE"""),"use proprietary data")</f>
        <v>use proprietary data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2" t="str">
        <f ca="1">IFERROR(__xludf.DUMMYFUNCTION("""COMPUTED_VALUE"""),"use Q&amp;A communities")</f>
        <v>use Q&amp;A communities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2" t="str">
        <f ca="1">IFERROR(__xludf.DUMMYFUNCTION("""COMPUTED_VALUE"""),"use qualitative analysis")</f>
        <v>use qualitative analysis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5.5" x14ac:dyDescent="0.2">
      <c r="A408" s="1"/>
      <c r="B408" s="1"/>
      <c r="C408" s="1"/>
      <c r="D408" s="2" t="str">
        <f ca="1">IFERROR(__xludf.DUMMYFUNCTION("""COMPUTED_VALUE"""),"use qualitative analysis (i.e., grouping)")</f>
        <v>use qualitative analysis (i.e., grouping)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5.5" x14ac:dyDescent="0.2">
      <c r="A409" s="1"/>
      <c r="B409" s="1"/>
      <c r="C409" s="1"/>
      <c r="D409" s="2" t="str">
        <f ca="1">IFERROR(__xludf.DUMMYFUNCTION("""COMPUTED_VALUE"""),"use qualitative analysis (i.e., realistic scenarios)")</f>
        <v>use qualitative analysis (i.e., realistic scenarios)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5.5" x14ac:dyDescent="0.2">
      <c r="A410" s="1"/>
      <c r="B410" s="1"/>
      <c r="C410" s="1"/>
      <c r="D410" s="2" t="str">
        <f ca="1">IFERROR(__xludf.DUMMYFUNCTION("""COMPUTED_VALUE"""),"use qualitative analysis not only quantitative")</f>
        <v>use qualitative analysis not only quantitative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5.5" x14ac:dyDescent="0.2">
      <c r="A411" s="1"/>
      <c r="B411" s="1"/>
      <c r="C411" s="1"/>
      <c r="D411" s="2" t="str">
        <f ca="1">IFERROR(__xludf.DUMMYFUNCTION("""COMPUTED_VALUE"""),"use qualitative analysis, with visualizations")</f>
        <v>use qualitative analysis, with visualizations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2" t="str">
        <f ca="1">IFERROR(__xludf.DUMMYFUNCTION("""COMPUTED_VALUE"""),"use random bootstrap")</f>
        <v>use random bootstrap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2" t="str">
        <f ca="1">IFERROR(__xludf.DUMMYFUNCTION("""COMPUTED_VALUE"""),"use random forest")</f>
        <v>use random forest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2" t="str">
        <f ca="1">IFERROR(__xludf.DUMMYFUNCTION("""COMPUTED_VALUE"""),"use regression models")</f>
        <v>use regression models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2" t="str">
        <f ca="1">IFERROR(__xludf.DUMMYFUNCTION("""COMPUTED_VALUE"""),"use regular expressions")</f>
        <v>use regular expressions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2" t="str">
        <f ca="1">IFERROR(__xludf.DUMMYFUNCTION("""COMPUTED_VALUE"""),"use reinforcement learning")</f>
        <v>use reinforcement learning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2" t="str">
        <f ca="1">IFERROR(__xludf.DUMMYFUNCTION("""COMPUTED_VALUE"""),"use repositories (e.g., github)")</f>
        <v>use repositories (e.g., github)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38.25" x14ac:dyDescent="0.2">
      <c r="A418" s="1"/>
      <c r="B418" s="1"/>
      <c r="C418" s="1"/>
      <c r="D418" s="2" t="str">
        <f ca="1">IFERROR(__xludf.DUMMYFUNCTION("""COMPUTED_VALUE"""),"use repositories (e.g., github) + developers tools (e.g., issue trackers)")</f>
        <v>use repositories (e.g., github) + developers tools (e.g., issue trackers)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51" x14ac:dyDescent="0.2">
      <c r="A419" s="1"/>
      <c r="B419" s="1"/>
      <c r="C419" s="1"/>
      <c r="D419" s="2" t="str">
        <f ca="1">IFERROR(__xludf.DUMMYFUNCTION("""COMPUTED_VALUE"""),"use research questions as the hypotheses of the ML (components of learning), research")</f>
        <v>use research questions as the hypotheses of the ML (components of learning), research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2" t="str">
        <f ca="1">IFERROR(__xludf.DUMMYFUNCTION("""COMPUTED_VALUE"""),"use saliency metrics")</f>
        <v>use saliency metrics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5.5" x14ac:dyDescent="0.2">
      <c r="A421" s="1"/>
      <c r="B421" s="1"/>
      <c r="C421" s="1"/>
      <c r="D421" s="2" t="str">
        <f ca="1">IFERROR(__xludf.DUMMYFUNCTION("""COMPUTED_VALUE"""),"use same data size for testing own model(s) and baseline(s)")</f>
        <v>use same data size for testing own model(s) and baseline(s)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5.5" x14ac:dyDescent="0.2">
      <c r="A422" s="1"/>
      <c r="B422" s="1"/>
      <c r="C422" s="1"/>
      <c r="D422" s="2" t="str">
        <f ca="1">IFERROR(__xludf.DUMMYFUNCTION("""COMPUTED_VALUE"""),"use same data size for training own model(s) and baseline(s)")</f>
        <v>use same data size for training own model(s) and baseline(s)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5.5" x14ac:dyDescent="0.2">
      <c r="A423" s="1"/>
      <c r="B423" s="1"/>
      <c r="C423" s="1"/>
      <c r="D423" s="2" t="str">
        <f ca="1">IFERROR(__xludf.DUMMYFUNCTION("""COMPUTED_VALUE"""),"use same instances for testing own model(s) and baseline(s)")</f>
        <v>use same instances for testing own model(s) and baseline(s)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5.5" x14ac:dyDescent="0.2">
      <c r="A424" s="1"/>
      <c r="B424" s="1"/>
      <c r="C424" s="1"/>
      <c r="D424" s="2" t="str">
        <f ca="1">IFERROR(__xludf.DUMMYFUNCTION("""COMPUTED_VALUE"""),"use same instances for training own model(s) and baseline(s)")</f>
        <v>use same instances for training own model(s) and baseline(s)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5.5" x14ac:dyDescent="0.2">
      <c r="A425" s="1"/>
      <c r="B425" s="1"/>
      <c r="C425" s="1"/>
      <c r="D425" s="2" t="str">
        <f ca="1">IFERROR(__xludf.DUMMYFUNCTION("""COMPUTED_VALUE"""),"use search-based algorithms optimization")</f>
        <v>use search-based algorithms optimization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5.5" x14ac:dyDescent="0.2">
      <c r="A426" s="1"/>
      <c r="B426" s="1"/>
      <c r="C426" s="1"/>
      <c r="D426" s="2" t="str">
        <f ca="1">IFERROR(__xludf.DUMMYFUNCTION("""COMPUTED_VALUE"""),"use self-labeling (i.e., data is auto labeled)")</f>
        <v>use self-labeling (i.e., data is auto labeled)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2" t="str">
        <f ca="1">IFERROR(__xludf.DUMMYFUNCTION("""COMPUTED_VALUE"""),"use self-supervised learning")</f>
        <v>use self-supervised learning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2" t="str">
        <f ca="1">IFERROR(__xludf.DUMMYFUNCTION("""COMPUTED_VALUE"""),"use semi-supervised labeling")</f>
        <v>use semi-supervised labeling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2" t="str">
        <f ca="1">IFERROR(__xludf.DUMMYFUNCTION("""COMPUTED_VALUE"""),"use SMOTE")</f>
        <v>use SMOTE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2" t="str">
        <f ca="1">IFERROR(__xludf.DUMMYFUNCTION("""COMPUTED_VALUE"""),"use static analysis")</f>
        <v>use static analysis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2" t="str">
        <f ca="1">IFERROR(__xludf.DUMMYFUNCTION("""COMPUTED_VALUE"""),"use szz algorithm")</f>
        <v>use szz algorithm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2" t="str">
        <f ca="1">IFERROR(__xludf.DUMMYFUNCTION("""COMPUTED_VALUE"""),"use telemetry")</f>
        <v>use telemetry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5.5" x14ac:dyDescent="0.2">
      <c r="A433" s="1"/>
      <c r="B433" s="1"/>
      <c r="C433" s="1"/>
      <c r="D433" s="2" t="str">
        <f ca="1">IFERROR(__xludf.DUMMYFUNCTION("""COMPUTED_VALUE"""),"use the lexer of a programming language")</f>
        <v>use the lexer of a programming language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5.5" x14ac:dyDescent="0.2">
      <c r="A434" s="1"/>
      <c r="B434" s="1"/>
      <c r="C434" s="1"/>
      <c r="D434" s="2" t="str">
        <f ca="1">IFERROR(__xludf.DUMMYFUNCTION("""COMPUTED_VALUE"""),"use the most reliable labeling solution available")</f>
        <v>use the most reliable labeling solution available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5.5" x14ac:dyDescent="0.2">
      <c r="A435" s="1"/>
      <c r="B435" s="1"/>
      <c r="C435" s="1"/>
      <c r="D435" s="2" t="str">
        <f ca="1">IFERROR(__xludf.DUMMYFUNCTION("""COMPUTED_VALUE"""),"use the same metrics that similar approaches have used")</f>
        <v>use the same metrics that similar approaches have used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2" t="str">
        <f ca="1">IFERROR(__xludf.DUMMYFUNCTION("""COMPUTED_VALUE"""),"use time-aware validation")</f>
        <v>use time-aware validation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2" t="str">
        <f ca="1">IFERROR(__xludf.DUMMYFUNCTION("""COMPUTED_VALUE"""),"use transformer models")</f>
        <v>use transformer models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2" t="str">
        <f ca="1">IFERROR(__xludf.DUMMYFUNCTION("""COMPUTED_VALUE"""),"use tree based models ")</f>
        <v xml:space="preserve">use tree based models 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5.5" x14ac:dyDescent="0.2">
      <c r="A439" s="1"/>
      <c r="B439" s="1"/>
      <c r="C439" s="1"/>
      <c r="D439" s="2" t="str">
        <f ca="1">IFERROR(__xludf.DUMMYFUNCTION("""COMPUTED_VALUE"""),"use two encoders as input for a decoder")</f>
        <v>use two encoders as input for a decoder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2" t="str">
        <f ca="1">IFERROR(__xludf.DUMMYFUNCTION("""COMPUTED_VALUE"""),"use unreleased data")</f>
        <v>use unreleased data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2" t="str">
        <f ca="1">IFERROR(__xludf.DUMMYFUNCTION("""COMPUTED_VALUE"""),"use visualizations")</f>
        <v>use visualizations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38.25" x14ac:dyDescent="0.2">
      <c r="A442" s="1"/>
      <c r="B442" s="1"/>
      <c r="C442" s="1"/>
      <c r="D442" s="2" t="str">
        <f ca="1">IFERROR(__xludf.DUMMYFUNCTION("""COMPUTED_VALUE"""),"validate that loss in training and validation sets is decreasing per epoch")</f>
        <v>validate that loss in training and validation sets is decreasing per epoch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38.25" x14ac:dyDescent="0.2">
      <c r="A443" s="1"/>
      <c r="B443" s="1"/>
      <c r="C443" s="1"/>
      <c r="D443" s="2" t="str">
        <f ca="1">IFERROR(__xludf.DUMMYFUNCTION("""COMPUTED_VALUE"""),"validation strategies that resemble real-world activities/scenarios")</f>
        <v>validation strategies that resemble real-world activities/scenarios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2" t="str">
        <f ca="1">IFERROR(__xludf.DUMMYFUNCTION("""COMPUTED_VALUE"""),"work in sprints of four weeks")</f>
        <v>work in sprints of four weeks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5.5" x14ac:dyDescent="0.2">
      <c r="A445" s="1"/>
      <c r="B445" s="1"/>
      <c r="C445" s="1"/>
      <c r="D445" s="2" t="str">
        <f ca="1">IFERROR(__xludf.DUMMYFUNCTION("""COMPUTED_VALUE"""),"use generative models together with code understanding models")</f>
        <v>use generative models together with code understanding models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merged_taggers</vt:lpstr>
      <vt:lpstr>Tags_assigned_per_tagger</vt:lpstr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Mojica Hanke, Anamaria</cp:lastModifiedBy>
  <dcterms:modified xsi:type="dcterms:W3CDTF">2024-11-27T09:12:58Z</dcterms:modified>
</cp:coreProperties>
</file>